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E:\ANA MARIA\respaldo Ana Maria\PUBLICACION PAGINA\2021\"/>
    </mc:Choice>
  </mc:AlternateContent>
  <xr:revisionPtr revIDLastSave="0" documentId="13_ncr:1_{22A03E57-C3D8-475C-9C32-C5B31D6EE0F6}" xr6:coauthVersionLast="47" xr6:coauthVersionMax="47" xr10:uidLastSave="{00000000-0000-0000-0000-000000000000}"/>
  <bookViews>
    <workbookView xWindow="57480" yWindow="-120" windowWidth="29040" windowHeight="15840" firstSheet="1" activeTab="6" xr2:uid="{00000000-000D-0000-FFFF-FFFF00000000}"/>
  </bookViews>
  <sheets>
    <sheet name="Clasific. Económica de Ingresos" sheetId="13" r:id="rId1"/>
    <sheet name="Detalle General de Egresos" sheetId="14" r:id="rId2"/>
    <sheet name="ProgramaI" sheetId="15" r:id="rId3"/>
    <sheet name="Programa II" sheetId="16" r:id="rId4"/>
    <sheet name="Programa III" sheetId="17" r:id="rId5"/>
    <sheet name="Origen y Aplicación" sheetId="18" r:id="rId6"/>
    <sheet name="Origen y Aplicación (2)" sheetId="11" r:id="rId7"/>
    <sheet name="Cuadro 2 RH" sheetId="2" r:id="rId8"/>
    <sheet name="Cuadro 3 SA" sheetId="3" r:id="rId9"/>
    <sheet name="Cuadro 4 Deudas" sheetId="4" r:id="rId10"/>
    <sheet name="Cuadro 6-Dietas" sheetId="6" r:id="rId11"/>
    <sheet name="Cuadro 7 Contribuc patro " sheetId="7" r:id="rId12"/>
    <sheet name="Cuadro 8 -Incentivos sala (2)" sheetId="10" r:id="rId13"/>
    <sheet name="ANEXO 7" sheetId="12" r:id="rId14"/>
    <sheet name="Cuadro 5 Aprt especie" sheetId="5" state="hidden" r:id="rId15"/>
    <sheet name="Cuadro 8 -Incentivos sala" sheetId="8"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5" hidden="1">'Origen y Aplicación'!$G$1:$G$744</definedName>
    <definedName name="_xlnm._FilterDatabase" localSheetId="6" hidden="1">'Origen y Aplicación (2)'!$G$1:$G$740</definedName>
    <definedName name="_xlnm.Print_Area" localSheetId="0">'Clasific. Económica de Ingresos'!$A$1:$E$163</definedName>
    <definedName name="_xlnm.Print_Area" localSheetId="12">'Cuadro 8 -Incentivos sala (2)'!$A$1:$D$34</definedName>
    <definedName name="_xlnm.Print_Area" localSheetId="1">'Detalle General de Egresos'!$A$1:$F$26</definedName>
    <definedName name="_xlnm.Print_Area" localSheetId="5">'Origen y Aplicación'!$A$1:$M$693</definedName>
    <definedName name="_xlnm.Print_Area" localSheetId="6">'Origen y Aplicación (2)'!$A$1:$M$689</definedName>
    <definedName name="_xlnm.Print_Area" localSheetId="3">'Programa II'!$A$1:$F$34</definedName>
    <definedName name="_xlnm.Print_Area" localSheetId="4">'Programa III'!$A$1:$F$43</definedName>
    <definedName name="_xlnm.Print_Area" localSheetId="2">ProgramaI!$A$1:$F$61</definedName>
    <definedName name="_xlnm.Print_Titles" localSheetId="0">'Clasific. Económica de Ingresos'!$1:$7</definedName>
    <definedName name="_xlnm.Print_Titles" localSheetId="5">'Origen y Aplicación'!$1:$8</definedName>
    <definedName name="_xlnm.Print_Titles" localSheetId="6">'Origen y Aplicación (2)'!$1:$8</definedName>
    <definedName name="Z_BC930EA0_BB45_11D6_934F_00E07D8B5739_.wvu.Cols" localSheetId="5" hidden="1">'Origen y Aplicación'!#REF!</definedName>
    <definedName name="Z_BC930EA0_BB45_11D6_934F_00E07D8B5739_.wvu.Cols" localSheetId="6" hidden="1">'Origen y Aplicación (2)'!#REF!</definedName>
    <definedName name="Z_BC930EA0_BB45_11D6_934F_00E07D8B5739_.wvu.Rows" localSheetId="1" hidden="1">'Detalle General de Egresos'!#REF!,'Detalle General de Egresos'!#REF!,'Detalle General de Egresos'!#REF!,'Detalle General de Egresos'!#REF!,'Detalle General de Egresos'!#REF!</definedName>
    <definedName name="Z_BC930EA0_BB45_11D6_934F_00E07D8B5739_.wvu.Rows" localSheetId="5" hidden="1">'Origen y Aplicación'!#REF!</definedName>
    <definedName name="Z_BC930EA0_BB45_11D6_934F_00E07D8B5739_.wvu.Rows" localSheetId="6" hidden="1">'Origen y Aplicación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83" i="18" l="1"/>
  <c r="K680" i="18"/>
  <c r="K677" i="18"/>
  <c r="C675" i="18"/>
  <c r="C683" i="18" s="1"/>
  <c r="N683" i="18" s="1"/>
  <c r="B675" i="18"/>
  <c r="A675" i="18"/>
  <c r="J668" i="18"/>
  <c r="I667" i="18"/>
  <c r="I672" i="18" s="1"/>
  <c r="G667" i="18"/>
  <c r="C667" i="18"/>
  <c r="C672" i="18" s="1"/>
  <c r="N672" i="18" s="1"/>
  <c r="B667" i="18"/>
  <c r="A667" i="18"/>
  <c r="I664" i="18"/>
  <c r="C662" i="18"/>
  <c r="C664" i="18" s="1"/>
  <c r="N664" i="18" s="1"/>
  <c r="B662" i="18"/>
  <c r="A662" i="18"/>
  <c r="P657" i="18"/>
  <c r="J653" i="18"/>
  <c r="K648" i="18"/>
  <c r="K643" i="18"/>
  <c r="G640" i="18"/>
  <c r="C639" i="18"/>
  <c r="C659" i="18" s="1"/>
  <c r="B639" i="18"/>
  <c r="A639" i="18"/>
  <c r="I637" i="18"/>
  <c r="N637" i="18" s="1"/>
  <c r="C637" i="18"/>
  <c r="G636" i="18"/>
  <c r="C635" i="18"/>
  <c r="B635" i="18"/>
  <c r="A635" i="18"/>
  <c r="I633" i="18"/>
  <c r="C633" i="18"/>
  <c r="N633" i="18" s="1"/>
  <c r="C631" i="18"/>
  <c r="B631" i="18"/>
  <c r="A631" i="18"/>
  <c r="I629" i="18"/>
  <c r="C629" i="18"/>
  <c r="N629" i="18" s="1"/>
  <c r="K627" i="18"/>
  <c r="I627" i="18"/>
  <c r="C625" i="18"/>
  <c r="A625" i="18"/>
  <c r="C623" i="18"/>
  <c r="I615" i="18"/>
  <c r="G615" i="18"/>
  <c r="C613" i="18"/>
  <c r="B613" i="18"/>
  <c r="A613" i="18"/>
  <c r="I611" i="18"/>
  <c r="C611" i="18"/>
  <c r="N611" i="18" s="1"/>
  <c r="K607" i="18"/>
  <c r="I606" i="18"/>
  <c r="I604" i="18"/>
  <c r="C603" i="18"/>
  <c r="A603" i="18"/>
  <c r="I601" i="18"/>
  <c r="J599" i="18"/>
  <c r="C597" i="18"/>
  <c r="C601" i="18" s="1"/>
  <c r="N601" i="18" s="1"/>
  <c r="A597" i="18"/>
  <c r="I595" i="18"/>
  <c r="P595" i="18" s="1"/>
  <c r="C595" i="18"/>
  <c r="C591" i="18"/>
  <c r="A591" i="18"/>
  <c r="I589" i="18"/>
  <c r="C589" i="18"/>
  <c r="P589" i="18" s="1"/>
  <c r="P588" i="18"/>
  <c r="P596" i="18" s="1"/>
  <c r="J584" i="18"/>
  <c r="P581" i="18"/>
  <c r="G581" i="18"/>
  <c r="C579" i="18"/>
  <c r="A579" i="18"/>
  <c r="I577" i="18"/>
  <c r="N577" i="18" s="1"/>
  <c r="C577" i="18"/>
  <c r="C574" i="18"/>
  <c r="B574" i="18"/>
  <c r="A574" i="18"/>
  <c r="I571" i="18"/>
  <c r="C571" i="18"/>
  <c r="N571" i="18" s="1"/>
  <c r="J570" i="18"/>
  <c r="J569" i="18"/>
  <c r="I568" i="18"/>
  <c r="J568" i="18" s="1"/>
  <c r="O566" i="18"/>
  <c r="G566" i="18"/>
  <c r="C565" i="18"/>
  <c r="A565" i="18"/>
  <c r="P560" i="18"/>
  <c r="G558" i="18"/>
  <c r="J556" i="18"/>
  <c r="I555" i="18"/>
  <c r="G555" i="18"/>
  <c r="J553" i="18"/>
  <c r="I552" i="18"/>
  <c r="I563" i="18" s="1"/>
  <c r="G552" i="18"/>
  <c r="C550" i="18"/>
  <c r="C563" i="18" s="1"/>
  <c r="N563" i="18" s="1"/>
  <c r="A550" i="18"/>
  <c r="I548" i="18"/>
  <c r="C548" i="18"/>
  <c r="P548" i="18" s="1"/>
  <c r="J546" i="18"/>
  <c r="K545" i="18"/>
  <c r="J544" i="18"/>
  <c r="J543" i="18"/>
  <c r="I542" i="18"/>
  <c r="J542" i="18" s="1"/>
  <c r="G540" i="18"/>
  <c r="J537" i="18"/>
  <c r="Q536" i="18"/>
  <c r="P536" i="18"/>
  <c r="C535" i="18"/>
  <c r="A535" i="18"/>
  <c r="I533" i="18"/>
  <c r="C533" i="18"/>
  <c r="P533" i="18" s="1"/>
  <c r="G526" i="18"/>
  <c r="J524" i="18"/>
  <c r="I523" i="18"/>
  <c r="G523" i="18"/>
  <c r="J521" i="18"/>
  <c r="G520" i="18"/>
  <c r="C519" i="18"/>
  <c r="A519" i="18"/>
  <c r="I517" i="18"/>
  <c r="J515" i="18"/>
  <c r="K514" i="18"/>
  <c r="J513" i="18"/>
  <c r="J512" i="18"/>
  <c r="J511" i="18"/>
  <c r="I511" i="18"/>
  <c r="G510" i="18"/>
  <c r="G509" i="18"/>
  <c r="C507" i="18"/>
  <c r="C517" i="18" s="1"/>
  <c r="A507" i="18"/>
  <c r="J504" i="18"/>
  <c r="J503" i="18"/>
  <c r="O502" i="18"/>
  <c r="P502" i="18" s="1"/>
  <c r="J502" i="18"/>
  <c r="I502" i="18"/>
  <c r="I505" i="18" s="1"/>
  <c r="G494" i="18"/>
  <c r="C492" i="18"/>
  <c r="C505" i="18" s="1"/>
  <c r="A492" i="18"/>
  <c r="I488" i="18"/>
  <c r="C488" i="18"/>
  <c r="N488" i="18" s="1"/>
  <c r="J485" i="18"/>
  <c r="G484" i="18"/>
  <c r="J482" i="18"/>
  <c r="I481" i="18"/>
  <c r="C480" i="18"/>
  <c r="A480" i="18"/>
  <c r="J476" i="18"/>
  <c r="K475" i="18"/>
  <c r="J474" i="18"/>
  <c r="J473" i="18"/>
  <c r="I472" i="18"/>
  <c r="O470" i="18" s="1"/>
  <c r="G471" i="18"/>
  <c r="J469" i="18"/>
  <c r="C467" i="18"/>
  <c r="C478" i="18" s="1"/>
  <c r="A467" i="18"/>
  <c r="N465" i="18"/>
  <c r="I465" i="18"/>
  <c r="C465" i="18"/>
  <c r="J463" i="18"/>
  <c r="C460" i="18"/>
  <c r="A460" i="18"/>
  <c r="I457" i="18"/>
  <c r="G455" i="18"/>
  <c r="C454" i="18"/>
  <c r="C457" i="18" s="1"/>
  <c r="N457" i="18" s="1"/>
  <c r="B454" i="18"/>
  <c r="A454" i="18"/>
  <c r="C452" i="18"/>
  <c r="J450" i="18"/>
  <c r="G449" i="18"/>
  <c r="J447" i="18"/>
  <c r="C446" i="18"/>
  <c r="I446" i="18" s="1"/>
  <c r="A446" i="18"/>
  <c r="P443" i="18"/>
  <c r="M441" i="18"/>
  <c r="J440" i="18"/>
  <c r="K439" i="18"/>
  <c r="J438" i="18"/>
  <c r="J437" i="18"/>
  <c r="J436" i="18"/>
  <c r="G435" i="18"/>
  <c r="J433" i="18"/>
  <c r="C431" i="18"/>
  <c r="C444" i="18" s="1"/>
  <c r="A431" i="18"/>
  <c r="M427" i="18"/>
  <c r="J426" i="18"/>
  <c r="K425" i="18"/>
  <c r="J424" i="18"/>
  <c r="J423" i="18"/>
  <c r="J422" i="18"/>
  <c r="G421" i="18"/>
  <c r="J419" i="18"/>
  <c r="C417" i="18"/>
  <c r="A417" i="18"/>
  <c r="J412" i="18"/>
  <c r="M408" i="18"/>
  <c r="J407" i="18"/>
  <c r="K406" i="18"/>
  <c r="J405" i="18"/>
  <c r="I404" i="18"/>
  <c r="O402" i="18" s="1"/>
  <c r="J403" i="18"/>
  <c r="G402" i="18"/>
  <c r="J400" i="18"/>
  <c r="C398" i="18"/>
  <c r="C415" i="18" s="1"/>
  <c r="A398" i="18"/>
  <c r="P395" i="18"/>
  <c r="J394" i="18"/>
  <c r="K393" i="18"/>
  <c r="J390" i="18"/>
  <c r="I389" i="18"/>
  <c r="I396" i="18" s="1"/>
  <c r="C388" i="18"/>
  <c r="C396" i="18" s="1"/>
  <c r="N396" i="18" s="1"/>
  <c r="M395" i="18" s="1"/>
  <c r="A388" i="18"/>
  <c r="M385" i="18"/>
  <c r="L384" i="18"/>
  <c r="J383" i="18"/>
  <c r="K382" i="18"/>
  <c r="J380" i="18"/>
  <c r="J379" i="18"/>
  <c r="J378" i="18"/>
  <c r="G377" i="18"/>
  <c r="J375" i="18"/>
  <c r="I374" i="18"/>
  <c r="C373" i="18"/>
  <c r="C386" i="18" s="1"/>
  <c r="A373" i="18"/>
  <c r="K369" i="18"/>
  <c r="J368" i="18"/>
  <c r="J367" i="18"/>
  <c r="M363" i="18"/>
  <c r="L362" i="18"/>
  <c r="J361" i="18"/>
  <c r="J360" i="18"/>
  <c r="J359" i="18"/>
  <c r="G358" i="18"/>
  <c r="O357" i="18"/>
  <c r="J356" i="18"/>
  <c r="I355" i="18"/>
  <c r="C354" i="18"/>
  <c r="C371" i="18" s="1"/>
  <c r="A354" i="18"/>
  <c r="J350" i="18"/>
  <c r="G349" i="18"/>
  <c r="J347" i="18"/>
  <c r="C345" i="18"/>
  <c r="C352" i="18" s="1"/>
  <c r="A345" i="18"/>
  <c r="N343" i="18"/>
  <c r="I343" i="18"/>
  <c r="C343" i="18"/>
  <c r="C341" i="18"/>
  <c r="A341" i="18"/>
  <c r="M337" i="18"/>
  <c r="M687" i="18" s="1"/>
  <c r="I336" i="18"/>
  <c r="J336" i="18" s="1"/>
  <c r="K335" i="18"/>
  <c r="J334" i="18"/>
  <c r="I333" i="18"/>
  <c r="O36" i="18" s="1"/>
  <c r="O332" i="18"/>
  <c r="I332" i="18"/>
  <c r="J332" i="18" s="1"/>
  <c r="G330" i="18"/>
  <c r="J328" i="18"/>
  <c r="C326" i="18"/>
  <c r="C339" i="18" s="1"/>
  <c r="A326" i="18"/>
  <c r="K322" i="18"/>
  <c r="K321" i="18"/>
  <c r="K320" i="18"/>
  <c r="K312" i="18"/>
  <c r="I312" i="18"/>
  <c r="J311" i="18"/>
  <c r="J310" i="18"/>
  <c r="J309" i="18"/>
  <c r="J308" i="18"/>
  <c r="O301" i="18"/>
  <c r="J301" i="18"/>
  <c r="I300" i="18"/>
  <c r="C300" i="18"/>
  <c r="C324" i="18" s="1"/>
  <c r="A300" i="18"/>
  <c r="J297" i="18"/>
  <c r="G296" i="18"/>
  <c r="J293" i="18"/>
  <c r="I292" i="18"/>
  <c r="G292" i="18"/>
  <c r="J290" i="18"/>
  <c r="I289" i="18"/>
  <c r="G289" i="18"/>
  <c r="C288" i="18"/>
  <c r="C298" i="18" s="1"/>
  <c r="A288" i="18"/>
  <c r="C286" i="18"/>
  <c r="Q285" i="18"/>
  <c r="P285" i="18"/>
  <c r="J283" i="18"/>
  <c r="J281" i="18"/>
  <c r="J280" i="18"/>
  <c r="J279" i="18"/>
  <c r="J278" i="18"/>
  <c r="O274" i="18"/>
  <c r="J273" i="18"/>
  <c r="I273" i="18"/>
  <c r="C271" i="18"/>
  <c r="A271" i="18"/>
  <c r="P264" i="18"/>
  <c r="P263" i="18"/>
  <c r="G263" i="18"/>
  <c r="P258" i="18"/>
  <c r="P257" i="18"/>
  <c r="J255" i="18"/>
  <c r="I254" i="18"/>
  <c r="J249" i="18"/>
  <c r="G248" i="18"/>
  <c r="I246" i="18"/>
  <c r="J246" i="18" s="1"/>
  <c r="G245" i="18"/>
  <c r="J243" i="18"/>
  <c r="K240" i="18"/>
  <c r="J235" i="18"/>
  <c r="P234" i="18"/>
  <c r="C233" i="18"/>
  <c r="C269" i="18" s="1"/>
  <c r="A233" i="18"/>
  <c r="I231" i="18"/>
  <c r="J228" i="18"/>
  <c r="P227" i="18"/>
  <c r="C226" i="18"/>
  <c r="C231" i="18" s="1"/>
  <c r="N231" i="18" s="1"/>
  <c r="A226" i="18"/>
  <c r="I224" i="18"/>
  <c r="G222" i="18"/>
  <c r="J218" i="18"/>
  <c r="P217" i="18"/>
  <c r="C216" i="18"/>
  <c r="C224" i="18" s="1"/>
  <c r="N224" i="18" s="1"/>
  <c r="A216" i="18"/>
  <c r="C214" i="18"/>
  <c r="N214" i="18" s="1"/>
  <c r="I209" i="18"/>
  <c r="J209" i="18" s="1"/>
  <c r="I208" i="18"/>
  <c r="I207" i="18" s="1"/>
  <c r="I214" i="18" s="1"/>
  <c r="P214" i="18" s="1"/>
  <c r="C206" i="18"/>
  <c r="A206" i="18"/>
  <c r="I204" i="18"/>
  <c r="C202" i="18"/>
  <c r="C204" i="18" s="1"/>
  <c r="N204" i="18" s="1"/>
  <c r="A202" i="18"/>
  <c r="J195" i="18"/>
  <c r="I193" i="18"/>
  <c r="P200" i="18" s="1"/>
  <c r="O191" i="18"/>
  <c r="P191" i="18" s="1"/>
  <c r="I191" i="18"/>
  <c r="J191" i="18" s="1"/>
  <c r="C189" i="18"/>
  <c r="C200" i="18" s="1"/>
  <c r="A189" i="18"/>
  <c r="I188" i="18"/>
  <c r="G186" i="18"/>
  <c r="G185" i="18"/>
  <c r="G184" i="18"/>
  <c r="G183" i="18"/>
  <c r="G182" i="18"/>
  <c r="C180" i="18"/>
  <c r="C188" i="18" s="1"/>
  <c r="A180" i="18"/>
  <c r="J160" i="18"/>
  <c r="K159" i="18"/>
  <c r="O158" i="18"/>
  <c r="J158" i="18"/>
  <c r="J157" i="18"/>
  <c r="J156" i="18"/>
  <c r="I153" i="18"/>
  <c r="J153" i="18" s="1"/>
  <c r="K152" i="18"/>
  <c r="J151" i="18"/>
  <c r="J150" i="18"/>
  <c r="J149" i="18"/>
  <c r="K144" i="18"/>
  <c r="J133" i="18"/>
  <c r="K132" i="18"/>
  <c r="I132" i="18"/>
  <c r="K131" i="18"/>
  <c r="K130" i="18"/>
  <c r="O129" i="18"/>
  <c r="K129" i="18"/>
  <c r="K687" i="18" s="1"/>
  <c r="I125" i="18"/>
  <c r="J125" i="18" s="1"/>
  <c r="Q112" i="18"/>
  <c r="G112" i="18"/>
  <c r="I111" i="18"/>
  <c r="I110" i="18"/>
  <c r="J98" i="18"/>
  <c r="O97" i="18"/>
  <c r="J97" i="18"/>
  <c r="J96" i="18"/>
  <c r="J95" i="18"/>
  <c r="P94" i="18"/>
  <c r="I94" i="18"/>
  <c r="G94" i="18"/>
  <c r="Q93" i="18"/>
  <c r="I93" i="18"/>
  <c r="P93" i="18" s="1"/>
  <c r="J77" i="18"/>
  <c r="O76" i="18"/>
  <c r="J76" i="18"/>
  <c r="J75" i="18"/>
  <c r="J74" i="18"/>
  <c r="I73" i="18"/>
  <c r="G73" i="18"/>
  <c r="I70" i="18"/>
  <c r="O72" i="18" s="1"/>
  <c r="I69" i="18"/>
  <c r="P69" i="18" s="1"/>
  <c r="G69" i="18"/>
  <c r="O66" i="18"/>
  <c r="J64" i="18"/>
  <c r="I64" i="18"/>
  <c r="P63" i="18"/>
  <c r="I63" i="18"/>
  <c r="G63" i="18"/>
  <c r="J61" i="18"/>
  <c r="J60" i="18"/>
  <c r="J59" i="18"/>
  <c r="P58" i="18"/>
  <c r="I58" i="18"/>
  <c r="G58" i="18"/>
  <c r="I56" i="18"/>
  <c r="O56" i="18" s="1"/>
  <c r="I55" i="18"/>
  <c r="G55" i="18"/>
  <c r="I54" i="18"/>
  <c r="J49" i="18"/>
  <c r="K48" i="18"/>
  <c r="J47" i="18"/>
  <c r="J46" i="18"/>
  <c r="J45" i="18"/>
  <c r="P44" i="18"/>
  <c r="I44" i="18"/>
  <c r="G44" i="18"/>
  <c r="J42" i="18"/>
  <c r="J41" i="18"/>
  <c r="J40" i="18"/>
  <c r="J39" i="18"/>
  <c r="P38" i="18"/>
  <c r="I38" i="18"/>
  <c r="G38" i="18"/>
  <c r="J36" i="18"/>
  <c r="J35" i="18"/>
  <c r="O34" i="18"/>
  <c r="J34" i="18"/>
  <c r="I34" i="18"/>
  <c r="I33" i="18"/>
  <c r="J33" i="18" s="1"/>
  <c r="I32" i="18"/>
  <c r="G32" i="18"/>
  <c r="J30" i="18"/>
  <c r="I29" i="18"/>
  <c r="G29" i="18"/>
  <c r="I28" i="18"/>
  <c r="G28" i="18"/>
  <c r="I27" i="18"/>
  <c r="G27" i="18"/>
  <c r="I26" i="18"/>
  <c r="G26" i="18"/>
  <c r="J24" i="18"/>
  <c r="G23" i="18"/>
  <c r="J21" i="18"/>
  <c r="I20" i="18"/>
  <c r="J18" i="18"/>
  <c r="I17" i="18"/>
  <c r="J15" i="18"/>
  <c r="I14" i="18"/>
  <c r="J12" i="18"/>
  <c r="I11" i="18"/>
  <c r="L10" i="18"/>
  <c r="L687" i="18" s="1"/>
  <c r="C10" i="18"/>
  <c r="C178" i="18" s="1"/>
  <c r="A10" i="18"/>
  <c r="P6" i="18"/>
  <c r="E35" i="17"/>
  <c r="E32" i="17"/>
  <c r="G32" i="17" s="1"/>
  <c r="A3" i="17"/>
  <c r="A3" i="16"/>
  <c r="E55" i="15"/>
  <c r="E54" i="15"/>
  <c r="E52" i="15"/>
  <c r="E49" i="15"/>
  <c r="E44" i="15"/>
  <c r="E34" i="15"/>
  <c r="E33" i="15"/>
  <c r="E32" i="15"/>
  <c r="E31" i="15"/>
  <c r="E30" i="15"/>
  <c r="E28" i="15" s="1"/>
  <c r="E27" i="15"/>
  <c r="E26" i="15"/>
  <c r="E23" i="15" s="1"/>
  <c r="E25" i="15"/>
  <c r="E24" i="15"/>
  <c r="E22" i="15"/>
  <c r="E21" i="15" s="1"/>
  <c r="A3" i="15"/>
  <c r="A3" i="14"/>
  <c r="C160" i="13"/>
  <c r="C158" i="13"/>
  <c r="C156" i="13"/>
  <c r="D154" i="13"/>
  <c r="C152" i="13"/>
  <c r="D151" i="13"/>
  <c r="D149" i="13"/>
  <c r="D146" i="13"/>
  <c r="D145" i="13" s="1"/>
  <c r="D128" i="13" s="1"/>
  <c r="C141" i="13"/>
  <c r="C140" i="13"/>
  <c r="C136" i="13"/>
  <c r="C134" i="13"/>
  <c r="C133" i="13"/>
  <c r="C132" i="13"/>
  <c r="D130" i="13" s="1"/>
  <c r="C126" i="13"/>
  <c r="D125" i="13"/>
  <c r="D123" i="13" s="1"/>
  <c r="C120" i="13"/>
  <c r="D119" i="13"/>
  <c r="D117" i="13"/>
  <c r="C113" i="13"/>
  <c r="C112" i="13"/>
  <c r="C111" i="13"/>
  <c r="C110" i="13"/>
  <c r="C109" i="13" s="1"/>
  <c r="C103" i="13"/>
  <c r="D101" i="13" s="1"/>
  <c r="C99" i="13"/>
  <c r="C98" i="13"/>
  <c r="C97" i="13"/>
  <c r="C96" i="13" s="1"/>
  <c r="C95" i="13"/>
  <c r="C94" i="13"/>
  <c r="C88" i="13"/>
  <c r="C87" i="13"/>
  <c r="D85" i="13"/>
  <c r="D83" i="13" s="1"/>
  <c r="C81" i="13"/>
  <c r="C80" i="13"/>
  <c r="C79" i="13"/>
  <c r="C78" i="13"/>
  <c r="C77" i="13"/>
  <c r="C73" i="13"/>
  <c r="C72" i="13" s="1"/>
  <c r="C71" i="13"/>
  <c r="C70" i="13"/>
  <c r="C66" i="13" s="1"/>
  <c r="C69" i="13"/>
  <c r="C68" i="13"/>
  <c r="C67" i="13"/>
  <c r="C64" i="13"/>
  <c r="C63" i="13"/>
  <c r="C62" i="13"/>
  <c r="C61" i="13"/>
  <c r="C60" i="13" s="1"/>
  <c r="C58" i="13"/>
  <c r="C57" i="13"/>
  <c r="C56" i="13"/>
  <c r="C55" i="13" s="1"/>
  <c r="C50" i="13"/>
  <c r="D48" i="13" s="1"/>
  <c r="C41" i="13"/>
  <c r="C40" i="13"/>
  <c r="C39" i="13" s="1"/>
  <c r="C34" i="13"/>
  <c r="C33" i="13"/>
  <c r="C32" i="13" s="1"/>
  <c r="C29" i="13"/>
  <c r="C28" i="13" s="1"/>
  <c r="C26" i="13"/>
  <c r="C25" i="13"/>
  <c r="C24" i="13" s="1"/>
  <c r="C23" i="13"/>
  <c r="C16" i="13"/>
  <c r="C15" i="13"/>
  <c r="D13" i="13"/>
  <c r="B16" i="12"/>
  <c r="B14" i="12"/>
  <c r="B12" i="12"/>
  <c r="B10" i="12"/>
  <c r="A3" i="12"/>
  <c r="C22" i="13" l="1"/>
  <c r="D92" i="13"/>
  <c r="C685" i="18"/>
  <c r="C54" i="13"/>
  <c r="P188" i="18"/>
  <c r="N188" i="18"/>
  <c r="Q188" i="18"/>
  <c r="C687" i="18"/>
  <c r="D115" i="13"/>
  <c r="C31" i="13"/>
  <c r="D107" i="13"/>
  <c r="N505" i="18"/>
  <c r="P505" i="18"/>
  <c r="D37" i="13"/>
  <c r="C59" i="13"/>
  <c r="E20" i="15"/>
  <c r="P517" i="18"/>
  <c r="N517" i="18"/>
  <c r="I327" i="18"/>
  <c r="I418" i="18"/>
  <c r="I432" i="18"/>
  <c r="N595" i="18"/>
  <c r="Q8" i="18"/>
  <c r="J333" i="18"/>
  <c r="J472" i="18"/>
  <c r="N533" i="18"/>
  <c r="N548" i="18"/>
  <c r="C76" i="13"/>
  <c r="D75" i="13" s="1"/>
  <c r="O35" i="18"/>
  <c r="J56" i="18"/>
  <c r="J687" i="18" s="1"/>
  <c r="I190" i="18"/>
  <c r="I200" i="18" s="1"/>
  <c r="O333" i="18"/>
  <c r="I346" i="18"/>
  <c r="I352" i="18" s="1"/>
  <c r="N352" i="18" s="1"/>
  <c r="I399" i="18"/>
  <c r="J404" i="18"/>
  <c r="I468" i="18"/>
  <c r="N589" i="18"/>
  <c r="O190" i="18"/>
  <c r="P190" i="18" s="1"/>
  <c r="O404" i="18"/>
  <c r="C429" i="18"/>
  <c r="C684" i="18" s="1"/>
  <c r="J208" i="18"/>
  <c r="O150" i="18"/>
  <c r="O510" i="18"/>
  <c r="J70" i="18"/>
  <c r="O254" i="18"/>
  <c r="C23" i="4"/>
  <c r="D23" i="4"/>
  <c r="L694" i="18" l="1"/>
  <c r="C686" i="18"/>
  <c r="D90" i="13"/>
  <c r="D105" i="13"/>
  <c r="C688" i="18"/>
  <c r="C695" i="18"/>
  <c r="D52" i="13"/>
  <c r="N200" i="18"/>
  <c r="C21" i="13"/>
  <c r="C212" i="11"/>
  <c r="C220" i="11" s="1"/>
  <c r="C428" i="11"/>
  <c r="C440" i="11" s="1"/>
  <c r="C671" i="11"/>
  <c r="C679" i="11" s="1"/>
  <c r="N679" i="11" s="1"/>
  <c r="I679" i="11"/>
  <c r="K676" i="11"/>
  <c r="G675" i="11"/>
  <c r="K673" i="11"/>
  <c r="B671" i="11"/>
  <c r="A671" i="11"/>
  <c r="I668" i="11"/>
  <c r="J664" i="11"/>
  <c r="I663" i="11"/>
  <c r="G663" i="11"/>
  <c r="C663" i="11"/>
  <c r="C668" i="11" s="1"/>
  <c r="N668" i="11" s="1"/>
  <c r="B663" i="11"/>
  <c r="A663" i="11"/>
  <c r="I660" i="11"/>
  <c r="C658" i="11"/>
  <c r="C660" i="11" s="1"/>
  <c r="N660" i="11" s="1"/>
  <c r="B658" i="11"/>
  <c r="A658" i="11"/>
  <c r="P653" i="11"/>
  <c r="O653" i="11"/>
  <c r="O652" i="11"/>
  <c r="J649" i="11"/>
  <c r="K644" i="11"/>
  <c r="K639" i="11"/>
  <c r="G637" i="11"/>
  <c r="G636" i="11"/>
  <c r="B635" i="11"/>
  <c r="A635" i="11"/>
  <c r="I633" i="11"/>
  <c r="G632" i="11"/>
  <c r="C631" i="11"/>
  <c r="C633" i="11" s="1"/>
  <c r="N633" i="11" s="1"/>
  <c r="B631" i="11"/>
  <c r="A631" i="11"/>
  <c r="I629" i="11"/>
  <c r="C627" i="11"/>
  <c r="C629" i="11" s="1"/>
  <c r="N629" i="11" s="1"/>
  <c r="B627" i="11"/>
  <c r="A627" i="11"/>
  <c r="I625" i="11"/>
  <c r="I623" i="11"/>
  <c r="K623" i="11" s="1"/>
  <c r="C621" i="11"/>
  <c r="C625" i="11" s="1"/>
  <c r="N625" i="11" s="1"/>
  <c r="A621" i="11"/>
  <c r="I611" i="11"/>
  <c r="G611" i="11"/>
  <c r="C609" i="11"/>
  <c r="C619" i="11" s="1"/>
  <c r="B609" i="11"/>
  <c r="A609" i="11"/>
  <c r="K603" i="11"/>
  <c r="I602" i="11"/>
  <c r="G601" i="11"/>
  <c r="I600" i="11"/>
  <c r="C599" i="11"/>
  <c r="C607" i="11" s="1"/>
  <c r="A599" i="11"/>
  <c r="I597" i="11"/>
  <c r="J595" i="11"/>
  <c r="C593" i="11"/>
  <c r="C597" i="11" s="1"/>
  <c r="N597" i="11" s="1"/>
  <c r="A593" i="11"/>
  <c r="I591" i="11"/>
  <c r="C587" i="11"/>
  <c r="C591" i="11" s="1"/>
  <c r="P591" i="11" s="1"/>
  <c r="A587" i="11"/>
  <c r="I585" i="11"/>
  <c r="J580" i="11"/>
  <c r="P577" i="11"/>
  <c r="G577" i="11"/>
  <c r="C575" i="11"/>
  <c r="A575" i="11"/>
  <c r="I573" i="11"/>
  <c r="C570" i="11"/>
  <c r="C573" i="11" s="1"/>
  <c r="N573" i="11" s="1"/>
  <c r="B570" i="11"/>
  <c r="A570" i="11"/>
  <c r="I567" i="11"/>
  <c r="J566" i="11"/>
  <c r="J565" i="11"/>
  <c r="J564" i="11"/>
  <c r="G562" i="11"/>
  <c r="C561" i="11"/>
  <c r="C567" i="11" s="1"/>
  <c r="N567" i="11" s="1"/>
  <c r="A561" i="11"/>
  <c r="P556" i="11"/>
  <c r="O555" i="11"/>
  <c r="G554" i="11"/>
  <c r="J552" i="11"/>
  <c r="G551" i="11"/>
  <c r="J549" i="11"/>
  <c r="G548" i="11"/>
  <c r="C546" i="11"/>
  <c r="C559" i="11" s="1"/>
  <c r="A546" i="11"/>
  <c r="J542" i="11"/>
  <c r="K541" i="11"/>
  <c r="J540" i="11"/>
  <c r="J539" i="11"/>
  <c r="I538" i="11"/>
  <c r="J538" i="11" s="1"/>
  <c r="G536" i="11"/>
  <c r="J533" i="11"/>
  <c r="P532" i="11"/>
  <c r="Q532" i="11" s="1"/>
  <c r="A531" i="11"/>
  <c r="G522" i="11"/>
  <c r="J520" i="11"/>
  <c r="I519" i="11"/>
  <c r="I529" i="11" s="1"/>
  <c r="G519" i="11"/>
  <c r="J517" i="11"/>
  <c r="G516" i="11"/>
  <c r="C515" i="11"/>
  <c r="C529" i="11" s="1"/>
  <c r="A515" i="11"/>
  <c r="I513" i="11"/>
  <c r="J511" i="11"/>
  <c r="K510" i="11"/>
  <c r="J509" i="11"/>
  <c r="J508" i="11"/>
  <c r="J507" i="11"/>
  <c r="G506" i="11"/>
  <c r="G505" i="11"/>
  <c r="C503" i="11"/>
  <c r="C513" i="11" s="1"/>
  <c r="P513" i="11" s="1"/>
  <c r="A503" i="11"/>
  <c r="I501" i="11"/>
  <c r="J500" i="11"/>
  <c r="J499" i="11"/>
  <c r="P498" i="11"/>
  <c r="O498" i="11"/>
  <c r="J498" i="11"/>
  <c r="G490" i="11"/>
  <c r="C488" i="11"/>
  <c r="C501" i="11" s="1"/>
  <c r="A488" i="11"/>
  <c r="J481" i="11"/>
  <c r="G480" i="11"/>
  <c r="J478" i="11"/>
  <c r="C476" i="11"/>
  <c r="C484" i="11" s="1"/>
  <c r="A476" i="11"/>
  <c r="J472" i="11"/>
  <c r="K471" i="11"/>
  <c r="J470" i="11"/>
  <c r="J469" i="11"/>
  <c r="J468" i="11"/>
  <c r="G467" i="11"/>
  <c r="J465" i="11"/>
  <c r="A463" i="11"/>
  <c r="I461" i="11"/>
  <c r="J459" i="11"/>
  <c r="C456" i="11"/>
  <c r="C461" i="11" s="1"/>
  <c r="N461" i="11" s="1"/>
  <c r="A456" i="11"/>
  <c r="I453" i="11"/>
  <c r="G451" i="11"/>
  <c r="C450" i="11"/>
  <c r="C453" i="11" s="1"/>
  <c r="N453" i="11" s="1"/>
  <c r="B450" i="11"/>
  <c r="A450" i="11"/>
  <c r="J446" i="11"/>
  <c r="G445" i="11"/>
  <c r="J443" i="11"/>
  <c r="C442" i="11"/>
  <c r="A442" i="11"/>
  <c r="P439" i="11"/>
  <c r="J437" i="11"/>
  <c r="K436" i="11"/>
  <c r="J435" i="11"/>
  <c r="J434" i="11"/>
  <c r="J433" i="11"/>
  <c r="G432" i="11"/>
  <c r="J430" i="11"/>
  <c r="I429" i="11"/>
  <c r="A428" i="11"/>
  <c r="J424" i="11"/>
  <c r="K423" i="11"/>
  <c r="J422" i="11"/>
  <c r="J421" i="11"/>
  <c r="J420" i="11"/>
  <c r="G419" i="11"/>
  <c r="J417" i="11"/>
  <c r="C415" i="11"/>
  <c r="A415" i="11"/>
  <c r="J410" i="11"/>
  <c r="J406" i="11"/>
  <c r="K405" i="11"/>
  <c r="J404" i="11"/>
  <c r="I403" i="11"/>
  <c r="J403" i="11" s="1"/>
  <c r="J402" i="11"/>
  <c r="G401" i="11"/>
  <c r="J399" i="11"/>
  <c r="C397" i="11"/>
  <c r="A397" i="11"/>
  <c r="P394" i="11"/>
  <c r="J393" i="11"/>
  <c r="K392" i="11"/>
  <c r="J389" i="11"/>
  <c r="A387" i="11"/>
  <c r="L384" i="11"/>
  <c r="J383" i="11"/>
  <c r="K382" i="11"/>
  <c r="J380" i="11"/>
  <c r="J379" i="11"/>
  <c r="J378" i="11"/>
  <c r="G377" i="11"/>
  <c r="J375" i="11"/>
  <c r="C373" i="11"/>
  <c r="A373" i="11"/>
  <c r="K369" i="11"/>
  <c r="J368" i="11"/>
  <c r="J367" i="11"/>
  <c r="L363" i="11"/>
  <c r="J362" i="11"/>
  <c r="J361" i="11"/>
  <c r="J360" i="11"/>
  <c r="G359" i="11"/>
  <c r="J357" i="11"/>
  <c r="C355" i="11"/>
  <c r="A355" i="11"/>
  <c r="J351" i="11"/>
  <c r="G350" i="11"/>
  <c r="J348" i="11"/>
  <c r="C346" i="11"/>
  <c r="C353" i="11" s="1"/>
  <c r="A346" i="11"/>
  <c r="I344" i="11"/>
  <c r="C342" i="11"/>
  <c r="C344" i="11" s="1"/>
  <c r="N344" i="11" s="1"/>
  <c r="A342" i="11"/>
  <c r="J337" i="11"/>
  <c r="I337" i="11"/>
  <c r="K336" i="11"/>
  <c r="J335" i="11"/>
  <c r="J334" i="11"/>
  <c r="I334" i="11"/>
  <c r="I333" i="11"/>
  <c r="J333" i="11" s="1"/>
  <c r="G331" i="11"/>
  <c r="J329" i="11"/>
  <c r="C327" i="11"/>
  <c r="I328" i="11" s="1"/>
  <c r="A327" i="11"/>
  <c r="K323" i="11"/>
  <c r="K322" i="11"/>
  <c r="K321" i="11"/>
  <c r="I313" i="11"/>
  <c r="K313" i="11" s="1"/>
  <c r="J312" i="11"/>
  <c r="J311" i="11"/>
  <c r="J310" i="11"/>
  <c r="J309" i="11"/>
  <c r="J302" i="11"/>
  <c r="A301" i="11"/>
  <c r="J298" i="11"/>
  <c r="G297" i="11"/>
  <c r="J294" i="11"/>
  <c r="G293" i="11"/>
  <c r="J291" i="11"/>
  <c r="G290" i="11"/>
  <c r="C289" i="11"/>
  <c r="C299" i="11" s="1"/>
  <c r="A289" i="11"/>
  <c r="Q286" i="11"/>
  <c r="P286" i="11"/>
  <c r="J284" i="11"/>
  <c r="J282" i="11"/>
  <c r="J281" i="11"/>
  <c r="J280" i="11"/>
  <c r="J279" i="11"/>
  <c r="J274" i="11"/>
  <c r="A272" i="11"/>
  <c r="P265" i="11"/>
  <c r="P264" i="11"/>
  <c r="G264" i="11"/>
  <c r="P259" i="11"/>
  <c r="P258" i="11"/>
  <c r="J256" i="11"/>
  <c r="I255" i="11"/>
  <c r="J253" i="11"/>
  <c r="G252" i="11"/>
  <c r="J250" i="11"/>
  <c r="I249" i="11"/>
  <c r="G249" i="11"/>
  <c r="J247" i="11"/>
  <c r="I246" i="11"/>
  <c r="O204" i="11" s="1"/>
  <c r="K244" i="11"/>
  <c r="J241" i="11"/>
  <c r="P240" i="11"/>
  <c r="C239" i="11"/>
  <c r="C270" i="11" s="1"/>
  <c r="A239" i="11"/>
  <c r="I237" i="11"/>
  <c r="J234" i="11"/>
  <c r="P233" i="11"/>
  <c r="C232" i="11"/>
  <c r="C237" i="11" s="1"/>
  <c r="N237" i="11" s="1"/>
  <c r="A232" i="11"/>
  <c r="I230" i="11"/>
  <c r="G228" i="11"/>
  <c r="J224" i="11"/>
  <c r="P223" i="11"/>
  <c r="A222" i="11"/>
  <c r="J215" i="11"/>
  <c r="J214" i="11"/>
  <c r="I213" i="11"/>
  <c r="I220" i="11" s="1"/>
  <c r="A212" i="11"/>
  <c r="I210" i="11"/>
  <c r="A208" i="11"/>
  <c r="J201" i="11"/>
  <c r="I196" i="11"/>
  <c r="C195" i="11"/>
  <c r="C206" i="11" s="1"/>
  <c r="A195" i="11"/>
  <c r="I194" i="11"/>
  <c r="G192" i="11"/>
  <c r="G191" i="11"/>
  <c r="G190" i="11"/>
  <c r="G189" i="11"/>
  <c r="G188" i="11"/>
  <c r="C186" i="11"/>
  <c r="C194" i="11" s="1"/>
  <c r="N194" i="11" s="1"/>
  <c r="A186" i="11"/>
  <c r="P184" i="11"/>
  <c r="Q183" i="11"/>
  <c r="P183" i="11"/>
  <c r="I182" i="11"/>
  <c r="O181" i="11" s="1"/>
  <c r="G178" i="11"/>
  <c r="G174" i="11"/>
  <c r="G172" i="11"/>
  <c r="J160" i="11"/>
  <c r="K159" i="11"/>
  <c r="J158" i="11"/>
  <c r="J157" i="11"/>
  <c r="J156" i="11"/>
  <c r="J153" i="11"/>
  <c r="I153" i="11"/>
  <c r="K152" i="11"/>
  <c r="J151" i="11"/>
  <c r="J150" i="11"/>
  <c r="J149" i="11"/>
  <c r="K144" i="11"/>
  <c r="G143" i="11"/>
  <c r="I139" i="11"/>
  <c r="I137" i="11"/>
  <c r="J133" i="11"/>
  <c r="I132" i="11"/>
  <c r="K132" i="11" s="1"/>
  <c r="K131" i="11"/>
  <c r="K130" i="11"/>
  <c r="K129" i="11"/>
  <c r="J125" i="11"/>
  <c r="I123" i="11"/>
  <c r="I121" i="11"/>
  <c r="I119" i="11"/>
  <c r="I117" i="11"/>
  <c r="G114" i="11"/>
  <c r="Q112" i="11"/>
  <c r="G112" i="11"/>
  <c r="I111" i="11"/>
  <c r="I110" i="11"/>
  <c r="J98" i="11"/>
  <c r="J97" i="11"/>
  <c r="J96" i="11"/>
  <c r="J95" i="11"/>
  <c r="I94" i="11"/>
  <c r="P94" i="11" s="1"/>
  <c r="G94" i="11"/>
  <c r="Q93" i="11"/>
  <c r="I93" i="11"/>
  <c r="P93" i="11" s="1"/>
  <c r="J77" i="11"/>
  <c r="J76" i="11"/>
  <c r="J75" i="11"/>
  <c r="J74" i="11"/>
  <c r="I73" i="11"/>
  <c r="G73" i="11"/>
  <c r="J70" i="11"/>
  <c r="I69" i="11"/>
  <c r="P69" i="11" s="1"/>
  <c r="G69" i="11"/>
  <c r="J64" i="11"/>
  <c r="I63" i="11"/>
  <c r="P63" i="11" s="1"/>
  <c r="G63" i="11"/>
  <c r="J61" i="11"/>
  <c r="J60" i="11"/>
  <c r="J59" i="11"/>
  <c r="I58" i="11"/>
  <c r="P58" i="11" s="1"/>
  <c r="G58" i="11"/>
  <c r="J56" i="11"/>
  <c r="I55" i="11"/>
  <c r="G55" i="11"/>
  <c r="I54" i="11"/>
  <c r="J49" i="11"/>
  <c r="K48" i="11"/>
  <c r="K683" i="11" s="1"/>
  <c r="J47" i="11"/>
  <c r="J46" i="11"/>
  <c r="J45" i="11"/>
  <c r="I44" i="11"/>
  <c r="P44" i="11" s="1"/>
  <c r="G44" i="11"/>
  <c r="J42" i="11"/>
  <c r="J41" i="11"/>
  <c r="J40" i="11"/>
  <c r="J39" i="11"/>
  <c r="I38" i="11"/>
  <c r="P38" i="11" s="1"/>
  <c r="G38" i="11"/>
  <c r="J36" i="11"/>
  <c r="J35" i="11"/>
  <c r="J34" i="11"/>
  <c r="I34" i="11"/>
  <c r="J33" i="11"/>
  <c r="I32" i="11"/>
  <c r="G32" i="11"/>
  <c r="J30" i="11"/>
  <c r="I29" i="11"/>
  <c r="G29" i="11"/>
  <c r="I28" i="11"/>
  <c r="G28" i="11"/>
  <c r="I27" i="11"/>
  <c r="G27" i="11"/>
  <c r="I26" i="11"/>
  <c r="G26" i="11"/>
  <c r="J24" i="11"/>
  <c r="G23" i="11"/>
  <c r="J21" i="11"/>
  <c r="J18" i="11"/>
  <c r="J15" i="11"/>
  <c r="J12" i="11"/>
  <c r="I11" i="11"/>
  <c r="L10" i="11"/>
  <c r="C10" i="11"/>
  <c r="C184" i="11" s="1"/>
  <c r="A10" i="11"/>
  <c r="O6" i="11"/>
  <c r="P6" i="11" s="1"/>
  <c r="I17" i="11"/>
  <c r="I20" i="11"/>
  <c r="I135" i="11"/>
  <c r="I115" i="11"/>
  <c r="G124" i="11"/>
  <c r="G318" i="11"/>
  <c r="I318" i="11"/>
  <c r="G651" i="11"/>
  <c r="D19" i="13" l="1"/>
  <c r="D46" i="13"/>
  <c r="Q127" i="11"/>
  <c r="I607" i="11"/>
  <c r="C340" i="11"/>
  <c r="I174" i="11"/>
  <c r="I180" i="11"/>
  <c r="I175" i="11"/>
  <c r="I171" i="11"/>
  <c r="G177" i="11"/>
  <c r="P135" i="11"/>
  <c r="O135" i="11"/>
  <c r="G180" i="11"/>
  <c r="C413" i="11"/>
  <c r="I398" i="11"/>
  <c r="O610" i="11"/>
  <c r="G648" i="11"/>
  <c r="G646" i="11"/>
  <c r="G643" i="11"/>
  <c r="G616" i="11"/>
  <c r="G584" i="11"/>
  <c r="G138" i="11"/>
  <c r="G139" i="11"/>
  <c r="G123" i="11"/>
  <c r="I120" i="11"/>
  <c r="I118" i="11"/>
  <c r="G658" i="11"/>
  <c r="G116" i="11"/>
  <c r="G641" i="11"/>
  <c r="G113" i="11"/>
  <c r="I146" i="11"/>
  <c r="C371" i="11"/>
  <c r="I356" i="11"/>
  <c r="C385" i="11"/>
  <c r="I374" i="11"/>
  <c r="G491" i="11"/>
  <c r="I647" i="11"/>
  <c r="G647" i="11"/>
  <c r="I172" i="11"/>
  <c r="I143" i="11"/>
  <c r="I122" i="11"/>
  <c r="G176" i="11"/>
  <c r="G170" i="11"/>
  <c r="I316" i="11"/>
  <c r="I113" i="11"/>
  <c r="G117" i="11"/>
  <c r="G119" i="11"/>
  <c r="G121" i="11"/>
  <c r="G137" i="11"/>
  <c r="G146" i="11"/>
  <c r="G155" i="11"/>
  <c r="I169" i="11"/>
  <c r="I173" i="11"/>
  <c r="I177" i="11"/>
  <c r="O177" i="11" s="1"/>
  <c r="I179" i="11"/>
  <c r="C272" i="11"/>
  <c r="C287" i="11" s="1"/>
  <c r="C301" i="11"/>
  <c r="G316" i="11"/>
  <c r="I365" i="11"/>
  <c r="I643" i="11"/>
  <c r="G672" i="11"/>
  <c r="I114" i="11"/>
  <c r="G118" i="11"/>
  <c r="G120" i="11"/>
  <c r="G122" i="11"/>
  <c r="G140" i="11"/>
  <c r="G147" i="11"/>
  <c r="G171" i="11"/>
  <c r="I176" i="11"/>
  <c r="I178" i="11"/>
  <c r="G259" i="11"/>
  <c r="G315" i="11"/>
  <c r="G317" i="11"/>
  <c r="G408" i="11"/>
  <c r="G457" i="11"/>
  <c r="C635" i="11"/>
  <c r="C655" i="11" s="1"/>
  <c r="G115" i="11"/>
  <c r="I116" i="11"/>
  <c r="I124" i="11"/>
  <c r="I128" i="11"/>
  <c r="P267" i="11" s="1"/>
  <c r="I138" i="11"/>
  <c r="I140" i="11"/>
  <c r="I147" i="11"/>
  <c r="G169" i="11"/>
  <c r="G173" i="11"/>
  <c r="G175" i="11"/>
  <c r="G179" i="11"/>
  <c r="I315" i="11"/>
  <c r="I317" i="11"/>
  <c r="I347" i="11"/>
  <c r="I353" i="11" s="1"/>
  <c r="N353" i="11" s="1"/>
  <c r="G365" i="11"/>
  <c r="I408" i="11"/>
  <c r="G439" i="11"/>
  <c r="I616" i="11"/>
  <c r="I619" i="11" s="1"/>
  <c r="G628" i="11"/>
  <c r="G671" i="11"/>
  <c r="I388" i="11"/>
  <c r="I395" i="11" s="1"/>
  <c r="P529" i="11"/>
  <c r="N529" i="11"/>
  <c r="C531" i="11"/>
  <c r="C544" i="11" s="1"/>
  <c r="C208" i="11"/>
  <c r="C210" i="11" s="1"/>
  <c r="N210" i="11" s="1"/>
  <c r="C222" i="11"/>
  <c r="C230" i="11" s="1"/>
  <c r="N230" i="11" s="1"/>
  <c r="C585" i="11"/>
  <c r="P584" i="11"/>
  <c r="O584" i="11" s="1"/>
  <c r="O576" i="11"/>
  <c r="I14" i="11"/>
  <c r="Q8" i="11" s="1"/>
  <c r="C463" i="11"/>
  <c r="J683" i="11"/>
  <c r="I442" i="11"/>
  <c r="C448" i="11"/>
  <c r="O39" i="11"/>
  <c r="I416" i="11"/>
  <c r="C426" i="11"/>
  <c r="L683" i="11"/>
  <c r="P194" i="11"/>
  <c r="Q194" i="11"/>
  <c r="P220" i="11"/>
  <c r="N220" i="11"/>
  <c r="P501" i="11"/>
  <c r="N501" i="11"/>
  <c r="O501" i="11" s="1"/>
  <c r="N607" i="11"/>
  <c r="N513" i="11"/>
  <c r="N591" i="11"/>
  <c r="I544" i="11"/>
  <c r="N544" i="11" s="1"/>
  <c r="I477" i="11"/>
  <c r="I484" i="11" s="1"/>
  <c r="N484" i="11" s="1"/>
  <c r="C37" i="2"/>
  <c r="D11" i="13" l="1"/>
  <c r="D44" i="13"/>
  <c r="C681" i="11"/>
  <c r="P585" i="11"/>
  <c r="P592" i="11" s="1"/>
  <c r="O140" i="11"/>
  <c r="I655" i="11"/>
  <c r="N655" i="11" s="1"/>
  <c r="O457" i="11"/>
  <c r="N619" i="11"/>
  <c r="I243" i="11"/>
  <c r="C325" i="11"/>
  <c r="I301" i="11"/>
  <c r="O115" i="11"/>
  <c r="P188" i="11"/>
  <c r="P128" i="11"/>
  <c r="O170" i="11"/>
  <c r="P171" i="11"/>
  <c r="N585" i="11"/>
  <c r="O585" i="11" s="1"/>
  <c r="C474" i="11"/>
  <c r="I464" i="11"/>
  <c r="I293" i="11"/>
  <c r="C387" i="11"/>
  <c r="C395" i="11" s="1"/>
  <c r="P544" i="11"/>
  <c r="L690" i="11"/>
  <c r="D62" i="3"/>
  <c r="D9" i="13" l="1"/>
  <c r="C683" i="11"/>
  <c r="I359" i="11"/>
  <c r="I278" i="11"/>
  <c r="I287" i="11" s="1"/>
  <c r="I377" i="11"/>
  <c r="I331" i="11"/>
  <c r="I155" i="11"/>
  <c r="I467" i="11"/>
  <c r="P54" i="11" s="1"/>
  <c r="I445" i="11"/>
  <c r="I432" i="11"/>
  <c r="I297" i="11"/>
  <c r="P73" i="11" s="1"/>
  <c r="I401" i="11"/>
  <c r="I148" i="11"/>
  <c r="I127" i="11"/>
  <c r="N395" i="11"/>
  <c r="M394" i="11" s="1"/>
  <c r="C680" i="11"/>
  <c r="I290" i="11"/>
  <c r="G8" i="6"/>
  <c r="D163" i="13" l="1"/>
  <c r="I474" i="11"/>
  <c r="N474" i="11" s="1"/>
  <c r="I308" i="11"/>
  <c r="I419" i="11"/>
  <c r="P331" i="11"/>
  <c r="P32" i="11"/>
  <c r="O331" i="11"/>
  <c r="I340" i="11"/>
  <c r="N340" i="11" s="1"/>
  <c r="O340" i="11" s="1"/>
  <c r="I240" i="11"/>
  <c r="K690" i="11"/>
  <c r="O255" i="11"/>
  <c r="P148" i="11"/>
  <c r="P218" i="11"/>
  <c r="O445" i="11"/>
  <c r="P110" i="11"/>
  <c r="I448" i="11"/>
  <c r="N448" i="11" s="1"/>
  <c r="O377" i="11"/>
  <c r="P111" i="11"/>
  <c r="I385" i="11"/>
  <c r="N385" i="11" s="1"/>
  <c r="I184" i="11"/>
  <c r="P127" i="11"/>
  <c r="Q69" i="11"/>
  <c r="Q135" i="11"/>
  <c r="P401" i="11"/>
  <c r="P27" i="11"/>
  <c r="I413" i="11"/>
  <c r="N413" i="11" s="1"/>
  <c r="P55" i="11"/>
  <c r="O359" i="11"/>
  <c r="I371" i="11"/>
  <c r="N371" i="11" s="1"/>
  <c r="P28" i="11"/>
  <c r="P432" i="11"/>
  <c r="I440" i="11"/>
  <c r="N440" i="11" s="1"/>
  <c r="N287" i="11"/>
  <c r="P287" i="11"/>
  <c r="C682" i="11"/>
  <c r="C691" i="11" s="1"/>
  <c r="I299" i="11"/>
  <c r="E23" i="4"/>
  <c r="G21" i="4"/>
  <c r="E147" i="13" l="1"/>
  <c r="E40" i="13"/>
  <c r="E17" i="13"/>
  <c r="E56" i="13"/>
  <c r="E156" i="13"/>
  <c r="E121" i="13"/>
  <c r="E68" i="13"/>
  <c r="E33" i="13"/>
  <c r="E23" i="13"/>
  <c r="E71" i="13"/>
  <c r="E26" i="13"/>
  <c r="E163" i="13"/>
  <c r="E103" i="13"/>
  <c r="E65" i="13"/>
  <c r="E141" i="13"/>
  <c r="E133" i="13"/>
  <c r="E126" i="13"/>
  <c r="E67" i="13"/>
  <c r="E58" i="13"/>
  <c r="E69" i="13"/>
  <c r="E34" i="13"/>
  <c r="D167" i="13"/>
  <c r="D169" i="13" s="1"/>
  <c r="E169" i="13" s="1"/>
  <c r="E153" i="13"/>
  <c r="E29" i="13"/>
  <c r="E50" i="13"/>
  <c r="E137" i="13"/>
  <c r="E110" i="13"/>
  <c r="E73" i="13"/>
  <c r="E41" i="13"/>
  <c r="E117" i="13"/>
  <c r="E78" i="13"/>
  <c r="E140" i="13"/>
  <c r="E95" i="13"/>
  <c r="E112" i="13"/>
  <c r="E113" i="13"/>
  <c r="E85" i="13"/>
  <c r="E61" i="13"/>
  <c r="E125" i="13"/>
  <c r="E88" i="13"/>
  <c r="E109" i="13"/>
  <c r="E97" i="13"/>
  <c r="E136" i="13"/>
  <c r="E24" i="13"/>
  <c r="E66" i="13"/>
  <c r="E28" i="13"/>
  <c r="E70" i="13"/>
  <c r="E32" i="13"/>
  <c r="E132" i="13"/>
  <c r="E79" i="13"/>
  <c r="E94" i="13"/>
  <c r="E57" i="13"/>
  <c r="E83" i="13"/>
  <c r="E13" i="13"/>
  <c r="E87" i="13"/>
  <c r="E130" i="13"/>
  <c r="E48" i="13"/>
  <c r="E55" i="13"/>
  <c r="E81" i="13"/>
  <c r="E101" i="13"/>
  <c r="E39" i="13"/>
  <c r="E60" i="13"/>
  <c r="E72" i="13"/>
  <c r="E120" i="13"/>
  <c r="E123" i="13"/>
  <c r="E80" i="13"/>
  <c r="E96" i="13"/>
  <c r="E98" i="13"/>
  <c r="E15" i="13"/>
  <c r="E25" i="13"/>
  <c r="E77" i="13"/>
  <c r="E119" i="13"/>
  <c r="E16" i="13"/>
  <c r="E63" i="13"/>
  <c r="E64" i="13"/>
  <c r="E128" i="13"/>
  <c r="E92" i="13"/>
  <c r="E54" i="13"/>
  <c r="E107" i="13"/>
  <c r="E22" i="13"/>
  <c r="E115" i="13"/>
  <c r="E75" i="13"/>
  <c r="E31" i="13"/>
  <c r="E37" i="13"/>
  <c r="E59" i="13"/>
  <c r="E52" i="13"/>
  <c r="E90" i="13"/>
  <c r="E21" i="13"/>
  <c r="E105" i="13"/>
  <c r="E19" i="13"/>
  <c r="E46" i="13"/>
  <c r="E11" i="13"/>
  <c r="E44" i="13"/>
  <c r="E9" i="13"/>
  <c r="Q184" i="11"/>
  <c r="N184" i="11"/>
  <c r="Q240" i="11"/>
  <c r="P11" i="11"/>
  <c r="I270" i="11"/>
  <c r="O308" i="11"/>
  <c r="I325" i="11"/>
  <c r="N325" i="11" s="1"/>
  <c r="P26" i="11"/>
  <c r="Q26" i="11" s="1"/>
  <c r="R26" i="11" s="1"/>
  <c r="P419" i="11"/>
  <c r="I426" i="11"/>
  <c r="N426" i="11" s="1"/>
  <c r="N299" i="11"/>
  <c r="A11" i="7"/>
  <c r="I23" i="7" s="1"/>
  <c r="I680" i="11" l="1"/>
  <c r="P680" i="11" s="1"/>
  <c r="N680" i="11"/>
  <c r="N691" i="11" s="1"/>
  <c r="N692" i="11" s="1"/>
  <c r="N270" i="11"/>
  <c r="P270" i="11"/>
  <c r="P288" i="11" s="1"/>
  <c r="J690" i="11"/>
  <c r="C684" i="11"/>
  <c r="D24" i="7"/>
  <c r="F24" i="7" s="1"/>
  <c r="F25" i="7" s="1"/>
  <c r="B13" i="7"/>
  <c r="J11" i="7"/>
  <c r="J13" i="7" s="1"/>
  <c r="H11" i="7"/>
  <c r="H13" i="7" s="1"/>
  <c r="F11" i="7"/>
  <c r="F13" i="7" s="1"/>
  <c r="D11" i="7"/>
  <c r="B11" i="7"/>
  <c r="D16" i="6"/>
  <c r="G16" i="6" s="1"/>
  <c r="D15" i="6"/>
  <c r="F15" i="6" s="1"/>
  <c r="D14" i="6"/>
  <c r="F14" i="6" s="1"/>
  <c r="D13" i="6"/>
  <c r="G13" i="6" s="1"/>
  <c r="G9" i="6"/>
  <c r="D22" i="5"/>
  <c r="D21" i="4"/>
  <c r="D25" i="4" s="1"/>
  <c r="C21" i="4"/>
  <c r="C25" i="4" s="1"/>
  <c r="E20" i="4"/>
  <c r="E19" i="4"/>
  <c r="E18" i="4"/>
  <c r="E17" i="4"/>
  <c r="E16" i="4"/>
  <c r="E15" i="4"/>
  <c r="E14" i="4"/>
  <c r="E13" i="4"/>
  <c r="E12" i="4"/>
  <c r="D67" i="3"/>
  <c r="D45" i="3"/>
  <c r="D40" i="3"/>
  <c r="C24" i="3"/>
  <c r="D24" i="3"/>
  <c r="O20" i="2"/>
  <c r="N20" i="2"/>
  <c r="M20" i="2"/>
  <c r="L20" i="2"/>
  <c r="K20" i="2"/>
  <c r="J20" i="2"/>
  <c r="I20" i="2"/>
  <c r="G20" i="2"/>
  <c r="F20" i="2"/>
  <c r="E20" i="2"/>
  <c r="D20" i="2"/>
  <c r="C20" i="2"/>
  <c r="B20" i="2"/>
  <c r="O680" i="11" l="1"/>
  <c r="Q680" i="11"/>
  <c r="C46" i="2"/>
  <c r="C47" i="2"/>
  <c r="C48" i="2"/>
  <c r="F13" i="6"/>
  <c r="G14" i="6"/>
  <c r="C45" i="2"/>
  <c r="C27" i="2"/>
  <c r="C26" i="2"/>
  <c r="C36" i="2"/>
  <c r="E21" i="4"/>
  <c r="E25" i="4" s="1"/>
  <c r="C28" i="3"/>
  <c r="C31" i="3" s="1"/>
  <c r="L11" i="7"/>
  <c r="L13" i="7" s="1"/>
  <c r="F19" i="6"/>
  <c r="C49" i="2"/>
  <c r="D28" i="3"/>
  <c r="D31" i="3" s="1"/>
  <c r="C28" i="2"/>
  <c r="G15" i="6"/>
  <c r="G19" i="6" s="1"/>
  <c r="D13" i="7"/>
  <c r="F16" i="6"/>
  <c r="C35" i="2"/>
  <c r="I548" i="11" l="1"/>
  <c r="I199" i="11"/>
  <c r="I206" i="11" l="1"/>
  <c r="P182" i="11"/>
  <c r="P206" i="11"/>
  <c r="O516" i="11"/>
  <c r="I551" i="11"/>
  <c r="P14" i="11" s="1"/>
  <c r="Q11" i="11" s="1"/>
  <c r="R11" i="11" s="1"/>
  <c r="O519" i="11" l="1"/>
  <c r="N206" i="11"/>
  <c r="O551" i="11"/>
  <c r="O505" i="11"/>
  <c r="I559" i="11"/>
  <c r="N559" i="11" s="1"/>
  <c r="I683" i="11" l="1"/>
  <c r="N681" i="11"/>
  <c r="N682" i="11" s="1"/>
  <c r="N683" i="11"/>
  <c r="I681" i="11"/>
  <c r="O681" i="11" l="1"/>
  <c r="I682" i="11"/>
  <c r="O682" i="11" s="1"/>
  <c r="P681" i="11"/>
  <c r="P682" i="11" s="1"/>
  <c r="O683" i="11"/>
  <c r="I691" i="11"/>
  <c r="I690" i="11"/>
  <c r="E27" i="16"/>
  <c r="E22" i="17"/>
  <c r="E29" i="17"/>
  <c r="E28" i="17" s="1"/>
  <c r="E30" i="17"/>
  <c r="E34" i="17"/>
  <c r="E38" i="17"/>
  <c r="G38" i="17" s="1"/>
  <c r="E39" i="17"/>
  <c r="E41" i="17"/>
  <c r="E48" i="15"/>
  <c r="E24" i="17"/>
  <c r="E24" i="16"/>
  <c r="E25" i="17"/>
  <c r="E42" i="15"/>
  <c r="E40" i="15"/>
  <c r="E27" i="17"/>
  <c r="E43" i="15"/>
  <c r="E37" i="15"/>
  <c r="E36" i="15"/>
  <c r="E14" i="15"/>
  <c r="E16" i="16"/>
  <c r="E21" i="17"/>
  <c r="E14" i="17"/>
  <c r="E37" i="17"/>
  <c r="E43" i="17"/>
  <c r="E41" i="15"/>
  <c r="E31" i="16"/>
  <c r="E26" i="16"/>
  <c r="E60" i="15"/>
  <c r="E12" i="16"/>
  <c r="I164" i="18"/>
  <c r="P164" i="18" s="1"/>
  <c r="I168" i="18"/>
  <c r="I167" i="18"/>
  <c r="I651" i="18"/>
  <c r="I242" i="18"/>
  <c r="P14" i="18" s="1"/>
  <c r="I113" i="18"/>
  <c r="I135" i="18"/>
  <c r="I122" i="18"/>
  <c r="I117" i="18"/>
  <c r="I114" i="18"/>
  <c r="G115" i="18"/>
  <c r="I115" i="18"/>
  <c r="I116" i="18"/>
  <c r="G118" i="18"/>
  <c r="I119" i="18"/>
  <c r="G120" i="18"/>
  <c r="I120" i="18"/>
  <c r="I121" i="18"/>
  <c r="G122" i="18"/>
  <c r="G123" i="18"/>
  <c r="I123" i="18"/>
  <c r="G124" i="18"/>
  <c r="I124" i="18"/>
  <c r="G605" i="18"/>
  <c r="I128" i="18"/>
  <c r="G139" i="18"/>
  <c r="I139" i="18"/>
  <c r="G137" i="18"/>
  <c r="I137" i="18"/>
  <c r="G620" i="18"/>
  <c r="I620" i="18"/>
  <c r="I623" i="18" s="1"/>
  <c r="N623" i="18" s="1"/>
  <c r="G140" i="18"/>
  <c r="I140" i="18"/>
  <c r="G647" i="18"/>
  <c r="I647" i="18"/>
  <c r="I659" i="18" s="1"/>
  <c r="N659" i="18" s="1"/>
  <c r="G143" i="18"/>
  <c r="G146" i="18"/>
  <c r="I146" i="18"/>
  <c r="G147" i="18"/>
  <c r="I147" i="18"/>
  <c r="I315" i="18"/>
  <c r="G316" i="18"/>
  <c r="I316" i="18"/>
  <c r="I317" i="18"/>
  <c r="G365" i="18"/>
  <c r="I365" i="18"/>
  <c r="G650" i="18"/>
  <c r="G162" i="18"/>
  <c r="G410" i="18"/>
  <c r="G164" i="18"/>
  <c r="G166" i="18"/>
  <c r="G168" i="18"/>
  <c r="G169" i="18"/>
  <c r="G170" i="18"/>
  <c r="G171" i="18"/>
  <c r="G172" i="18"/>
  <c r="G173" i="18"/>
  <c r="G632" i="18"/>
  <c r="I169" i="18"/>
  <c r="I171" i="18"/>
  <c r="I170" i="18"/>
  <c r="I166" i="18"/>
  <c r="I172" i="18"/>
  <c r="I165" i="18"/>
  <c r="I410" i="18"/>
  <c r="I143" i="18"/>
  <c r="I177" i="18"/>
  <c r="G461" i="18" l="1"/>
  <c r="G317" i="18"/>
  <c r="G155" i="18"/>
  <c r="I239" i="18"/>
  <c r="G652" i="18"/>
  <c r="E14" i="16"/>
  <c r="I162" i="18"/>
  <c r="I314" i="18"/>
  <c r="P178" i="18"/>
  <c r="P177" i="18"/>
  <c r="Q177" i="18" s="1"/>
  <c r="I176" i="18"/>
  <c r="I155" i="18"/>
  <c r="E58" i="15"/>
  <c r="H27" i="17"/>
  <c r="G443" i="18"/>
  <c r="G165" i="18"/>
  <c r="G588" i="18"/>
  <c r="G138" i="18"/>
  <c r="G495" i="18"/>
  <c r="P135" i="18"/>
  <c r="P266" i="18"/>
  <c r="G662" i="18"/>
  <c r="G116" i="18"/>
  <c r="E25" i="16"/>
  <c r="I173" i="18"/>
  <c r="G314" i="18"/>
  <c r="G679" i="18"/>
  <c r="G258" i="18"/>
  <c r="G119" i="18"/>
  <c r="E15" i="14"/>
  <c r="E23" i="16"/>
  <c r="G167" i="18"/>
  <c r="G655" i="18"/>
  <c r="G651" i="18"/>
  <c r="G163" i="18"/>
  <c r="I118" i="18"/>
  <c r="G114" i="18"/>
  <c r="G645" i="18"/>
  <c r="G113" i="18"/>
  <c r="E35" i="15"/>
  <c r="E47" i="15"/>
  <c r="G315" i="18"/>
  <c r="I138" i="18"/>
  <c r="P182" i="18"/>
  <c r="P128" i="18"/>
  <c r="G675" i="18"/>
  <c r="G121" i="18"/>
  <c r="G117" i="18"/>
  <c r="G641" i="18"/>
  <c r="G676" i="18"/>
  <c r="E20" i="17"/>
  <c r="E38" i="15"/>
  <c r="E21" i="16"/>
  <c r="E20" i="16" s="1"/>
  <c r="E39" i="15"/>
  <c r="E23" i="17"/>
  <c r="K694" i="18" l="1"/>
  <c r="E29" i="16"/>
  <c r="E10" i="17"/>
  <c r="E12" i="17"/>
  <c r="E10" i="15"/>
  <c r="E23" i="14"/>
  <c r="E18" i="16"/>
  <c r="E10" i="16"/>
  <c r="E18" i="17"/>
  <c r="E51" i="15"/>
  <c r="P176" i="18"/>
  <c r="Q127" i="18"/>
  <c r="E22" i="16"/>
  <c r="I330" i="18" l="1"/>
  <c r="I358" i="18"/>
  <c r="I377" i="18"/>
  <c r="I148" i="18"/>
  <c r="E8" i="17"/>
  <c r="E12" i="15"/>
  <c r="I234" i="18"/>
  <c r="E33" i="16"/>
  <c r="I421" i="18"/>
  <c r="I307" i="18"/>
  <c r="I324" i="18" s="1"/>
  <c r="N324" i="18" s="1"/>
  <c r="I402" i="18"/>
  <c r="I127" i="18"/>
  <c r="E18" i="15"/>
  <c r="E21" i="14"/>
  <c r="I449" i="18"/>
  <c r="I277" i="18"/>
  <c r="I286" i="18" s="1"/>
  <c r="E16" i="17"/>
  <c r="I435" i="18"/>
  <c r="E16" i="15"/>
  <c r="E8" i="16"/>
  <c r="E11" i="14"/>
  <c r="E8" i="15" l="1"/>
  <c r="E19" i="14"/>
  <c r="E6" i="17"/>
  <c r="P111" i="18"/>
  <c r="I386" i="18"/>
  <c r="N386" i="18" s="1"/>
  <c r="P26" i="18"/>
  <c r="P421" i="18"/>
  <c r="I429" i="18"/>
  <c r="N286" i="18"/>
  <c r="P286" i="18"/>
  <c r="Q234" i="18"/>
  <c r="I269" i="18"/>
  <c r="P11" i="18"/>
  <c r="Q11" i="18" s="1"/>
  <c r="R11" i="18" s="1"/>
  <c r="I296" i="18"/>
  <c r="P402" i="18"/>
  <c r="P27" i="18"/>
  <c r="I415" i="18"/>
  <c r="N415" i="18" s="1"/>
  <c r="F8" i="16"/>
  <c r="E6" i="16"/>
  <c r="P435" i="18"/>
  <c r="P28" i="18"/>
  <c r="I444" i="18"/>
  <c r="N444" i="18" s="1"/>
  <c r="F33" i="16"/>
  <c r="E25" i="14"/>
  <c r="P330" i="18"/>
  <c r="P32" i="18"/>
  <c r="I339" i="18"/>
  <c r="N339" i="18" s="1"/>
  <c r="P127" i="18"/>
  <c r="Q69" i="18"/>
  <c r="Q135" i="18"/>
  <c r="E13" i="14"/>
  <c r="I471" i="18"/>
  <c r="F16" i="17"/>
  <c r="P212" i="18"/>
  <c r="P148" i="18"/>
  <c r="I178" i="18"/>
  <c r="I371" i="18"/>
  <c r="N371" i="18" s="1"/>
  <c r="P55" i="18"/>
  <c r="H11" i="14"/>
  <c r="G11" i="14"/>
  <c r="E17" i="14"/>
  <c r="P110" i="18"/>
  <c r="I452" i="18"/>
  <c r="N452" i="18" s="1"/>
  <c r="F6" i="16" l="1"/>
  <c r="P73" i="18"/>
  <c r="Q26" i="18" s="1"/>
  <c r="R26" i="18" s="1"/>
  <c r="I298" i="18"/>
  <c r="N298" i="18" s="1"/>
  <c r="N269" i="18"/>
  <c r="I685" i="18"/>
  <c r="P685" i="18" s="1"/>
  <c r="Q178" i="18"/>
  <c r="N178" i="18"/>
  <c r="I687" i="18"/>
  <c r="F23" i="17"/>
  <c r="F30" i="17"/>
  <c r="F33" i="17"/>
  <c r="F20" i="17"/>
  <c r="F36" i="17"/>
  <c r="F35" i="17"/>
  <c r="F27" i="17"/>
  <c r="F14" i="17"/>
  <c r="F43" i="17"/>
  <c r="F21" i="17"/>
  <c r="F24" i="17"/>
  <c r="F41" i="17"/>
  <c r="F25" i="17"/>
  <c r="F12" i="17"/>
  <c r="F10" i="17"/>
  <c r="F18" i="17"/>
  <c r="P54" i="18"/>
  <c r="P470" i="18"/>
  <c r="I478" i="18"/>
  <c r="N478" i="18" s="1"/>
  <c r="J694" i="18"/>
  <c r="F8" i="17"/>
  <c r="E6" i="15"/>
  <c r="F8" i="15"/>
  <c r="E9" i="14"/>
  <c r="F21" i="16"/>
  <c r="F22" i="16"/>
  <c r="F20" i="16"/>
  <c r="F25" i="16"/>
  <c r="F26" i="16"/>
  <c r="F16" i="16"/>
  <c r="F27" i="16"/>
  <c r="F24" i="16"/>
  <c r="F12" i="16"/>
  <c r="F31" i="16"/>
  <c r="F14" i="16"/>
  <c r="F23" i="16"/>
  <c r="F18" i="16"/>
  <c r="F29" i="16"/>
  <c r="F10" i="16"/>
  <c r="I684" i="18"/>
  <c r="N429" i="18"/>
  <c r="I694" i="18" l="1"/>
  <c r="I695" i="18"/>
  <c r="L697" i="18"/>
  <c r="N685" i="18"/>
  <c r="P269" i="18"/>
  <c r="P287" i="18" s="1"/>
  <c r="E7" i="14"/>
  <c r="F6" i="17"/>
  <c r="F53" i="15"/>
  <c r="F32" i="15"/>
  <c r="G6" i="16"/>
  <c r="G7" i="16" s="1"/>
  <c r="F30" i="15"/>
  <c r="F56" i="15"/>
  <c r="F34" i="15"/>
  <c r="F27" i="15"/>
  <c r="F25" i="15"/>
  <c r="F23" i="15"/>
  <c r="F24" i="15"/>
  <c r="F55" i="15"/>
  <c r="F29" i="15"/>
  <c r="F28" i="15"/>
  <c r="F26" i="15"/>
  <c r="F31" i="15"/>
  <c r="F52" i="15"/>
  <c r="F21" i="15"/>
  <c r="F49" i="15"/>
  <c r="F20" i="15"/>
  <c r="F60" i="15"/>
  <c r="F48" i="15"/>
  <c r="F41" i="15"/>
  <c r="F40" i="15"/>
  <c r="F14" i="15"/>
  <c r="F58" i="15"/>
  <c r="F39" i="15"/>
  <c r="F47" i="15"/>
  <c r="F10" i="15"/>
  <c r="F51" i="15"/>
  <c r="F16" i="15"/>
  <c r="F12" i="15"/>
  <c r="F6" i="15" s="1"/>
  <c r="F18" i="15"/>
  <c r="P684" i="18"/>
  <c r="I686" i="18"/>
  <c r="N684" i="18"/>
  <c r="N695" i="18" s="1"/>
  <c r="N696" i="18" s="1"/>
  <c r="N687" i="18"/>
  <c r="P686" i="18"/>
  <c r="Q684" i="18" l="1"/>
  <c r="N686" i="18"/>
  <c r="G9" i="14"/>
  <c r="F15" i="14"/>
  <c r="F23" i="14"/>
  <c r="F21" i="14"/>
  <c r="F11" i="14"/>
  <c r="F25" i="14"/>
  <c r="F17" i="14"/>
  <c r="F13" i="14"/>
  <c r="E45" i="17"/>
  <c r="E37" i="16"/>
  <c r="F19" i="14"/>
  <c r="F9" i="14"/>
  <c r="I697" i="18"/>
  <c r="F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author>
    <author>Planificacion</author>
  </authors>
  <commentList>
    <comment ref="I11" authorId="0" shapeId="0" xr:uid="{C092DFD8-A5EA-48F6-BF08-D981E7EAE8A1}">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O11" authorId="1" shapeId="0" xr:uid="{4D224234-B417-4073-ADA7-BF9164716E66}">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181" authorId="0" shapeId="0" xr:uid="{A13032CD-6038-48AD-A3F5-322EEE86E1A3}">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M23</t>
        </r>
      </text>
    </comment>
    <comment ref="I185" authorId="0" shapeId="0" xr:uid="{CD998B81-32CF-475E-9272-5108314E64F9}">
      <text>
        <r>
          <rPr>
            <b/>
            <sz val="8"/>
            <color indexed="81"/>
            <rFont val="Tahoma"/>
            <family val="2"/>
          </rPr>
          <t>Según Ley 7729 se podrá disponer de un porcentaje (que nosotros hemos estimado en 20%) para gastos en PROYECTOS Y OBRAS:</t>
        </r>
        <r>
          <rPr>
            <sz val="8"/>
            <color indexed="81"/>
            <rFont val="Tahoma"/>
            <family val="2"/>
          </rPr>
          <t xml:space="preserve">
ESTOS RECURSOS DEBERAN DISTRIBUIRSE ENTRE LOS DIFERENTES GRUPOS Y REGLONES DEL PROGRAMA III en los reglones que siguen.
ADEMAS SE DEBE VARIAR LA FORMULA CADA VEZ QUE SE ABRA UN REGLON NUEVO HACIA ABAJO RESTANDO A </t>
        </r>
        <r>
          <rPr>
            <sz val="8"/>
            <color indexed="81"/>
            <rFont val="Tahoma"/>
            <family val="2"/>
          </rPr>
          <t>M30</t>
        </r>
      </text>
    </comment>
    <comment ref="I234" authorId="1" shapeId="0" xr:uid="{57E99EC9-0D76-441D-BBDF-E9B6C1ED7140}">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239" authorId="1" shapeId="0" xr:uid="{A6A07D5A-3CCB-48CE-9852-4D10226B09DB}">
      <text>
        <r>
          <rPr>
            <b/>
            <sz val="8"/>
            <color indexed="81"/>
            <rFont val="Tahoma"/>
            <family val="2"/>
          </rPr>
          <t xml:space="preserve">Este ingreso no tiene un fin específico por lo que puede utilizarse para sufragar los gastos de  LOS DIFERENTES GRUPOS Y REGLONES DEL PROGRAMA I,  en los reglones que siguen.
ADEMAS SE DEBE VARIAR LA FORMULA CADA VEZ QUE SE ABRA UN REGLON NUEVO HACIA ABAJO RESTANDO A M40
</t>
        </r>
      </text>
    </comment>
    <comment ref="I307" authorId="0" shapeId="0" xr:uid="{E5961017-B1BE-4DD0-B911-AB48B015C723}">
      <text>
        <r>
          <rPr>
            <sz val="8"/>
            <color indexed="81"/>
            <rFont val="Tahoma"/>
            <family val="2"/>
          </rPr>
          <t xml:space="preserve">De este ingreso se destina un 10% para Gasto Administrativo del Programa I, que se deberá distribuir en los renglones o grupos que mejor se consideren teniendo que abrirse hacia abajo  y restando cada renglón abierto a </t>
        </r>
        <r>
          <rPr>
            <sz val="8"/>
            <color indexed="81"/>
            <rFont val="Tahoma"/>
            <family val="2"/>
          </rPr>
          <t>M98</t>
        </r>
      </text>
    </comment>
    <comment ref="I327" authorId="0" shapeId="0" xr:uid="{E8A445EE-860E-45B2-B8ED-B26F212C118F}">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Una vez que esto se haya hecho se pueden tomar estos recursos sobrantes para sufragar gastos del Programa I. EN TAL CASO SE DEBE VARIAR LA FORMULA CADA VEZ QUE SE ABRA UN REGLON NUEVO HACIA ABAJO RESTANDO A </t>
        </r>
        <r>
          <rPr>
            <sz val="8"/>
            <color indexed="81"/>
            <rFont val="Tahoma"/>
            <family val="2"/>
          </rPr>
          <t>M110</t>
        </r>
      </text>
    </comment>
    <comment ref="I346" authorId="0" shapeId="0" xr:uid="{78B4E70D-ABEE-4A40-9DE4-367028E368EF}">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389" authorId="1" shapeId="0" xr:uid="{F56B5CD5-8216-4A85-AA28-159B141BDF26}">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 ref="I399" authorId="0" shapeId="0" xr:uid="{5BF2514E-1A6A-4D47-AC24-3277074E8A4C}">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18" authorId="0" shapeId="0" xr:uid="{33EEC864-9AEE-45FE-ABB8-5E7D3DF70D3D}">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32" authorId="0" shapeId="0" xr:uid="{AB481689-8B8F-46FE-AA8C-E8C47E82A92D}">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46" authorId="0" shapeId="0" xr:uid="{F29C60DE-D88E-4F24-B373-5DCA7203080E}">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449" authorId="0" shapeId="0" xr:uid="{13409510-99A2-4F1D-A601-BD70BAF907FD}">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81" authorId="0" shapeId="0" xr:uid="{1928AEFF-D9EA-486A-AA27-1E012BA4E87C}">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520" authorId="0" shapeId="0" xr:uid="{761EEC0B-24C4-49D0-850E-47A0194C655D}">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 xml:space="preserve">M218
</t>
        </r>
      </text>
    </comment>
    <comment ref="I536" authorId="1" shapeId="0" xr:uid="{34048C75-C2C5-490F-B30E-BB0C15734BC9}">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540" authorId="0" shapeId="0" xr:uid="{952C9C34-F5EA-460C-A4DD-0B07A3FF5899}">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I632" authorId="0" shapeId="0" xr:uid="{16940F2E-19C8-4DCA-B1D8-533E80FC4CE6}">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author>
    <author>Planificacion</author>
  </authors>
  <commentList>
    <comment ref="I11" authorId="0" shapeId="0" xr:uid="{F78D38CB-9FCC-4BC6-807A-7F1583E8F66D}">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O11" authorId="1" shapeId="0" xr:uid="{F292E5B0-1BFB-4838-B218-EFF57F9CCF12}">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187" authorId="0" shapeId="0" xr:uid="{AF6C6D17-81F7-48B0-9F92-A670E810FE92}">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M23</t>
        </r>
      </text>
    </comment>
    <comment ref="I191" authorId="0" shapeId="0" xr:uid="{49DDFCC2-7AEA-4154-AD0B-CDC8079EE5CF}">
      <text>
        <r>
          <rPr>
            <b/>
            <sz val="8"/>
            <color indexed="81"/>
            <rFont val="Tahoma"/>
            <family val="2"/>
          </rPr>
          <t>Según Ley 7729 se podrá disponer de un porcentaje (que nosotros hemos estimado en 20%) para gastos en PROYECTOS Y OBRAS:</t>
        </r>
        <r>
          <rPr>
            <sz val="8"/>
            <color indexed="81"/>
            <rFont val="Tahoma"/>
            <family val="2"/>
          </rPr>
          <t xml:space="preserve">
ESTOS RECURSOS DEBERAN DISTRIBUIRSE ENTRE LOS DIFERENTES GRUPOS Y REGLONES DEL PROGRAMA III en los reglones que siguen.
ADEMAS SE DEBE VARIAR LA FORMULA CADA VEZ QUE SE ABRA UN REGLON NUEVO HACIA ABAJO RESTANDO A </t>
        </r>
        <r>
          <rPr>
            <sz val="8"/>
            <color indexed="81"/>
            <rFont val="Tahoma"/>
            <family val="2"/>
          </rPr>
          <t>M30</t>
        </r>
      </text>
    </comment>
    <comment ref="I240" authorId="1" shapeId="0" xr:uid="{46A0F3FE-33D2-4553-AA76-572D40EACB88}">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243" authorId="1" shapeId="0" xr:uid="{DE701FF7-65F3-4A27-8A29-DFDE88446DA3}">
      <text>
        <r>
          <rPr>
            <b/>
            <sz val="8"/>
            <color indexed="81"/>
            <rFont val="Tahoma"/>
            <family val="2"/>
          </rPr>
          <t xml:space="preserve">Este ingreso no tiene un fin específico por lo que puede utilizarse para sufragar los gastos de  LOS DIFERENTES GRUPOS Y REGLONES DEL PROGRAMA I,  en los reglones que siguen.
ADEMAS SE DEBE VARIAR LA FORMULA CADA VEZ QUE SE ABRA UN REGLON NUEVO HACIA ABAJO RESTANDO A M40
</t>
        </r>
      </text>
    </comment>
    <comment ref="I308" authorId="0" shapeId="0" xr:uid="{07F92908-F045-4676-8C05-3F9D2206E7C4}">
      <text>
        <r>
          <rPr>
            <sz val="8"/>
            <color indexed="81"/>
            <rFont val="Tahoma"/>
            <family val="2"/>
          </rPr>
          <t xml:space="preserve">De este ingreso se destina un 10% para Gasto Administrativo del Programa I, que se deberá distribuir en los renglones o grupos que mejor se consideren teniendo que abrirse hacia abajo  y restando cada renglón abierto a </t>
        </r>
        <r>
          <rPr>
            <sz val="8"/>
            <color indexed="81"/>
            <rFont val="Tahoma"/>
            <family val="2"/>
          </rPr>
          <t>M98</t>
        </r>
      </text>
    </comment>
    <comment ref="I328" authorId="0" shapeId="0" xr:uid="{F7B92D06-401C-47A3-9893-00618ACDCBD6}">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Una vez que esto se haya hecho se pueden tomar estos recursos sobrantes para sufragar gastos del Programa I. EN TAL CASO SE DEBE VARIAR LA FORMULA CADA VEZ QUE SE ABRA UN REGLON NUEVO HACIA ABAJO RESTANDO A </t>
        </r>
        <r>
          <rPr>
            <sz val="8"/>
            <color indexed="81"/>
            <rFont val="Tahoma"/>
            <family val="2"/>
          </rPr>
          <t>M110</t>
        </r>
      </text>
    </comment>
    <comment ref="I347" authorId="0" shapeId="0" xr:uid="{67434D37-55B6-4D73-A549-B1C83D6FF8AA}">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388" authorId="1" shapeId="0" xr:uid="{2325F388-3A79-49CD-B27C-DAB129598C57}">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 ref="I398" authorId="0" shapeId="0" xr:uid="{9B8B7A15-5F67-4F5B-A100-F99297287E62}">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16" authorId="0" shapeId="0" xr:uid="{20C7B98D-D8A2-4165-A09C-DA922D91ABB1}">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29" authorId="0" shapeId="0" xr:uid="{0BF49BFD-0C01-4D2E-BDDC-527534476D0B}">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42" authorId="0" shapeId="0" xr:uid="{BBA0ED18-6617-4601-8B3F-9F7B31D5C86B}">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445" authorId="0" shapeId="0" xr:uid="{5DCF683D-C489-40F7-A2BA-B85D1F1E1556}">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77" authorId="0" shapeId="0" xr:uid="{7F0DB601-9962-4BC0-BF59-1FDBD4483192}">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516" authorId="0" shapeId="0" xr:uid="{FC6EFA72-1AA9-4D92-B94A-6D5E61B1A210}">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 xml:space="preserve">M218
</t>
        </r>
      </text>
    </comment>
    <comment ref="I532" authorId="1" shapeId="0" xr:uid="{C22E373F-8009-42C0-8927-84EA181F636C}">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536" authorId="0" shapeId="0" xr:uid="{1475A0DC-4540-4043-BF46-D9E82ECBE55A}">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I628" authorId="0" shapeId="0" xr:uid="{1EA5A23B-9B3A-43C5-A363-0775054607D7}">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1" authorId="0" shapeId="0" xr:uid="{00000000-0006-0000-0600-000001000000}">
      <text>
        <r>
          <rPr>
            <b/>
            <sz val="11"/>
            <color indexed="81"/>
            <rFont val="Tahoma"/>
            <family val="2"/>
          </rPr>
          <t>INCLUIR EN ESTA CELDA EL TOTAL DE LAS REMUNERACIONES QUE ESTÁN SUJETAS AL PAGO DE CARGAS SOCIALES SEGÚN LA LEGISLACIÓN VIGENTE.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7" authorId="0" shapeId="0" xr:uid="{00000000-0006-0000-0800-000001000000}">
      <text>
        <r>
          <rPr>
            <sz val="8"/>
            <color indexed="81"/>
            <rFont val="Tahoma"/>
            <family val="2"/>
          </rPr>
          <t>Incluir el nombre del incentivo:  Prohibición, Dedicación exclusiva, anualidad, etc.</t>
        </r>
      </text>
    </comment>
    <comment ref="B7" authorId="0" shapeId="0" xr:uid="{00000000-0006-0000-0800-000002000000}">
      <text>
        <r>
          <rPr>
            <sz val="8"/>
            <color indexed="81"/>
            <rFont val="Tahoma"/>
            <family val="2"/>
          </rPr>
          <t>Incluir la base legal, si existen varias, señalar cada una de las normas. Ejemplo para el incentivo "Prohibición" Código de Normas y Procedimientos Tributarios, Ley de Control Interno y Ley de Enriquecimiento Ilícito.</t>
        </r>
      </text>
    </comment>
    <comment ref="C7" authorId="0" shapeId="0" xr:uid="{00000000-0006-0000-0800-000003000000}">
      <text>
        <r>
          <rPr>
            <sz val="8"/>
            <color indexed="81"/>
            <rFont val="Tahoma"/>
            <family val="2"/>
          </rPr>
          <t>Fórmula y explicación del cálculo. Ejemplo:  Dedicación exclusiva: Salario base *45%.  Explicación 45% si son bachilleres y  55% si son licenciados, sobre el salario base. Si son anualidades, el % de la anualidad sobre el salario base, etc.</t>
        </r>
      </text>
    </comment>
    <comment ref="D7" authorId="0" shapeId="0" xr:uid="{00000000-0006-0000-0800-000004000000}">
      <text>
        <r>
          <rPr>
            <sz val="8"/>
            <color indexed="81"/>
            <rFont val="Tahoma"/>
            <family val="2"/>
          </rPr>
          <t>Información de carácter general o específica que tenga relevancia en relación con el incentivo, su base legal o procedimiento de cálculo.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7" authorId="0" shapeId="0" xr:uid="{00000000-0006-0000-0700-000001000000}">
      <text>
        <r>
          <rPr>
            <sz val="8"/>
            <color indexed="81"/>
            <rFont val="Tahoma"/>
            <family val="2"/>
          </rPr>
          <t>Incluir el nombre del incentivo:  Prohibición, Dedicación exclusiva, anualidad, etc.</t>
        </r>
      </text>
    </comment>
    <comment ref="B7" authorId="0" shapeId="0" xr:uid="{00000000-0006-0000-0700-000002000000}">
      <text>
        <r>
          <rPr>
            <sz val="8"/>
            <color indexed="81"/>
            <rFont val="Tahoma"/>
            <family val="2"/>
          </rPr>
          <t>Incluir la base legal, si existen varias, señalar cada una de las normas. Ejemplo para el incentivo "Prohibición" Código de Normas y Procedimientos Tributarios, Ley de Control Interno y Ley de Enriquecimiento Ilícito.</t>
        </r>
      </text>
    </comment>
    <comment ref="C7" authorId="0" shapeId="0" xr:uid="{00000000-0006-0000-0700-000003000000}">
      <text>
        <r>
          <rPr>
            <sz val="8"/>
            <color indexed="81"/>
            <rFont val="Tahoma"/>
            <family val="2"/>
          </rPr>
          <t>Fórmula y explicación del cálculo. Ejemplo:  Dedicación exclusiva: Salario base *45%.  Explicación 45% si son bachilleres y  55% si son licenciados, sobre el salario base. Si son anualidades, el % de la anualidad sobre el salario base, etc.</t>
        </r>
      </text>
    </comment>
    <comment ref="D7" authorId="0" shapeId="0" xr:uid="{00000000-0006-0000-0700-000004000000}">
      <text>
        <r>
          <rPr>
            <sz val="8"/>
            <color indexed="81"/>
            <rFont val="Tahoma"/>
            <family val="2"/>
          </rPr>
          <t>Información de carácter general o específica que tenga relevancia en relación con el incentivo, su base legal o procedimiento de cálculo.</t>
        </r>
      </text>
    </comment>
  </commentList>
</comments>
</file>

<file path=xl/sharedStrings.xml><?xml version="1.0" encoding="utf-8"?>
<sst xmlns="http://schemas.openxmlformats.org/spreadsheetml/2006/main" count="2501" uniqueCount="647">
  <si>
    <t>DETALLE DE ORIGEN Y APLICACIÓN DE RECURSOS (Libres y específicos)</t>
  </si>
  <si>
    <t>INCORPORAR EN LA COLUMNA "APLICACIÓN" LA INFORMACIÓN DE  LOS RECURSOS POR PARTIDA POR OBJETO DEL GASTO ASÍ COMO POR CLASIFICACIÓN ECONÓMICA</t>
  </si>
  <si>
    <t>MONTO</t>
  </si>
  <si>
    <t>Proyecto</t>
  </si>
  <si>
    <t>Corriente</t>
  </si>
  <si>
    <t>Capital</t>
  </si>
  <si>
    <t>Transacciones Financieras</t>
  </si>
  <si>
    <t>Sumas sin asignación</t>
  </si>
  <si>
    <t>I</t>
  </si>
  <si>
    <t>Remuneraciones</t>
  </si>
  <si>
    <t>Servicios</t>
  </si>
  <si>
    <t>Materiales y suministros</t>
  </si>
  <si>
    <t>Intereses y comisiones</t>
  </si>
  <si>
    <t>Bienes duraderos</t>
  </si>
  <si>
    <t>Transferencias corrientes</t>
  </si>
  <si>
    <t xml:space="preserve"> </t>
  </si>
  <si>
    <t>Total</t>
  </si>
  <si>
    <t>Administración General</t>
  </si>
  <si>
    <t>III</t>
  </si>
  <si>
    <t>II</t>
  </si>
  <si>
    <t xml:space="preserve">I </t>
  </si>
  <si>
    <t>Versión actualizada a julio de 2020</t>
  </si>
  <si>
    <t>CUADRO N.° 2</t>
  </si>
  <si>
    <t>Estructura organizacional (Recursos Humanos)</t>
  </si>
  <si>
    <t>Procesos sustantivos 
-cantidad de plazas-</t>
  </si>
  <si>
    <t>Procesos de Apoyo 
-cantidad de plazas-</t>
  </si>
  <si>
    <t>Detalle general</t>
  </si>
  <si>
    <t>Por programa</t>
  </si>
  <si>
    <t xml:space="preserve">Nivel </t>
  </si>
  <si>
    <t>Sueldos para cargos fijos</t>
  </si>
  <si>
    <t>Servicios    especiales</t>
  </si>
  <si>
    <t>IV</t>
  </si>
  <si>
    <t>Servicios especiales</t>
  </si>
  <si>
    <t>Puestos de confianza</t>
  </si>
  <si>
    <t>Otros</t>
  </si>
  <si>
    <t>Nivel superior ejecutivo</t>
  </si>
  <si>
    <t>Profesional</t>
  </si>
  <si>
    <t>Técnico</t>
  </si>
  <si>
    <t>Administrativo</t>
  </si>
  <si>
    <t>De servicio</t>
  </si>
  <si>
    <t>RESUMEN:</t>
  </si>
  <si>
    <t>Plazas en procesos sustantivos y de apoyo</t>
  </si>
  <si>
    <t>Plazas en sueldos para cargos fijos</t>
  </si>
  <si>
    <t>Plazas en servicios especiales</t>
  </si>
  <si>
    <t>Total de plazas</t>
  </si>
  <si>
    <t>Plazas en procesos sustantivos</t>
  </si>
  <si>
    <t>Plazas en procesos de apoyo</t>
  </si>
  <si>
    <t>RESUMEN POR PROGRAMA:</t>
  </si>
  <si>
    <t>Programa I: Dirección y Administración General</t>
  </si>
  <si>
    <t>Programa II: Servicios Comunitarios</t>
  </si>
  <si>
    <t>Programa III: Inversiones</t>
  </si>
  <si>
    <t>Programa IV: Partidas específicas</t>
  </si>
  <si>
    <t>Observaciones</t>
  </si>
  <si>
    <t>Funcionario responsable:</t>
  </si>
  <si>
    <t>Fecha:</t>
  </si>
  <si>
    <t>MUNICIPALIDAD DE XXXXX</t>
  </si>
  <si>
    <t>CUADRO N.° 3</t>
  </si>
  <si>
    <t>SALARIO DEL ALCALDE/SA Y VICEALCALDE/SA</t>
  </si>
  <si>
    <t>a) Salario mayor pagado</t>
  </si>
  <si>
    <t>b) Con base en la tabla establecida en el art. 20 del Código Municipal</t>
  </si>
  <si>
    <t>c) Con base en el 50% de la pensión del Alcalde/esa</t>
  </si>
  <si>
    <t>SALARIO DEL ALCALDE/SA</t>
  </si>
  <si>
    <t>De acuerdo al artículo 20 del Código Municipal (1)</t>
  </si>
  <si>
    <t>Seleccione la metodología utilizada para el cáculo del salario del alcalde/sa</t>
  </si>
  <si>
    <t>Con las anualidades aprobadas</t>
  </si>
  <si>
    <t>Más la anualidad del periodo</t>
  </si>
  <si>
    <t xml:space="preserve">    (Puesto mayor pagado )</t>
  </si>
  <si>
    <r>
      <t xml:space="preserve">  </t>
    </r>
    <r>
      <rPr>
        <b/>
        <sz val="10"/>
        <rFont val="Arial"/>
      </rPr>
      <t xml:space="preserve"> (Fecha de ingreso)</t>
    </r>
  </si>
  <si>
    <t>ACTUAL</t>
  </si>
  <si>
    <t>PROPUESTO</t>
  </si>
  <si>
    <t xml:space="preserve">    Salario Base</t>
  </si>
  <si>
    <t xml:space="preserve">    Anualidades</t>
  </si>
  <si>
    <t xml:space="preserve">   Restricción del ejercicio liberal de la profesión (2)</t>
  </si>
  <si>
    <t xml:space="preserve">    Carrera Profesional</t>
  </si>
  <si>
    <t xml:space="preserve">    Total salario mayor pagado</t>
  </si>
  <si>
    <t xml:space="preserve">    más:</t>
  </si>
  <si>
    <t xml:space="preserve">   10% del salario mayor pagado (según artículo 20 Código Municipal)</t>
  </si>
  <si>
    <t xml:space="preserve">    Salario base del Alcalde</t>
  </si>
  <si>
    <t>(1)</t>
  </si>
  <si>
    <t xml:space="preserve">     Más: </t>
  </si>
  <si>
    <t xml:space="preserve">     Restricción del ejercicio liberal de la profesión (2)</t>
  </si>
  <si>
    <t xml:space="preserve">(2) </t>
  </si>
  <si>
    <t xml:space="preserve">    Total salario mensual</t>
  </si>
  <si>
    <t xml:space="preserve">   Monto del presupuesto ordinario</t>
  </si>
  <si>
    <t xml:space="preserve">    Salario definido por tabla</t>
  </si>
  <si>
    <t>(3)</t>
  </si>
  <si>
    <r>
      <t xml:space="preserve">     </t>
    </r>
    <r>
      <rPr>
        <b/>
        <sz val="9"/>
        <rFont val="Arial"/>
      </rPr>
      <t>Más:</t>
    </r>
  </si>
  <si>
    <t xml:space="preserve">(4) </t>
  </si>
  <si>
    <t xml:space="preserve">     Total salario mensual</t>
  </si>
  <si>
    <t xml:space="preserve">    Monto de la pensión</t>
  </si>
  <si>
    <t xml:space="preserve">    Gastos de representación (50% del monto de la pensión)</t>
  </si>
  <si>
    <t>(5)</t>
  </si>
  <si>
    <t>SALARIO DEL VICEALCALDE/SA</t>
  </si>
  <si>
    <t>a) Con base en el 80% del salario base del Alcalde/sa</t>
  </si>
  <si>
    <t>Salario base del Vicealcalde/sa (Art.20 del Código Municipal)</t>
  </si>
  <si>
    <t>Más:</t>
  </si>
  <si>
    <t>Restricción del ejercicio liberal de la profesión (2)</t>
  </si>
  <si>
    <t>Total salario mensual</t>
  </si>
  <si>
    <t>b) Con base en el 50% de la pensión del Vicealcalde/sa</t>
  </si>
  <si>
    <t>(1)  Las opciones a), b) y c) son excluyentes. Debe de llenarse solo la opción que se determine.</t>
  </si>
  <si>
    <t>(2) Aportar: base legal y nombre de la profesión</t>
  </si>
  <si>
    <t>(3)  Debe ubicarse en la relación de puestos</t>
  </si>
  <si>
    <t>(4) Debe clasificarse dentro de incentivos salariales en el la subpartida 0.03.02</t>
  </si>
  <si>
    <t>(5) Debe clasificarse como Gastos de representación personal en la subpartida 0.99.01</t>
  </si>
  <si>
    <t>Elaborado por_____________________________________________</t>
  </si>
  <si>
    <t>Fecha:___________________________________</t>
  </si>
  <si>
    <t>CUADRO N.° 4</t>
  </si>
  <si>
    <t>DETALLE DE LA DEUDA</t>
  </si>
  <si>
    <t xml:space="preserve">SERVICIO DE LA DEUDA </t>
  </si>
  <si>
    <t>ENTIDAD</t>
  </si>
  <si>
    <t xml:space="preserve">OBJETIVO DEL </t>
  </si>
  <si>
    <t>PRESTATARIA</t>
  </si>
  <si>
    <t>Nº OPERACIÓN</t>
  </si>
  <si>
    <t>INTERESES (1)</t>
  </si>
  <si>
    <t>AMORTIZACIÓN (2)</t>
  </si>
  <si>
    <t>TOTAL</t>
  </si>
  <si>
    <t>PRÉSTAMO</t>
  </si>
  <si>
    <t>SALDO</t>
  </si>
  <si>
    <t>TOTALES</t>
  </si>
  <si>
    <t>DIFERENCIA</t>
  </si>
  <si>
    <t>(1) Se clasifican dentro del Grupo Intereses sobre préstamos 3.02 (Verificar subpartida según entidad prestataria).</t>
  </si>
  <si>
    <t>(2) Se clasifican dentro del Grupo Amortización de préstamos 8.02 (Verificar subpartida según entidad prestataria).</t>
  </si>
  <si>
    <t>CUADRO N.° 5</t>
  </si>
  <si>
    <t>Aportes en especie para servicios y proyectos comunales.</t>
  </si>
  <si>
    <t>BENEFICIARIO</t>
  </si>
  <si>
    <t>FUNDAMENTO LEGAL</t>
  </si>
  <si>
    <t>PARTIDA</t>
  </si>
  <si>
    <t>TOTAL (Debe ser igual al Servicio 31: Aportes en especie para servicios y proyectos).</t>
  </si>
  <si>
    <t>Cuadro N.° 6</t>
  </si>
  <si>
    <t>CALCULO DE LAS DIETAS A REGIDORES</t>
  </si>
  <si>
    <t>PRESUPUESTO PRECEDENTE:</t>
  </si>
  <si>
    <t>PRESUPUESTO EN ESTUDIO:</t>
  </si>
  <si>
    <t>PORCENTAJE DE AUMENTO DEL PRESUPUESTO</t>
  </si>
  <si>
    <t>INDIQUE EL PORCENTAJE DE INCREMENTO APROBADO POR EL CONCEJO: (1)</t>
  </si>
  <si>
    <t xml:space="preserve">NUMERO DE </t>
  </si>
  <si>
    <t xml:space="preserve">VALOR </t>
  </si>
  <si>
    <t>VALOR</t>
  </si>
  <si>
    <t>SESIONES</t>
  </si>
  <si>
    <t>MENSUAL</t>
  </si>
  <si>
    <t>ANUAL</t>
  </si>
  <si>
    <t>REGIDORES</t>
  </si>
  <si>
    <t>DIETA ACTUAL</t>
  </si>
  <si>
    <t>DIETA PROPUESTA</t>
  </si>
  <si>
    <t>ORDI-EXTRA</t>
  </si>
  <si>
    <t>DIETAS POR COMISIÓN (ADJUNTAR DETALLE)</t>
  </si>
  <si>
    <t>(1) El aumento de las dietas debe realizarse según lo estipulado en el artículo 30 del Código Municipal</t>
  </si>
  <si>
    <t>Cuadro N.° 7</t>
  </si>
  <si>
    <t>CONTRIBUCIONES PATRONALES, DECIMOTERCER MES Y SEGUROS</t>
  </si>
  <si>
    <t>CONTRIBUCIONES PATRONALES</t>
  </si>
  <si>
    <t>MONTO                           DE                    CALCULO</t>
  </si>
  <si>
    <t>Caja Costarricense de Seguro Social</t>
  </si>
  <si>
    <t>Ahorro         Obligatorio al Banco Popular</t>
  </si>
  <si>
    <t>Régimen         Obligatorio de Pensiones</t>
  </si>
  <si>
    <t>Fondo de Capitalización Laboral</t>
  </si>
  <si>
    <t>Invalidez Vejez y Muerte</t>
  </si>
  <si>
    <t>Enfermedad y Maternidad</t>
  </si>
  <si>
    <t>(2)</t>
  </si>
  <si>
    <t>(4)</t>
  </si>
  <si>
    <t>(1) Clasificado como Contribución Patronal al Seguro Salud de la Caja Costarricense de Seguro Social (0.04.01)</t>
  </si>
  <si>
    <t>(2) Clasificado como Contribución Patronal al Banco Popular y Desarrollo Comunal (0.04.05)</t>
  </si>
  <si>
    <t>(3) Clasificarlo como Contribución Patronal al Seguro de Pensiones de la Caja Costarricense del Seguro Social (0.05.01)</t>
  </si>
  <si>
    <t>(4) Clasificarlo como Contribución Patronal al Fondo de Capitalización Laboral (0.05.03)</t>
  </si>
  <si>
    <t>(5) Clasficarlo como Aporte Patronal al Régimen Obligatorio de Pensiones Complementarias (0.05.02)</t>
  </si>
  <si>
    <t>DECIMOTERCER MES</t>
  </si>
  <si>
    <t>INS</t>
  </si>
  <si>
    <t>DE CALCULO</t>
  </si>
  <si>
    <t>(6)</t>
  </si>
  <si>
    <t>(6) Clasificado como Seguros (1.06.01)</t>
  </si>
  <si>
    <t>(5) Clasificado como Decimotercer mes (0.03.03)</t>
  </si>
  <si>
    <t>INCENTIVOS SALARIALES QUE SE RECONOCEN EN LA ENTIDAD</t>
  </si>
  <si>
    <t>INCENTIVO SALARIAL</t>
  </si>
  <si>
    <t>BASE LEGAL</t>
  </si>
  <si>
    <t>PROCEDIMIENTO DE CÁLCULO</t>
  </si>
  <si>
    <t>OTRA INFORMACIÓN IMPORTANTE</t>
  </si>
  <si>
    <t>La Administración debe contar con los expedientes correspondientes para los casos donde otorgue incentivos salariales, estableciendo el fundamento jurídico y el estudio técnico realizado y estar disponibles como parte del Componente Sistemas de Información que establece el artículo 16 de la Ley General de Control Interno.</t>
  </si>
  <si>
    <t>Elaborado por Ana María Alvarado Garita</t>
  </si>
  <si>
    <t>Yo Ana María Alvarado Garita Encargada del Sub Proceso de Presupuesto, ced 2-482-581 hago constar que los datos suministrados anteriormente corresponden a las aplicaciones dadas por la Municipalidad de Alajuela a la totalidad de los recursos incorporados en el presente Ordinario</t>
  </si>
  <si>
    <t>SUMAS IGUALES</t>
  </si>
  <si>
    <t>Sumas de Recursos Libres</t>
  </si>
  <si>
    <t>Sumas de Recursos Específicos</t>
  </si>
  <si>
    <t>Sumas Iguales</t>
  </si>
  <si>
    <t>Bienes Duraderos</t>
  </si>
  <si>
    <t>O5</t>
  </si>
  <si>
    <t>O6</t>
  </si>
  <si>
    <t>O1</t>
  </si>
  <si>
    <t>O2</t>
  </si>
  <si>
    <t>Recursos Libressin Asigmnación Presupuestaria</t>
  </si>
  <si>
    <t>O9</t>
  </si>
  <si>
    <t>Transferencias de Capital de Asociaciones</t>
  </si>
  <si>
    <t>O7</t>
  </si>
  <si>
    <t>Transferencias de Capital a Instituciones descentralizadas no Institucionales</t>
  </si>
  <si>
    <t>O4</t>
  </si>
  <si>
    <t>Mantenimiento Periòdico de la Red Vial Cantonal</t>
  </si>
  <si>
    <t>O3</t>
  </si>
  <si>
    <t xml:space="preserve">Servicios  </t>
  </si>
  <si>
    <t xml:space="preserve">II </t>
  </si>
  <si>
    <t>Unidad Técnica  de Gestión Vial Cantonal</t>
  </si>
  <si>
    <t>Aporte IFAM Para Mantenimiento y Conservación de Caminos y Calles Ley 6909</t>
  </si>
  <si>
    <t>Recurso Específicos sin Asignación Presupuestarios</t>
  </si>
  <si>
    <t>Dirección Técnica y Estudio</t>
  </si>
  <si>
    <t>Amortización</t>
  </si>
  <si>
    <t>Intereses</t>
  </si>
  <si>
    <t xml:space="preserve">Alcantarillado Sanitario </t>
  </si>
  <si>
    <t>Cuentas Especiales</t>
  </si>
  <si>
    <t>Rehabilitacion de la Red Vial Cantonal</t>
  </si>
  <si>
    <t>Unidad Tecnica de Gestión Vial</t>
  </si>
  <si>
    <t>Recursos Provenientes de la Ley de Simplificación Tributaria Ley No. 8114</t>
  </si>
  <si>
    <t>Transferencias Corrientes</t>
  </si>
  <si>
    <t>Acueductos</t>
  </si>
  <si>
    <t>-</t>
  </si>
  <si>
    <t>Ruptura de Calles</t>
  </si>
  <si>
    <t>Transferencias de Capital a Gobiernos Locales</t>
  </si>
  <si>
    <t>Transferencias de Capital a Instiutciones Descentralizadas no Empresariales</t>
  </si>
  <si>
    <t>Admistración General</t>
  </si>
  <si>
    <t>Patentes de Licores</t>
  </si>
  <si>
    <t>Direcciòn Tecnica y estudio</t>
  </si>
  <si>
    <t xml:space="preserve">Aporte IFAM Licores Nacionales y Extranjeros </t>
  </si>
  <si>
    <t>Servicios Sociales Complementarios</t>
  </si>
  <si>
    <t>servicios</t>
  </si>
  <si>
    <t>Aporte del Consejo de Seguridad Vial Ley 9058</t>
  </si>
  <si>
    <t>Recursos libres sin asinacion Presupuestaria</t>
  </si>
  <si>
    <t>Mantenimiento Rutinario de la Red Vial Cantonal</t>
  </si>
  <si>
    <t>Intereses por Mora en Tributos</t>
  </si>
  <si>
    <t>Otras Multas</t>
  </si>
  <si>
    <t>Compra de equipo m{edico para la Cruz Roja de San Rafael</t>
  </si>
  <si>
    <t>Adquisicón de un Juego infantil en Urb. Las Melisas</t>
  </si>
  <si>
    <t>Construcción del Techo del Salón multiusos de la Urb La Perla</t>
  </si>
  <si>
    <t>Multas Por Mora En El Pago De Impuestos y Tasas</t>
  </si>
  <si>
    <t>Multas por Infracción Ley de Parquímetros</t>
  </si>
  <si>
    <t>Trasferencias Corrientes</t>
  </si>
  <si>
    <t>Materiales</t>
  </si>
  <si>
    <t>Adquisición de un Juego Infantil para la comunidad de Calle Arriba en San Rafael</t>
  </si>
  <si>
    <t>Mejoras Parque Recreativa de Urb. Los Portones</t>
  </si>
  <si>
    <t>Mejoras en la Cancha Multiusos Las Abras</t>
  </si>
  <si>
    <t>Actualizacón del Plan Regulador</t>
  </si>
  <si>
    <t>Intereses Sobre Inversiones Financieras</t>
  </si>
  <si>
    <t>Admistración General 10%</t>
  </si>
  <si>
    <t>Derecho Plaza de Ganado</t>
  </si>
  <si>
    <t>Derecho de Estacionamiento y de Terminales</t>
  </si>
  <si>
    <t>Venta de Otros Servicios</t>
  </si>
  <si>
    <t>Incumplimiento de Deberes IBI</t>
  </si>
  <si>
    <t>O8</t>
  </si>
  <si>
    <t>Biens Duraderos</t>
  </si>
  <si>
    <t>Servicio de Parques Obras de Ornato</t>
  </si>
  <si>
    <t>Servicio de Aseo de Vías y Sitios Públicos</t>
  </si>
  <si>
    <t>Servicio de Recolección de Basura</t>
  </si>
  <si>
    <t>Servicios de Instalación y Derivación del Agua</t>
  </si>
  <si>
    <t>Servicio de Alcantarillado Pluvial</t>
  </si>
  <si>
    <t>Servicio de Alcantarillado Sanitario</t>
  </si>
  <si>
    <t>Otros Alquileres</t>
  </si>
  <si>
    <t>Alquiler de Edificios y Locales</t>
  </si>
  <si>
    <t>Remodelación Del Mercado Primera Etapa</t>
  </si>
  <si>
    <t>Alquiler de Mercado</t>
  </si>
  <si>
    <t>Venta de Agua Potable e Industrial</t>
  </si>
  <si>
    <t>Timbre Parques Nacionales Ley 7788</t>
  </si>
  <si>
    <t>Auditoría General</t>
  </si>
  <si>
    <t>Timbres Municipales</t>
  </si>
  <si>
    <t>Compra de Cruz Roja</t>
  </si>
  <si>
    <t>Construcción de Cancha de Deportes en la Pradera  La Guácima</t>
  </si>
  <si>
    <t>Construcción de Cancha Multiuso Urbanización La Perla</t>
  </si>
  <si>
    <t>Catastro Multifinalitarios</t>
  </si>
  <si>
    <t>Reintegros y Devoluciones</t>
  </si>
  <si>
    <t>Administración de Inversiones Propias</t>
  </si>
  <si>
    <t>Patentes Municipales</t>
  </si>
  <si>
    <t>Impuesto Sobre Rotulos Públicos</t>
  </si>
  <si>
    <t xml:space="preserve">otros Impuestos Específicos sobre la Producción y Consumo de Servicios </t>
  </si>
  <si>
    <t>Mantenimiento Periódico de la Red Vial Cantonal</t>
  </si>
  <si>
    <t>Impuesto Sobre Construcciones</t>
  </si>
  <si>
    <t>Impuesto Sobre El Cemento</t>
  </si>
  <si>
    <t>Parque del Agua II Etapa</t>
  </si>
  <si>
    <t>FEDOMA</t>
  </si>
  <si>
    <t>O!</t>
  </si>
  <si>
    <t>i</t>
  </si>
  <si>
    <t>Impuesto Específico sobre Explotación de Recursos Naturales y Minerales</t>
  </si>
  <si>
    <t>Impuesto Bienes Inmuebles Ley 7509</t>
  </si>
  <si>
    <t>Recursos especificos sin asinacion Presupuestaria</t>
  </si>
  <si>
    <t>Materiales y Suministros</t>
  </si>
  <si>
    <t>Dirección Tecnica Y Estudio</t>
  </si>
  <si>
    <t>Alcantarillado Pluvial</t>
  </si>
  <si>
    <t>Por Incumplimiento de Deberes de los Municipes</t>
  </si>
  <si>
    <t>Dirección de Servicios y Mantenimiento</t>
  </si>
  <si>
    <t>Estacionamientos y Terminales</t>
  </si>
  <si>
    <t>Organo Normalización Técnica M.de Hacienda 0 ,5%</t>
  </si>
  <si>
    <t>Juntas de Educación, Ley 7509 y 7729 10%</t>
  </si>
  <si>
    <t>Aporte Junta Admva.Registro Nac. Ley 7509y 7729 1,5%</t>
  </si>
  <si>
    <t>Admistración General 17%</t>
  </si>
  <si>
    <t>Impuesto Bienes Inmuebles Ley 7729</t>
  </si>
  <si>
    <t>APLICACIÓN</t>
  </si>
  <si>
    <t>Act/serv/grupo</t>
  </si>
  <si>
    <t xml:space="preserve">Programa </t>
  </si>
  <si>
    <t>INGRESO ESPECIFICO</t>
  </si>
  <si>
    <t>CODIGO</t>
  </si>
  <si>
    <t>Cuadro 1</t>
  </si>
  <si>
    <t>AÑO 2021</t>
  </si>
  <si>
    <t xml:space="preserve">PRESUPUESTO ORDINARIO </t>
  </si>
  <si>
    <t>MUNICIPALIDAD DE ALAJUELA</t>
  </si>
  <si>
    <t>Sobresueldo</t>
  </si>
  <si>
    <t>Fecha: 18 de agosto del 2020</t>
  </si>
  <si>
    <t>Banco Nacional Pluvial del Este</t>
  </si>
  <si>
    <t>Banco Nacional Comprad de Terreno</t>
  </si>
  <si>
    <t>Banco Nacional Hidrovaciador</t>
  </si>
  <si>
    <t>Banco Nacional Pluvial del Oeste</t>
  </si>
  <si>
    <t>2-3-30871766</t>
  </si>
  <si>
    <t>2-14-308717,68</t>
  </si>
  <si>
    <t>2-3-308717,67</t>
  </si>
  <si>
    <t>2-14-30976283</t>
  </si>
  <si>
    <t>Construcción de Alcantarillado Pluvial del Este de la ciudad de Alajuela</t>
  </si>
  <si>
    <t>Compra de Finca para la construcción de Centro de Operaciones de Plantas de Tratamiento</t>
  </si>
  <si>
    <t>Compra de Hidrovaciador</t>
  </si>
  <si>
    <t>Construcción de Alcantarillado Pluvial del Oeste de la ciudad de Alajuela Barrio San José</t>
  </si>
  <si>
    <t>Elaborado por_Mba Lic. Fenando Zamora Bolaños</t>
  </si>
  <si>
    <t>Fecha: 18/08/2020</t>
  </si>
  <si>
    <t xml:space="preserve">Anualidad </t>
  </si>
  <si>
    <t>Circular 8060 punto 6.9.3,  6.9.4 y 6.9.5 Ley 6836 Incentivos a Profesionales en Ciencias Médicas</t>
  </si>
  <si>
    <t>3% por cada año servido
5.5% por cada año de servicio (Medico G-1) 
Ambos sobre el salario base</t>
  </si>
  <si>
    <t>Dedidación Exclusiva</t>
  </si>
  <si>
    <t>Reglamento interno de Dedicación Exclusiva de la Municipalidad y Ley 6836 Incentivos a Profesionales en Ciencias Médicas</t>
  </si>
  <si>
    <t>20% para las plazas de Bachiller
55% para las plazas de Licenciado sobre el salario Base
22% para plaza G-1 (Médico)</t>
  </si>
  <si>
    <t>Prohibición</t>
  </si>
  <si>
    <t>Ley 8422 de Enriquecimiento Ilicito, Código Municipal,  Ley General de Control Interno 8292, Ley de Administración Financiera y Presupuestos Públicos 8131, Ley de Creación de la Compensación Económica por la Prohibición 5867 y sus reformas.</t>
  </si>
  <si>
    <t>65% Licenciados, 45% Egresados,                30% Bachilleres y 25% con Tercer año Univerasitario sobre el salario Base</t>
  </si>
  <si>
    <t>Riesgo de Peligrosidad</t>
  </si>
  <si>
    <t>Reglamento del Pago de Riesgo Laboral (peligrosidad)</t>
  </si>
  <si>
    <t>10% sobre el salario base a Polinspectores</t>
  </si>
  <si>
    <t>Riesgo Policial</t>
  </si>
  <si>
    <t>Reglamento de Seguridad Municipal (Policía Municipal) y Contro Vial</t>
  </si>
  <si>
    <t>18% sobre el salario base a funcionarios de la Policía Municipal</t>
  </si>
  <si>
    <t>Carrera Profesional</t>
  </si>
  <si>
    <t>Reglamento de Carrera Municipal, La Gaceta N° 4 del 06 de enero del 2011
Ley N° 9635 (Ley de Fortalecimiento de las Finanzas Publicas)</t>
  </si>
  <si>
    <t>Valor del Punto determinado por el Servicio Civil x la Cantidad de Puntos de cada funcionario</t>
  </si>
  <si>
    <t>Bonificacion</t>
  </si>
  <si>
    <t>Ley 6836 Incentivos a Profesionales en Ciencias Médicas; Resolución DG-004-2006</t>
  </si>
  <si>
    <t>17% sobre salario base (Médico)</t>
  </si>
  <si>
    <t xml:space="preserve">Disponibilidad </t>
  </si>
  <si>
    <t>Reglamento interno de Disponibilidad.
Nueva base de la Ley N° 9635 (Ley de Fortalecimiento de las Finanzas Publicas)</t>
  </si>
  <si>
    <t>10%,15%,20%, o 25% según regalmeto.
Base nominal  de acuerdo a la clase de la eslacal salarial del enero del 2018</t>
  </si>
  <si>
    <t>MUNICIPALIDAD DE  ALAJUELA</t>
  </si>
  <si>
    <t>Cuadro N.° 9</t>
  </si>
  <si>
    <t>Elaborado por_Wendy Valerio Jimenez</t>
  </si>
  <si>
    <t>65% Licenciados, 45% Egresados,                30% Bachilleres y 25% con Tercer año Univerasitario sobre el salario Base. 
30% Licenciados y  30% Bachilleres</t>
  </si>
  <si>
    <t>Segun ley 9635 y  oficio MA-A-PSJ-2333-2020 y oficio MA-A-PSJ-143-2020 .Ley 6836 Incentivos a Profesionales en Ciencias Médicas.</t>
  </si>
  <si>
    <t xml:space="preserve">Monto fijo anualidad nominal a Diciembre 2019, se contempla el 1.94% y el 2.54% 
para profesionales y no profesionales respectivamente de la base de julio del 2018. 
</t>
  </si>
  <si>
    <t xml:space="preserve">Valor nominal del 10% sobre la base de julio del 2018. </t>
  </si>
  <si>
    <t>Valor nominal del 18% sobre la base de julio del 2018   a funcionarios de la Policía Municipal</t>
  </si>
  <si>
    <t>Ley 9635 y su reglamento. Oficio N° MA-PSJ-143-2020 y N° MA-PSJ-XXXX-2020. Reglamento de Seguridad Municipal (Policía Municipal) y Contro Vial</t>
  </si>
  <si>
    <t>10%,15%,20%, o 25% según regalmeto.
Base nominal  de acuerdo a la clase de la eslacal salarial del julio del 2018</t>
  </si>
  <si>
    <t>Ley 9635 y su regalmento.
Reglamento interno de Dedicación Exclusiva de la Municipalidad y Ley 6836 Incentivos a Profesionales en Ciencias Médicas. Resolución DG-026-2020</t>
  </si>
  <si>
    <t>20% para las plazas de Bachiller
55% para las plazas de Licenciado. Lo anterior si mantienen condición sobre el salario Base actual.
10% para las plazas de Bachiller
25% para las plazas de Licenciado sobre el salario Base actual 
18.03% para plaza G-1 (Médico)</t>
  </si>
  <si>
    <t>Ley 6836 Incentivos a Profesionales en Ciencias Médicas; Resolución DG-004-2006. Resolución DG-026-2020</t>
  </si>
  <si>
    <t>17% sobre salario base de julio del 2018 (Médico)</t>
  </si>
  <si>
    <t>Ley 8422 de Enriquecimiento Ilicito, Código Municipal,  Ley General de Control Interno 8292, Ley de Administración Financiera y Presupuestos Públicos 8131, Ley de Creación de la Compensación Económica por la Prohibición 5867 y sus reformas. Ley 9635 y su regalmento.Reglamento interno de Dedicación</t>
  </si>
  <si>
    <r>
      <t>Ley 9635 y su reglamento. Oficio N° MA-PSJ-143-2020 y</t>
    </r>
    <r>
      <rPr>
        <sz val="10"/>
        <rFont val="Arial"/>
        <family val="2"/>
      </rPr>
      <t xml:space="preserve"> Reglamento del Pago de Riesgo Laboral (peligrosidad)</t>
    </r>
  </si>
  <si>
    <t>Fecha: 21 de agosto del 2020</t>
  </si>
  <si>
    <t>Lic. Wendy Valerio Jimenez</t>
  </si>
  <si>
    <t>Cuadro N.° 8</t>
  </si>
  <si>
    <t>Elaborado por_Lic. Wendy Valerio Jimenez</t>
  </si>
  <si>
    <t>PRESUPUESTO ORDINARIO 2021</t>
  </si>
  <si>
    <t>Asociación Resurgir</t>
  </si>
  <si>
    <t>10% para el Desarrollo</t>
  </si>
  <si>
    <t xml:space="preserve">Servicios </t>
  </si>
  <si>
    <t>Servicios 10% para el de sarrollo</t>
  </si>
  <si>
    <t>Servicios 10 para el desarrollo</t>
  </si>
  <si>
    <t>Remuneracione</t>
  </si>
  <si>
    <t>Cuadro 8 Incentivos Sa</t>
  </si>
  <si>
    <t>Fecha 15/09/2020</t>
  </si>
  <si>
    <t>ANEXO 7</t>
  </si>
  <si>
    <t>ADQUISICIÓN DE BIENES Y SERVICIOS (ARTÍCULO 3 DEL REGLAMENTO SOBRE REFRENDO DE LAS CONTRATACIONES DE LA ADMINISTRACIÓN PÚBLICA)</t>
  </si>
  <si>
    <t>PARTIDAS</t>
  </si>
  <si>
    <t>1  SERVICIOS</t>
  </si>
  <si>
    <t>2  MATERIALES Y SUMINISTROS</t>
  </si>
  <si>
    <t>5  BIENES DURADEROS</t>
  </si>
  <si>
    <t>Elaborado por: Lic. Ana María Alvarado Garita</t>
  </si>
  <si>
    <t>Fecha:_28/08/2019</t>
  </si>
  <si>
    <t>PRESUPUESTO ORDINARIO</t>
  </si>
  <si>
    <t>PERIODO 2021</t>
  </si>
  <si>
    <t>SEECION DE INGRESOS</t>
  </si>
  <si>
    <t>CLASIFICACIÓN ECONÓMICA DE INGRESOS</t>
  </si>
  <si>
    <t xml:space="preserve">PARCIAL </t>
  </si>
  <si>
    <t>%</t>
  </si>
  <si>
    <t>1.0.0.0.00.00.0.0.000</t>
  </si>
  <si>
    <t>INGRESOS CORRIENTES</t>
  </si>
  <si>
    <t xml:space="preserve">  </t>
  </si>
  <si>
    <t>1.1.0.0.00.00.0.0.000</t>
  </si>
  <si>
    <t>Ingresos Tributarios</t>
  </si>
  <si>
    <t>1.1.2.0.00.00.0.0.000</t>
  </si>
  <si>
    <t>Impuestos a la Propiedad</t>
  </si>
  <si>
    <t>1.1.2.1.00.00.0.0.000</t>
  </si>
  <si>
    <t>Impuesto sobre la Propiedad de Bienes Inmuebles</t>
  </si>
  <si>
    <t>1.1.2.1.01.00.0.0.000</t>
  </si>
  <si>
    <t>Impuesto S/Bienes Inmuebles, Ley 7729</t>
  </si>
  <si>
    <t>1.1.2.2.02.00.0.0.000</t>
  </si>
  <si>
    <t>Impuesto S/Bienes Inmuebles, Ley 7509</t>
  </si>
  <si>
    <t>1.1.3.0.00.00.0.0.000</t>
  </si>
  <si>
    <t>Impuesto sobre Bienes y Servicios</t>
  </si>
  <si>
    <t>1.1.3.2.00.00.0.0.000</t>
  </si>
  <si>
    <t>Impuesto especificos sobre la Producción y Consumo de Bienes y Servicios</t>
  </si>
  <si>
    <t>1.1.3.2.01.00.0.0.000</t>
  </si>
  <si>
    <t>Impuesto especificos sobre la Producción y Consumo de Bienes</t>
  </si>
  <si>
    <t>1.1.3.2.01.02.0.0.001</t>
  </si>
  <si>
    <t>Impuesto Especifico sobre la Explotación de Recursoso Naturales y Minarales</t>
  </si>
  <si>
    <t>1.1.3.2.01.04.0.0.000</t>
  </si>
  <si>
    <t>Impuesto Específico sobre Bienes Facturaados</t>
  </si>
  <si>
    <t>Impuestos al Cemento</t>
  </si>
  <si>
    <t>1.1.3.2.01.05.0.0.000</t>
  </si>
  <si>
    <t>Impuestos sobre Construcciones</t>
  </si>
  <si>
    <t>1.1.3.2.02.00.0.0.000</t>
  </si>
  <si>
    <t>Impuesto especificos sobre la Producción y Consumo de Servicios</t>
  </si>
  <si>
    <t>1.1.3.2.02.09.0.0.000</t>
  </si>
  <si>
    <t>Otros Impuestos Específicos sobre la Producción y Consumo de Servicios</t>
  </si>
  <si>
    <t>1.1.3.3.00.00.0.0.000</t>
  </si>
  <si>
    <t>Otros Impuestos a los Bienes y Servicios</t>
  </si>
  <si>
    <t>1.1.3.3.01.00.0.0.000</t>
  </si>
  <si>
    <t>Licencias Profesionnales Comerciales y Otros Permisos</t>
  </si>
  <si>
    <t>1.1.3.3.01.01.0.0.000</t>
  </si>
  <si>
    <t>Impuestos sobre Rótulos Públicos</t>
  </si>
  <si>
    <t>1.1.3.3.01.02.0.0.000</t>
  </si>
  <si>
    <t>Patentes municipales</t>
  </si>
  <si>
    <t>1.1.9.0.00.00.0.0.000</t>
  </si>
  <si>
    <t>Otros Ingresos Tributarios</t>
  </si>
  <si>
    <t>1.1.9.1.00.00.0.0.000</t>
  </si>
  <si>
    <t>Impuesto de Timbres</t>
  </si>
  <si>
    <t>1.1.9.1.01.00.0.0.000</t>
  </si>
  <si>
    <t>Timbres municipales</t>
  </si>
  <si>
    <t>1.1.9.1.02.00.0.0.000</t>
  </si>
  <si>
    <t>Timbres Parq. Nac. Ley 7788</t>
  </si>
  <si>
    <t>1.3.0.0.00.00.0.0.000</t>
  </si>
  <si>
    <t>Ingresos no Tributarios</t>
  </si>
  <si>
    <t>1.3.1.0.00.00.0.0.000</t>
  </si>
  <si>
    <t>Venta de Bienes y Servicios</t>
  </si>
  <si>
    <t>1.3.1.1.00.00.0.0.000</t>
  </si>
  <si>
    <t>Venta de Bienes</t>
  </si>
  <si>
    <t>1.3.1.1.05.00.0.0.000</t>
  </si>
  <si>
    <t>Venta de agua</t>
  </si>
  <si>
    <t>1.3.1.2.00.00.0.0.000</t>
  </si>
  <si>
    <t>Venta de Servicios</t>
  </si>
  <si>
    <t>1.3.1.2.04.00.0.0.000</t>
  </si>
  <si>
    <t>Alquileres</t>
  </si>
  <si>
    <t>1.3.1.2.04.01.0.0.000</t>
  </si>
  <si>
    <t>Alquiler de edificios e instalaciones</t>
  </si>
  <si>
    <t>1.3.1.2.04.01.1.0.000</t>
  </si>
  <si>
    <t>Alquiler de mercado</t>
  </si>
  <si>
    <t>1.3.1.2.04.01.2.0.000</t>
  </si>
  <si>
    <t>Alquiler de edificios y locales</t>
  </si>
  <si>
    <t>1.3.1.2.04.09.0.0.000</t>
  </si>
  <si>
    <t>1.3.1.2.05.00.0.0.000</t>
  </si>
  <si>
    <t>Servicios Comunitarios</t>
  </si>
  <si>
    <t>1.3.1.2.05.01.0.0.000</t>
  </si>
  <si>
    <t>Servicio  Alcantarillado Sanitario Y Pluvial</t>
  </si>
  <si>
    <t>1.3.1.2.05.01.1.0.000</t>
  </si>
  <si>
    <t xml:space="preserve">Servicio  Alcantarillado Sanitario </t>
  </si>
  <si>
    <t>1.3.1.2.05.01.1.0.001</t>
  </si>
  <si>
    <t>Servicio  Alcantarillado pluvial</t>
  </si>
  <si>
    <t>1.3.1.2.05.02.0.0.000</t>
  </si>
  <si>
    <t>Servicios de Instalación y Derivación delAgua</t>
  </si>
  <si>
    <t>1.3.1.2.05.02.1.0.000</t>
  </si>
  <si>
    <t>Servicioe Instalación de Cañerías</t>
  </si>
  <si>
    <t>1.3.1.2.05.02.2.0.000</t>
  </si>
  <si>
    <t>Estudios de Consumos y Fugas</t>
  </si>
  <si>
    <t>1.3.1.2.05.04.0.0.000</t>
  </si>
  <si>
    <t>Servicio de Saneamiento Ambiental</t>
  </si>
  <si>
    <t>1.3.1.2.05.04.1.0.000</t>
  </si>
  <si>
    <t>1.3.1.2.05.04.2.0.000</t>
  </si>
  <si>
    <t>1.3.1.2.05.04.4.0.000</t>
  </si>
  <si>
    <t>Servicios de Parques Obras de Ornato</t>
  </si>
  <si>
    <t>1.3.1.2.05.04.5.0.000</t>
  </si>
  <si>
    <t>1.3.1.2.05.09.9.0.000</t>
  </si>
  <si>
    <t>Venta de otros servicios comunitarios</t>
  </si>
  <si>
    <t>1.3.1.2.09.00.0.0.000</t>
  </si>
  <si>
    <t>Otros Servicios</t>
  </si>
  <si>
    <t>1.3.1.2.09.09.0.0.000</t>
  </si>
  <si>
    <t>Venta de otros servicios</t>
  </si>
  <si>
    <t>1.3.1.3.00.00.0.0.000</t>
  </si>
  <si>
    <t>Derecho Administrativo</t>
  </si>
  <si>
    <t>1.3.1.3.01.00.0.0.000</t>
  </si>
  <si>
    <t xml:space="preserve">Derechos Administrativos a los Servicios de Transporte </t>
  </si>
  <si>
    <t>1.3.1.3.01.01.0.0.000</t>
  </si>
  <si>
    <t>Derechos Administrativos a los Servicios de Transporte por carretera</t>
  </si>
  <si>
    <t>1.3.1.3.01.01.1.0.000</t>
  </si>
  <si>
    <t>Derecho de estacionamiento y de terminales</t>
  </si>
  <si>
    <t>1.3.1.3.02.00.0.0.000</t>
  </si>
  <si>
    <t>Derechos Administrativos a otros servicios Públicos</t>
  </si>
  <si>
    <t>1.3.1.3.02.03.0.0.000</t>
  </si>
  <si>
    <t>Derechos Administrativos a Actividades Comerciales</t>
  </si>
  <si>
    <t>1.3.1.3.02.03.1.0.000</t>
  </si>
  <si>
    <t>Derecho plaza de ganado</t>
  </si>
  <si>
    <t>1.3.2.0.00.00.0.0.000</t>
  </si>
  <si>
    <t>Ingresos a la Propiedad</t>
  </si>
  <si>
    <t>1.3.2.3.00.00.0.0.000</t>
  </si>
  <si>
    <t>Renta de Activos Financieros</t>
  </si>
  <si>
    <t>1.3.2.3.01.00.0.0.000</t>
  </si>
  <si>
    <t>Intereses sobre titulos Valores</t>
  </si>
  <si>
    <t>1.3.2.3.01.06.0.0.000</t>
  </si>
  <si>
    <t>Intereses sobre titulos Valores  de Instituciones Públicas Financieras</t>
  </si>
  <si>
    <t>1.3.3.0.00.00.0.0.000</t>
  </si>
  <si>
    <t>Multas, sanciones, remates y Confiscaciones</t>
  </si>
  <si>
    <t>1.3.3.1.00.00.0.0.000</t>
  </si>
  <si>
    <t>Multas y Sanciones</t>
  </si>
  <si>
    <t>1.3.3.1.01.00.0.0.000</t>
  </si>
  <si>
    <t>Multas de Tránsito</t>
  </si>
  <si>
    <t>1.3.3.1.01.01.0.0.000</t>
  </si>
  <si>
    <t>Multas por infracción ley de parquímetros</t>
  </si>
  <si>
    <t>1.3.3.1.02.00.0.0.000</t>
  </si>
  <si>
    <t>Multas por atraso en el Pago de Impuestos</t>
  </si>
  <si>
    <t>1.3.3.1.02.01.0.0.000</t>
  </si>
  <si>
    <t>Multas por mora en el pago de impuestos y tasas</t>
  </si>
  <si>
    <t>1.3.3.1.09.00.0.0.000</t>
  </si>
  <si>
    <t xml:space="preserve">Otras Multas </t>
  </si>
  <si>
    <t>1.3.3.1.09.02.0.0.001</t>
  </si>
  <si>
    <t>Multas Varias</t>
  </si>
  <si>
    <t>1.3.4.0.00.00.0.0.000</t>
  </si>
  <si>
    <t>Intereses Moratorios</t>
  </si>
  <si>
    <t>1.3.4.1.00.00.0.0.000</t>
  </si>
  <si>
    <t>Intereses por mora en tributos</t>
  </si>
  <si>
    <t>1.4.0.0.00.00.0.0.000</t>
  </si>
  <si>
    <t>1.4.1.0.00.00.0.0.000</t>
  </si>
  <si>
    <t>Tranferencias corrientes del sector Público</t>
  </si>
  <si>
    <t>1.4.1.2.00.00.0.0.000</t>
  </si>
  <si>
    <t>Tranferencias corrientes de Organos Desconcentrados</t>
  </si>
  <si>
    <t>1.4.1.2.01.00.0.0.000</t>
  </si>
  <si>
    <t>Aporte del Consejo de Seg. Vial Ley 9078</t>
  </si>
  <si>
    <t>1.4.1.2.02,00.0.0.000</t>
  </si>
  <si>
    <t>Programas comites cantonales de la Persona Joven</t>
  </si>
  <si>
    <t>1.4.1.3.00.00.0.0.000</t>
  </si>
  <si>
    <t>Tranferencias corrientes de Instituciones Descentralizadas no Empresariales</t>
  </si>
  <si>
    <t>1.4.1.3.01.00.0.0.000</t>
  </si>
  <si>
    <t>Aporte IFAM de Lic. Nac. Y Extranjeros</t>
  </si>
  <si>
    <t>2.0.0.0.00.00.0.0.000</t>
  </si>
  <si>
    <t>INGRESOS DE CAPITAL</t>
  </si>
  <si>
    <t>2.1.0.0.00.00.0.0.000</t>
  </si>
  <si>
    <t>Venta de Activos</t>
  </si>
  <si>
    <t>2.1.2.0.00.00.0.0.000</t>
  </si>
  <si>
    <t>Venta de Activos Intangibles</t>
  </si>
  <si>
    <t>2.1.2.1.00.00.0.0.000</t>
  </si>
  <si>
    <t>Venta de Patentes</t>
  </si>
  <si>
    <t>2.1.2.1.01.00.0.0.000</t>
  </si>
  <si>
    <t>Patentes de licores</t>
  </si>
  <si>
    <t>2.2.0.0.00.00.0.0.000</t>
  </si>
  <si>
    <t>Recuperación y Anticipos por obras de utilidad Pública</t>
  </si>
  <si>
    <t>2.2.1.0.00.00.0.0.000</t>
  </si>
  <si>
    <t>Vías de Comunicación</t>
  </si>
  <si>
    <t>2.2.1.1.00.00.0.0.000</t>
  </si>
  <si>
    <t>2.4.0.0.00.00.0.0.000</t>
  </si>
  <si>
    <t>Transferencias de Capital</t>
  </si>
  <si>
    <t>2.4.1.0.00.00.0.0.000</t>
  </si>
  <si>
    <t>Transferencias de Capital del Sector Público</t>
  </si>
  <si>
    <t>2.4.1.1.00.00.0.0.000</t>
  </si>
  <si>
    <t>Transferencias de Capital del  Gobierno Central</t>
  </si>
  <si>
    <t>2.4.1.1.01.00.0.0.000</t>
  </si>
  <si>
    <t>Ley de Simplificación 8114</t>
  </si>
  <si>
    <t>2.4.1.1.02.00.0.0.000</t>
  </si>
  <si>
    <t>Ley 8316 Fondo de Alcantarillados</t>
  </si>
  <si>
    <t>2.4.1.2.00.00.0.0.000</t>
  </si>
  <si>
    <t>Transferencias de Capital de Organos Desconcentrados</t>
  </si>
  <si>
    <t>2.4.1.2.01.00.0.0.001</t>
  </si>
  <si>
    <t>Fondo de Desarrollo Social y Asignaciones Familiares</t>
  </si>
  <si>
    <t>2.4.1.3.00.00.0.0.000</t>
  </si>
  <si>
    <t>Transferencias de Capital de Instituciones Descentralizadas no Empresariales</t>
  </si>
  <si>
    <t>2.4.1.3.01.00.0.0.001</t>
  </si>
  <si>
    <t>Aportes IFAM para Mant. Y Conservación de</t>
  </si>
  <si>
    <t>Caminos Y Calles, Ley 6909</t>
  </si>
  <si>
    <t>2,4.3,0,00,00,0,0,000</t>
  </si>
  <si>
    <t>Transferencias de Capital al Sector Externo</t>
  </si>
  <si>
    <t>2,4.3,1,00,00,0,0,000</t>
  </si>
  <si>
    <t>Transferencias de Capital de Organismos Internacionales</t>
  </si>
  <si>
    <t>2,4.3,1,00,00,0,0,001</t>
  </si>
  <si>
    <t>Aporte de Cooperación Alemana</t>
  </si>
  <si>
    <t>3.0.0.0.00.00.0.0.000</t>
  </si>
  <si>
    <t>FINANCIAMIENTO</t>
  </si>
  <si>
    <t>3.1.1.0.00.00.0.0.000</t>
  </si>
  <si>
    <t>Prestamos Directos</t>
  </si>
  <si>
    <t>3.1.1.6.00.00.0.0.000</t>
  </si>
  <si>
    <t>Préstamos directos de Instituciones Públicas Financieras</t>
  </si>
  <si>
    <t>3.1.1.6.01.00.0.0.000</t>
  </si>
  <si>
    <t xml:space="preserve">Banco Popular </t>
  </si>
  <si>
    <t>3.3.0.0.00.00.0.0.000</t>
  </si>
  <si>
    <t>Recursos de Vigencias anteriores</t>
  </si>
  <si>
    <t>3.3.1.0.00.00.0.0.000</t>
  </si>
  <si>
    <t>Superavit Libre</t>
  </si>
  <si>
    <t>3.3.2.0.00.00.0.0.000</t>
  </si>
  <si>
    <t>Seperavit especificico</t>
  </si>
  <si>
    <t>3.3.2.0.00.00.0.0.004</t>
  </si>
  <si>
    <t>3.3.2.0.00.00.0.0.010</t>
  </si>
  <si>
    <t>Bienes Inmuebles</t>
  </si>
  <si>
    <t>TOTAL DE INGRESOS</t>
  </si>
  <si>
    <t>DETALLE GENERAL DELOBJETO DEL GASTO</t>
  </si>
  <si>
    <t>EGRESOS TOTALES</t>
  </si>
  <si>
    <t>REMUNERACIONES</t>
  </si>
  <si>
    <t xml:space="preserve">SERVICIOS </t>
  </si>
  <si>
    <t>MATERIALES Y SUMINISTROS</t>
  </si>
  <si>
    <t>INTERESES Y COMISIONES</t>
  </si>
  <si>
    <t>BIENES DURADEROS</t>
  </si>
  <si>
    <t>TRANSFERENCIAS CORRIENTES</t>
  </si>
  <si>
    <t>TRANFERENCIAS DE CAPITAL</t>
  </si>
  <si>
    <t>AMORTIZACION</t>
  </si>
  <si>
    <t>CUENTAS ESPECIALES</t>
  </si>
  <si>
    <t>DETALLE DELOBJETO DEL GASTO PROGRAMA I</t>
  </si>
  <si>
    <t>EGRESOS PROGRAMA I</t>
  </si>
  <si>
    <t>Transferencias Corrientes al Sector Público</t>
  </si>
  <si>
    <t>Transferencias Corrientes a Gobiernos Central</t>
  </si>
  <si>
    <t xml:space="preserve">Organo Normalización Técnica M.de Hacienda </t>
  </si>
  <si>
    <t>Transferencias Corrientes a Organos Desconcentrados</t>
  </si>
  <si>
    <t>Aporte Junta Admva.Registro Nac. Ley 7509y 7729</t>
  </si>
  <si>
    <t>CONAGEBIO (10% de la Ley 7788)</t>
  </si>
  <si>
    <t>Fondo para Parques Nacionales</t>
  </si>
  <si>
    <t>Consejo Nacionala de Personas con Discapacidad</t>
  </si>
  <si>
    <t>Transferencias Corrientes a Instituciones desentralizadas no Empresariales</t>
  </si>
  <si>
    <t xml:space="preserve">Aporte a IFAM, Ley Nº 7509 </t>
  </si>
  <si>
    <t>Juntas de Educación, Ley 7509 y 7729</t>
  </si>
  <si>
    <t>Transferencias Corrientes a Gobiernos Locales</t>
  </si>
  <si>
    <t xml:space="preserve">Comité Cantonal Deportes y Recreación </t>
  </si>
  <si>
    <t>Unión Nacional de Gobiernos Locales</t>
  </si>
  <si>
    <t>Transferencias Corrientes a Personas</t>
  </si>
  <si>
    <t>Becas a funcionarios</t>
  </si>
  <si>
    <t>Ayuda a Funcioanrios</t>
  </si>
  <si>
    <t>Otras Transferencias a Personas</t>
  </si>
  <si>
    <t>Prestaciones</t>
  </si>
  <si>
    <t xml:space="preserve">Prestaciones Legales </t>
  </si>
  <si>
    <t>Pensiones  y Juvilaciones no contributivas</t>
  </si>
  <si>
    <t>Decimo Tercer mes de Penciones y Juvilaciones</t>
  </si>
  <si>
    <t>Otras Prestacones a Terceras Personas</t>
  </si>
  <si>
    <t>Transferencias Corrientes a Entidades Pirivadas sin Fines de Lucro</t>
  </si>
  <si>
    <t>Asociación para la Atención Integral de Pacientes con Cancer</t>
  </si>
  <si>
    <t>Otras Trasferencias Corrientes al sector Privado</t>
  </si>
  <si>
    <t xml:space="preserve">Indemnizaciones </t>
  </si>
  <si>
    <t>Reintegros o devoluciones</t>
  </si>
  <si>
    <t>Transferencias de Capital a Instituciones Desentralizado no empresariales</t>
  </si>
  <si>
    <t>IFAM Ley 7509</t>
  </si>
  <si>
    <t>Fondos en fideicomisos para gastos de Capital</t>
  </si>
  <si>
    <t>Fondo de Desarrollo Municipal Ley 7509</t>
  </si>
  <si>
    <t>DETALLE DELOBJETO DEL GASTO PROGRAMA II</t>
  </si>
  <si>
    <t>EGRESOS PROGRAMA II</t>
  </si>
  <si>
    <t>Transferencias Corriente a Personas</t>
  </si>
  <si>
    <t>Otras Transferencias Corrientes</t>
  </si>
  <si>
    <t>DETALLE DELOBJETO DEL GASTO PROGRAMA III</t>
  </si>
  <si>
    <t>EGRESOS PROGRAMA III</t>
  </si>
  <si>
    <t>Otras Prestaciones a Terceras Persones</t>
  </si>
  <si>
    <t>Transferencias deCapital del Sector Publico</t>
  </si>
  <si>
    <t>Transferencias de Capital al Gobierno Central</t>
  </si>
  <si>
    <t>juntas de Administración</t>
  </si>
  <si>
    <t>Juntas de Educación</t>
  </si>
  <si>
    <t>Transferencias de Capital a Entidades Privadas sin Fines de Lucro</t>
  </si>
  <si>
    <t xml:space="preserve">Transferencias de capital a Asociaciones </t>
  </si>
  <si>
    <t>Transferencias de capital a otras entidades Privadas sin fines de Lucro</t>
  </si>
  <si>
    <t>Recursos Libres sin Asignación Presupuestaria</t>
  </si>
  <si>
    <t xml:space="preserve">Cuentas Especiales </t>
  </si>
  <si>
    <t>Servicios Especiales</t>
  </si>
  <si>
    <t>Fecha 26/08/2020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</si>
</sst>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000"/>
    <numFmt numFmtId="166" formatCode="[$¢-140A]#,##0.00"/>
    <numFmt numFmtId="167" formatCode="&quot;₡&quot;#,##0.00"/>
    <numFmt numFmtId="168" formatCode="_(&quot;¢&quot;* #,##0.00_);_(&quot;¢&quot;* \(#,##0.00\);_(&quot;¢&quot;* &quot;-&quot;??_);_(@_)"/>
  </numFmts>
  <fonts count="49" x14ac:knownFonts="1">
    <font>
      <sz val="10"/>
      <color rgb="FF000000"/>
      <name val="Arial"/>
    </font>
    <font>
      <sz val="10"/>
      <color theme="1"/>
      <name val="Arial"/>
    </font>
    <font>
      <b/>
      <sz val="12"/>
      <color theme="1"/>
      <name val="Arial"/>
    </font>
    <font>
      <sz val="10"/>
      <name val="Arial"/>
    </font>
    <font>
      <b/>
      <sz val="10"/>
      <color theme="1"/>
      <name val="Arial"/>
    </font>
    <font>
      <b/>
      <sz val="11"/>
      <color theme="1"/>
      <name val="Arial"/>
    </font>
    <font>
      <sz val="11"/>
      <color theme="1"/>
      <name val="Arial"/>
    </font>
    <font>
      <sz val="12"/>
      <color theme="1"/>
      <name val="Arial"/>
    </font>
    <font>
      <sz val="9"/>
      <color theme="1"/>
      <name val="Arial"/>
    </font>
    <font>
      <b/>
      <sz val="14"/>
      <color theme="1"/>
      <name val="Arial"/>
    </font>
    <font>
      <b/>
      <sz val="16"/>
      <color theme="1"/>
      <name val="Arial"/>
    </font>
    <font>
      <b/>
      <sz val="11"/>
      <color theme="0"/>
      <name val="Arial"/>
    </font>
    <font>
      <b/>
      <sz val="8"/>
      <color theme="1"/>
      <name val="Arial"/>
    </font>
    <font>
      <b/>
      <sz val="10"/>
      <color theme="0"/>
      <name val="Arial"/>
    </font>
    <font>
      <b/>
      <sz val="12"/>
      <color theme="0"/>
      <name val="Arial"/>
    </font>
    <font>
      <b/>
      <sz val="14"/>
      <color rgb="FF1F497D"/>
      <name val="Arial"/>
    </font>
    <font>
      <sz val="10"/>
      <color rgb="FF1F497D"/>
      <name val="Arial"/>
    </font>
    <font>
      <sz val="14"/>
      <color theme="1"/>
      <name val="Arial"/>
    </font>
    <font>
      <b/>
      <sz val="9"/>
      <color theme="1"/>
      <name val="Arial"/>
    </font>
    <font>
      <sz val="10"/>
      <color theme="1"/>
      <name val="Calibri"/>
    </font>
    <font>
      <b/>
      <sz val="14"/>
      <color theme="0"/>
      <name val="Arial"/>
    </font>
    <font>
      <sz val="10"/>
      <color theme="0"/>
      <name val="Arial"/>
    </font>
    <font>
      <b/>
      <sz val="10"/>
      <name val="Arial"/>
    </font>
    <font>
      <b/>
      <sz val="9"/>
      <name val="Arial"/>
    </font>
    <font>
      <sz val="10"/>
      <color rgb="FF000000"/>
      <name val="Arial"/>
    </font>
    <font>
      <sz val="10"/>
      <color theme="1"/>
      <name val="Arial"/>
      <family val="2"/>
    </font>
    <font>
      <sz val="10"/>
      <name val="Arial"/>
      <family val="2"/>
    </font>
    <font>
      <b/>
      <sz val="10"/>
      <name val="Arial"/>
      <family val="2"/>
    </font>
    <font>
      <b/>
      <sz val="10"/>
      <color indexed="8"/>
      <name val="Arial"/>
      <family val="2"/>
    </font>
    <font>
      <sz val="10"/>
      <name val="Times New Roman"/>
      <family val="1"/>
    </font>
    <font>
      <sz val="10"/>
      <color indexed="48"/>
      <name val="Arial"/>
      <family val="2"/>
    </font>
    <font>
      <b/>
      <sz val="10"/>
      <color indexed="12"/>
      <name val="Arial"/>
      <family val="2"/>
    </font>
    <font>
      <b/>
      <sz val="10"/>
      <name val="Times New Roman"/>
      <family val="1"/>
    </font>
    <font>
      <sz val="10"/>
      <color indexed="12"/>
      <name val="Arial"/>
      <family val="2"/>
    </font>
    <font>
      <sz val="10"/>
      <color indexed="8"/>
      <name val="Arial"/>
      <family val="2"/>
    </font>
    <font>
      <sz val="10"/>
      <color indexed="10"/>
      <name val="Arial"/>
      <family val="2"/>
    </font>
    <font>
      <b/>
      <sz val="11"/>
      <color theme="1"/>
      <name val="Arial"/>
      <family val="2"/>
    </font>
    <font>
      <b/>
      <sz val="12"/>
      <color theme="1"/>
      <name val="Arial"/>
      <family val="2"/>
    </font>
    <font>
      <b/>
      <sz val="8"/>
      <color indexed="81"/>
      <name val="Tahoma"/>
      <family val="2"/>
    </font>
    <font>
      <sz val="8"/>
      <color indexed="81"/>
      <name val="Tahoma"/>
      <family val="2"/>
    </font>
    <font>
      <b/>
      <sz val="11"/>
      <color indexed="81"/>
      <name val="Tahoma"/>
      <family val="2"/>
    </font>
    <font>
      <sz val="11"/>
      <name val="Arial"/>
      <family val="2"/>
    </font>
    <font>
      <b/>
      <sz val="12"/>
      <name val="Arial"/>
      <family val="2"/>
    </font>
    <font>
      <b/>
      <sz val="11"/>
      <name val="Arial"/>
      <family val="2"/>
    </font>
    <font>
      <b/>
      <u/>
      <sz val="10"/>
      <name val="Arial"/>
      <family val="2"/>
    </font>
    <font>
      <b/>
      <i/>
      <sz val="10"/>
      <name val="Arial"/>
      <family val="2"/>
    </font>
    <font>
      <i/>
      <sz val="10"/>
      <name val="Arial"/>
      <family val="2"/>
    </font>
    <font>
      <b/>
      <i/>
      <sz val="9"/>
      <name val="Arial"/>
      <family val="2"/>
    </font>
    <font>
      <b/>
      <sz val="10"/>
      <color indexed="10"/>
      <name val="Arial"/>
      <family val="2"/>
    </font>
  </fonts>
  <fills count="23">
    <fill>
      <patternFill patternType="none"/>
    </fill>
    <fill>
      <patternFill patternType="gray125"/>
    </fill>
    <fill>
      <patternFill patternType="solid">
        <fgColor rgb="FF99CCFF"/>
        <bgColor rgb="FF99CCFF"/>
      </patternFill>
    </fill>
    <fill>
      <patternFill patternType="solid">
        <fgColor theme="0"/>
        <bgColor theme="0"/>
      </patternFill>
    </fill>
    <fill>
      <patternFill patternType="solid">
        <fgColor rgb="FFDBE5F1"/>
        <bgColor rgb="FFDBE5F1"/>
      </patternFill>
    </fill>
    <fill>
      <patternFill patternType="solid">
        <fgColor rgb="FF003366"/>
        <bgColor rgb="FF003366"/>
      </patternFill>
    </fill>
    <fill>
      <patternFill patternType="solid">
        <fgColor rgb="FFFFFF00"/>
        <bgColor rgb="FFFFFF00"/>
      </patternFill>
    </fill>
    <fill>
      <patternFill patternType="solid">
        <fgColor rgb="FFD8D8D8"/>
        <bgColor rgb="FFD8D8D8"/>
      </patternFill>
    </fill>
    <fill>
      <patternFill patternType="solid">
        <fgColor rgb="FFBFBFBF"/>
        <bgColor rgb="FFBFBFBF"/>
      </patternFill>
    </fill>
    <fill>
      <patternFill patternType="solid">
        <fgColor rgb="FFFBD4B4"/>
        <bgColor rgb="FFFBD4B4"/>
      </patternFill>
    </fill>
    <fill>
      <patternFill patternType="solid">
        <fgColor rgb="FFFABF8F"/>
        <bgColor rgb="FFFABF8F"/>
      </patternFill>
    </fill>
    <fill>
      <patternFill patternType="solid">
        <fgColor rgb="FFFFCC99"/>
        <bgColor rgb="FFFFCC99"/>
      </patternFill>
    </fill>
    <fill>
      <patternFill patternType="solid">
        <fgColor rgb="FF1F497D"/>
        <bgColor rgb="FF1F497D"/>
      </patternFill>
    </fill>
    <fill>
      <patternFill patternType="solid">
        <fgColor rgb="FF92CDDC"/>
        <bgColor rgb="FF92CDDC"/>
      </patternFill>
    </fill>
    <fill>
      <patternFill patternType="solid">
        <fgColor rgb="FFCCFFFF"/>
        <bgColor rgb="FFCCFFFF"/>
      </patternFill>
    </fill>
    <fill>
      <patternFill patternType="solid">
        <fgColor indexed="9"/>
        <bgColor indexed="64"/>
      </patternFill>
    </fill>
    <fill>
      <patternFill patternType="solid">
        <fgColor indexed="41"/>
        <bgColor indexed="64"/>
      </patternFill>
    </fill>
    <fill>
      <patternFill patternType="solid">
        <fgColor theme="8" tint="0.59999389629810485"/>
        <bgColor indexed="64"/>
      </patternFill>
    </fill>
    <fill>
      <patternFill patternType="solid">
        <fgColor indexed="13"/>
        <bgColor indexed="64"/>
      </patternFill>
    </fill>
    <fill>
      <patternFill patternType="solid">
        <fgColor theme="0"/>
        <bgColor indexed="64"/>
      </patternFill>
    </fill>
    <fill>
      <patternFill patternType="solid">
        <fgColor indexed="45"/>
        <bgColor indexed="64"/>
      </patternFill>
    </fill>
    <fill>
      <patternFill patternType="solid">
        <fgColor indexed="44"/>
        <bgColor indexed="64"/>
      </patternFill>
    </fill>
    <fill>
      <patternFill patternType="solid">
        <fgColor rgb="FFCCFFFF"/>
        <bgColor rgb="FF000000"/>
      </patternFill>
    </fill>
  </fills>
  <borders count="149">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thin">
        <color rgb="FF000000"/>
      </left>
      <right style="thin">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thin">
        <color rgb="FF000000"/>
      </bottom>
      <diagonal/>
    </border>
    <border>
      <left/>
      <right style="thin">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right style="thin">
        <color rgb="FF000000"/>
      </right>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8">
    <xf numFmtId="0" fontId="0" fillId="0" borderId="0"/>
    <xf numFmtId="43" fontId="24" fillId="0" borderId="0" applyFont="0" applyFill="0" applyBorder="0" applyAlignment="0" applyProtection="0"/>
    <xf numFmtId="0" fontId="26" fillId="0" borderId="29"/>
    <xf numFmtId="43" fontId="26" fillId="0" borderId="29" applyFont="0" applyFill="0" applyBorder="0" applyAlignment="0" applyProtection="0"/>
    <xf numFmtId="0" fontId="3" fillId="0" borderId="29"/>
    <xf numFmtId="43" fontId="3" fillId="0" borderId="29" applyFont="0" applyFill="0" applyBorder="0" applyAlignment="0" applyProtection="0"/>
    <xf numFmtId="43" fontId="3" fillId="0" borderId="29" applyFont="0" applyFill="0" applyBorder="0" applyAlignment="0" applyProtection="0"/>
    <xf numFmtId="9" fontId="3" fillId="0" borderId="29" applyFont="0" applyFill="0" applyBorder="0" applyAlignment="0" applyProtection="0"/>
  </cellStyleXfs>
  <cellXfs count="804">
    <xf numFmtId="0" fontId="0" fillId="0" borderId="0" xfId="0" applyFont="1" applyAlignment="1"/>
    <xf numFmtId="0" fontId="1" fillId="0" borderId="0" xfId="0" applyFont="1" applyAlignment="1"/>
    <xf numFmtId="0" fontId="1" fillId="0" borderId="0" xfId="0" applyFont="1"/>
    <xf numFmtId="4" fontId="1" fillId="0" borderId="0" xfId="0" applyNumberFormat="1" applyFont="1" applyAlignment="1"/>
    <xf numFmtId="49" fontId="1" fillId="0" borderId="0" xfId="0" applyNumberFormat="1" applyFont="1" applyAlignment="1"/>
    <xf numFmtId="0" fontId="5" fillId="0" borderId="0" xfId="0" applyFont="1" applyAlignment="1">
      <alignment horizontal="center"/>
    </xf>
    <xf numFmtId="0" fontId="6" fillId="0" borderId="0" xfId="0" applyFont="1" applyAlignment="1"/>
    <xf numFmtId="0" fontId="1" fillId="0" borderId="16" xfId="0" applyFont="1" applyBorder="1" applyAlignment="1"/>
    <xf numFmtId="4" fontId="1" fillId="0" borderId="12" xfId="0" applyNumberFormat="1" applyFont="1" applyBorder="1" applyAlignment="1"/>
    <xf numFmtId="0" fontId="1" fillId="0" borderId="12" xfId="0" applyFont="1" applyBorder="1" applyAlignment="1"/>
    <xf numFmtId="0" fontId="1" fillId="0" borderId="18" xfId="0" applyFont="1" applyBorder="1" applyAlignment="1"/>
    <xf numFmtId="0" fontId="1" fillId="3" borderId="25" xfId="0" applyFont="1" applyFill="1" applyBorder="1" applyAlignment="1"/>
    <xf numFmtId="0" fontId="7" fillId="0" borderId="0" xfId="0" applyFont="1" applyAlignment="1"/>
    <xf numFmtId="0" fontId="1" fillId="0" borderId="0" xfId="0" applyFont="1" applyAlignment="1">
      <alignment horizontal="left"/>
    </xf>
    <xf numFmtId="0" fontId="8" fillId="0" borderId="0" xfId="0" applyFont="1" applyAlignment="1"/>
    <xf numFmtId="0" fontId="10" fillId="0" borderId="0" xfId="0" applyFont="1" applyAlignment="1"/>
    <xf numFmtId="0" fontId="5" fillId="0" borderId="0" xfId="0" applyFont="1" applyAlignment="1"/>
    <xf numFmtId="0" fontId="4" fillId="0" borderId="0" xfId="0" applyFont="1" applyAlignment="1">
      <alignment horizontal="center" vertical="center"/>
    </xf>
    <xf numFmtId="0" fontId="12" fillId="2" borderId="3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 fillId="2" borderId="25" xfId="0" applyFont="1" applyFill="1" applyBorder="1" applyAlignment="1"/>
    <xf numFmtId="0" fontId="1" fillId="0" borderId="12" xfId="0" applyFont="1" applyBorder="1" applyAlignment="1">
      <alignment horizontal="center"/>
    </xf>
    <xf numFmtId="0" fontId="1" fillId="0" borderId="0" xfId="0" applyFont="1" applyAlignment="1">
      <alignment horizontal="center"/>
    </xf>
    <xf numFmtId="0" fontId="5" fillId="7" borderId="40" xfId="0" applyFont="1" applyFill="1" applyBorder="1" applyAlignment="1"/>
    <xf numFmtId="0" fontId="5" fillId="7" borderId="41" xfId="0" applyFont="1" applyFill="1" applyBorder="1" applyAlignment="1">
      <alignment horizontal="center"/>
    </xf>
    <xf numFmtId="0" fontId="5" fillId="7" borderId="42" xfId="0" applyFont="1" applyFill="1" applyBorder="1" applyAlignment="1">
      <alignment horizontal="center"/>
    </xf>
    <xf numFmtId="0" fontId="4" fillId="0" borderId="0" xfId="0" applyFont="1" applyAlignment="1"/>
    <xf numFmtId="49" fontId="8" fillId="0" borderId="0" xfId="0" applyNumberFormat="1" applyFont="1" applyAlignment="1"/>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0" xfId="0" applyFont="1" applyAlignment="1">
      <alignment vertical="center"/>
    </xf>
    <xf numFmtId="0" fontId="8" fillId="0" borderId="0" xfId="0" applyFont="1" applyAlignment="1">
      <alignment vertical="center"/>
    </xf>
    <xf numFmtId="49" fontId="8" fillId="0" borderId="0" xfId="0" applyNumberFormat="1" applyFont="1" applyAlignment="1">
      <alignment vertical="center"/>
    </xf>
    <xf numFmtId="0" fontId="4" fillId="8" borderId="46" xfId="0" applyFont="1" applyFill="1" applyBorder="1" applyAlignment="1"/>
    <xf numFmtId="0" fontId="4" fillId="8" borderId="47" xfId="0" applyFont="1" applyFill="1" applyBorder="1" applyAlignment="1"/>
    <xf numFmtId="0" fontId="4" fillId="8" borderId="48" xfId="0" applyFont="1" applyFill="1" applyBorder="1" applyAlignment="1">
      <alignment horizontal="center"/>
    </xf>
    <xf numFmtId="0" fontId="8" fillId="0" borderId="0" xfId="0" applyFont="1" applyAlignment="1">
      <alignment horizontal="center"/>
    </xf>
    <xf numFmtId="0" fontId="4" fillId="0" borderId="0" xfId="0" applyFont="1" applyAlignment="1">
      <alignment horizontal="center"/>
    </xf>
    <xf numFmtId="0" fontId="4" fillId="8" borderId="48" xfId="0" applyFont="1" applyFill="1" applyBorder="1" applyAlignment="1"/>
    <xf numFmtId="0" fontId="4" fillId="0" borderId="0" xfId="0" applyFont="1" applyAlignment="1">
      <alignment vertical="center"/>
    </xf>
    <xf numFmtId="0" fontId="15" fillId="0" borderId="0" xfId="0" applyFont="1" applyAlignment="1"/>
    <xf numFmtId="0" fontId="16" fillId="0" borderId="0" xfId="0" applyFont="1" applyAlignment="1"/>
    <xf numFmtId="0" fontId="1" fillId="0" borderId="0" xfId="0" applyFont="1" applyAlignment="1">
      <alignment horizontal="center" vertical="center"/>
    </xf>
    <xf numFmtId="49" fontId="1" fillId="9" borderId="25" xfId="0" applyNumberFormat="1" applyFont="1" applyFill="1" applyBorder="1" applyAlignment="1"/>
    <xf numFmtId="0" fontId="17" fillId="0" borderId="0" xfId="0" applyFont="1" applyAlignment="1">
      <alignment horizontal="center" vertical="center"/>
    </xf>
    <xf numFmtId="0" fontId="11" fillId="5" borderId="63" xfId="0" applyFont="1" applyFill="1" applyBorder="1" applyAlignment="1"/>
    <xf numFmtId="0" fontId="18" fillId="4" borderId="64" xfId="0" applyFont="1" applyFill="1" applyBorder="1" applyAlignment="1"/>
    <xf numFmtId="0" fontId="18" fillId="4" borderId="12" xfId="0" applyFont="1" applyFill="1" applyBorder="1" applyAlignment="1">
      <alignment horizontal="center" vertical="center" wrapText="1"/>
    </xf>
    <xf numFmtId="0" fontId="18" fillId="4" borderId="66" xfId="0" applyFont="1" applyFill="1" applyBorder="1" applyAlignment="1"/>
    <xf numFmtId="0" fontId="1" fillId="4" borderId="19" xfId="0" applyFont="1" applyFill="1" applyBorder="1" applyAlignment="1"/>
    <xf numFmtId="0" fontId="1" fillId="4" borderId="25" xfId="0" applyFont="1" applyFill="1" applyBorder="1" applyAlignment="1"/>
    <xf numFmtId="49" fontId="8" fillId="4" borderId="67" xfId="0" applyNumberFormat="1" applyFont="1" applyFill="1" applyBorder="1" applyAlignment="1"/>
    <xf numFmtId="0" fontId="1" fillId="4" borderId="66" xfId="0" applyFont="1" applyFill="1" applyBorder="1" applyAlignment="1"/>
    <xf numFmtId="0" fontId="18" fillId="4" borderId="68" xfId="0" applyFont="1" applyFill="1" applyBorder="1" applyAlignment="1">
      <alignment horizontal="center"/>
    </xf>
    <xf numFmtId="0" fontId="18" fillId="4" borderId="25" xfId="0" applyFont="1" applyFill="1" applyBorder="1" applyAlignment="1">
      <alignment horizontal="center"/>
    </xf>
    <xf numFmtId="0" fontId="8" fillId="4" borderId="66" xfId="0" applyFont="1" applyFill="1" applyBorder="1" applyAlignment="1"/>
    <xf numFmtId="4" fontId="8" fillId="4" borderId="68" xfId="0" applyNumberFormat="1" applyFont="1" applyFill="1" applyBorder="1" applyAlignment="1"/>
    <xf numFmtId="4" fontId="8" fillId="4" borderId="25" xfId="0" applyNumberFormat="1" applyFont="1" applyFill="1" applyBorder="1" applyAlignment="1"/>
    <xf numFmtId="0" fontId="8" fillId="4" borderId="66" xfId="0" applyFont="1" applyFill="1" applyBorder="1" applyAlignment="1">
      <alignment horizontal="left" vertical="center" wrapText="1"/>
    </xf>
    <xf numFmtId="4" fontId="8" fillId="4" borderId="69" xfId="0" applyNumberFormat="1" applyFont="1" applyFill="1" applyBorder="1" applyAlignment="1"/>
    <xf numFmtId="4" fontId="8" fillId="4" borderId="70" xfId="0" applyNumberFormat="1" applyFont="1" applyFill="1" applyBorder="1" applyAlignment="1"/>
    <xf numFmtId="49" fontId="8" fillId="4" borderId="71" xfId="0" applyNumberFormat="1" applyFont="1" applyFill="1" applyBorder="1" applyAlignment="1"/>
    <xf numFmtId="0" fontId="8" fillId="4" borderId="46" xfId="0" applyFont="1" applyFill="1" applyBorder="1" applyAlignment="1"/>
    <xf numFmtId="4" fontId="8" fillId="4" borderId="72" xfId="0" applyNumberFormat="1" applyFont="1" applyFill="1" applyBorder="1" applyAlignment="1"/>
    <xf numFmtId="4" fontId="8" fillId="4" borderId="47" xfId="0" applyNumberFormat="1" applyFont="1" applyFill="1" applyBorder="1" applyAlignment="1"/>
    <xf numFmtId="49" fontId="8" fillId="4" borderId="48" xfId="0" applyNumberFormat="1" applyFont="1" applyFill="1" applyBorder="1" applyAlignment="1"/>
    <xf numFmtId="0" fontId="1" fillId="5" borderId="73" xfId="0" applyFont="1" applyFill="1" applyBorder="1" applyAlignment="1"/>
    <xf numFmtId="0" fontId="18" fillId="3" borderId="66" xfId="0" applyFont="1" applyFill="1" applyBorder="1" applyAlignment="1"/>
    <xf numFmtId="0" fontId="18" fillId="3" borderId="25" xfId="0" applyFont="1" applyFill="1" applyBorder="1" applyAlignment="1">
      <alignment horizontal="center"/>
    </xf>
    <xf numFmtId="49" fontId="8" fillId="3" borderId="67" xfId="0" applyNumberFormat="1" applyFont="1" applyFill="1" applyBorder="1" applyAlignment="1"/>
    <xf numFmtId="0" fontId="8" fillId="0" borderId="74" xfId="0" applyFont="1" applyBorder="1" applyAlignment="1">
      <alignment horizontal="left" vertical="center" wrapText="1"/>
    </xf>
    <xf numFmtId="4" fontId="8" fillId="3" borderId="25" xfId="0" applyNumberFormat="1" applyFont="1" applyFill="1" applyBorder="1" applyAlignment="1"/>
    <xf numFmtId="0" fontId="8" fillId="0" borderId="75" xfId="0" applyFont="1" applyBorder="1" applyAlignment="1">
      <alignment horizontal="left" vertical="center" wrapText="1"/>
    </xf>
    <xf numFmtId="0" fontId="8" fillId="3" borderId="25" xfId="0" applyFont="1" applyFill="1" applyBorder="1" applyAlignment="1">
      <alignment horizontal="left" vertical="center" wrapText="1"/>
    </xf>
    <xf numFmtId="0" fontId="8" fillId="0" borderId="76" xfId="0" applyFont="1" applyBorder="1" applyAlignment="1">
      <alignment horizontal="left" vertical="center" wrapText="1"/>
    </xf>
    <xf numFmtId="4" fontId="8" fillId="3" borderId="47" xfId="0" applyNumberFormat="1" applyFont="1" applyFill="1" applyBorder="1" applyAlignment="1"/>
    <xf numFmtId="49" fontId="8" fillId="3" borderId="48" xfId="0" applyNumberFormat="1" applyFont="1" applyFill="1" applyBorder="1" applyAlignment="1"/>
    <xf numFmtId="0" fontId="1" fillId="0" borderId="74" xfId="0" applyFont="1" applyBorder="1" applyAlignment="1">
      <alignment vertical="top" wrapText="1"/>
    </xf>
    <xf numFmtId="49" fontId="1" fillId="4" borderId="67" xfId="0" applyNumberFormat="1" applyFont="1" applyFill="1" applyBorder="1" applyAlignment="1"/>
    <xf numFmtId="0" fontId="1" fillId="4" borderId="46" xfId="0" applyFont="1" applyFill="1" applyBorder="1" applyAlignment="1">
      <alignment horizontal="left" vertical="center" wrapText="1"/>
    </xf>
    <xf numFmtId="0" fontId="1" fillId="4" borderId="47" xfId="0" applyFont="1" applyFill="1" applyBorder="1" applyAlignment="1"/>
    <xf numFmtId="49" fontId="1" fillId="4" borderId="48" xfId="0" applyNumberFormat="1" applyFont="1" applyFill="1" applyBorder="1" applyAlignment="1"/>
    <xf numFmtId="0" fontId="1" fillId="0" borderId="0" xfId="0" applyFont="1" applyAlignment="1">
      <alignment horizontal="left" vertical="center" wrapText="1"/>
    </xf>
    <xf numFmtId="4" fontId="8" fillId="0" borderId="0" xfId="0" applyNumberFormat="1" applyFont="1" applyAlignment="1"/>
    <xf numFmtId="49" fontId="1" fillId="10" borderId="25" xfId="0" applyNumberFormat="1" applyFont="1" applyFill="1" applyBorder="1" applyAlignment="1"/>
    <xf numFmtId="0" fontId="4" fillId="0" borderId="74" xfId="0" applyFont="1" applyBorder="1" applyAlignment="1"/>
    <xf numFmtId="0" fontId="18" fillId="0" borderId="0" xfId="0" applyFont="1" applyAlignment="1">
      <alignment horizontal="center"/>
    </xf>
    <xf numFmtId="0" fontId="1" fillId="0" borderId="75" xfId="0" applyFont="1" applyBorder="1" applyAlignment="1"/>
    <xf numFmtId="0" fontId="18" fillId="0" borderId="74" xfId="0" applyFont="1" applyBorder="1" applyAlignment="1"/>
    <xf numFmtId="49" fontId="1" fillId="0" borderId="75" xfId="0" applyNumberFormat="1" applyFont="1" applyBorder="1" applyAlignment="1"/>
    <xf numFmtId="0" fontId="8" fillId="0" borderId="76" xfId="0" applyFont="1" applyBorder="1" applyAlignment="1"/>
    <xf numFmtId="0" fontId="1" fillId="0" borderId="58" xfId="0" applyFont="1" applyBorder="1" applyAlignment="1"/>
    <xf numFmtId="49" fontId="1" fillId="0" borderId="59" xfId="0" applyNumberFormat="1" applyFont="1" applyBorder="1" applyAlignment="1"/>
    <xf numFmtId="0" fontId="8" fillId="0" borderId="74" xfId="0" applyFont="1" applyBorder="1" applyAlignment="1"/>
    <xf numFmtId="49" fontId="8" fillId="0" borderId="75" xfId="0" applyNumberFormat="1" applyFont="1" applyBorder="1" applyAlignment="1"/>
    <xf numFmtId="0" fontId="1" fillId="0" borderId="74" xfId="0" applyFont="1" applyBorder="1" applyAlignment="1"/>
    <xf numFmtId="0" fontId="1" fillId="0" borderId="76" xfId="0" applyFont="1" applyBorder="1" applyAlignment="1">
      <alignment horizontal="left" vertical="center" wrapText="1"/>
    </xf>
    <xf numFmtId="4" fontId="8" fillId="0" borderId="58" xfId="0" applyNumberFormat="1" applyFont="1" applyBorder="1" applyAlignment="1"/>
    <xf numFmtId="0" fontId="19" fillId="0" borderId="0" xfId="0" applyFont="1"/>
    <xf numFmtId="0" fontId="4" fillId="0" borderId="0" xfId="0" applyFont="1" applyAlignment="1">
      <alignment horizontal="left"/>
    </xf>
    <xf numFmtId="0" fontId="4" fillId="2" borderId="66" xfId="0" applyFont="1" applyFill="1" applyBorder="1" applyAlignment="1">
      <alignment horizontal="center"/>
    </xf>
    <xf numFmtId="0" fontId="1" fillId="2" borderId="68" xfId="0" applyFont="1" applyFill="1" applyBorder="1" applyAlignment="1"/>
    <xf numFmtId="0" fontId="4" fillId="2" borderId="77" xfId="0" applyFont="1" applyFill="1" applyBorder="1" applyAlignment="1">
      <alignment horizontal="center"/>
    </xf>
    <xf numFmtId="0" fontId="4" fillId="2" borderId="68" xfId="0" applyFont="1" applyFill="1" applyBorder="1" applyAlignment="1">
      <alignment horizontal="center"/>
    </xf>
    <xf numFmtId="0" fontId="4" fillId="2" borderId="25" xfId="0" applyFont="1" applyFill="1" applyBorder="1" applyAlignment="1">
      <alignment horizontal="center"/>
    </xf>
    <xf numFmtId="4" fontId="1" fillId="11" borderId="12" xfId="0" applyNumberFormat="1" applyFont="1" applyFill="1" applyBorder="1" applyAlignment="1"/>
    <xf numFmtId="0" fontId="4" fillId="11" borderId="46" xfId="0" applyFont="1" applyFill="1" applyBorder="1" applyAlignment="1"/>
    <xf numFmtId="4" fontId="4" fillId="11" borderId="72" xfId="0" applyNumberFormat="1" applyFont="1" applyFill="1" applyBorder="1" applyAlignment="1"/>
    <xf numFmtId="0" fontId="4" fillId="11" borderId="78" xfId="0" applyFont="1" applyFill="1" applyBorder="1" applyAlignment="1"/>
    <xf numFmtId="0" fontId="4" fillId="11" borderId="39" xfId="0" applyFont="1" applyFill="1" applyBorder="1" applyAlignment="1"/>
    <xf numFmtId="4" fontId="4" fillId="11" borderId="79" xfId="0" applyNumberFormat="1" applyFont="1" applyFill="1" applyBorder="1" applyAlignment="1"/>
    <xf numFmtId="4" fontId="4" fillId="11" borderId="40" xfId="0" applyNumberFormat="1" applyFont="1" applyFill="1" applyBorder="1" applyAlignment="1"/>
    <xf numFmtId="4" fontId="4" fillId="11" borderId="80" xfId="0" applyNumberFormat="1" applyFont="1" applyFill="1" applyBorder="1" applyAlignment="1"/>
    <xf numFmtId="0" fontId="4" fillId="2" borderId="81" xfId="0" applyFont="1" applyFill="1" applyBorder="1" applyAlignment="1">
      <alignment horizontal="center"/>
    </xf>
    <xf numFmtId="0" fontId="4" fillId="2" borderId="5" xfId="0" applyFont="1" applyFill="1" applyBorder="1" applyAlignment="1">
      <alignment horizontal="center"/>
    </xf>
    <xf numFmtId="4" fontId="4" fillId="2" borderId="82" xfId="0" applyNumberFormat="1" applyFont="1" applyFill="1" applyBorder="1" applyAlignment="1">
      <alignment horizontal="center"/>
    </xf>
    <xf numFmtId="4" fontId="1" fillId="0" borderId="83" xfId="0" applyNumberFormat="1" applyFont="1" applyBorder="1" applyAlignment="1"/>
    <xf numFmtId="0" fontId="5" fillId="2" borderId="22" xfId="0" applyFont="1" applyFill="1" applyBorder="1" applyAlignment="1"/>
    <xf numFmtId="0" fontId="6" fillId="2" borderId="23" xfId="0" applyFont="1" applyFill="1" applyBorder="1" applyAlignment="1"/>
    <xf numFmtId="4" fontId="5" fillId="2" borderId="84" xfId="0" applyNumberFormat="1" applyFont="1" applyFill="1" applyBorder="1" applyAlignment="1"/>
    <xf numFmtId="0" fontId="18" fillId="0" borderId="85" xfId="0" applyFont="1" applyBorder="1" applyAlignment="1"/>
    <xf numFmtId="0" fontId="1" fillId="0" borderId="54" xfId="0" applyFont="1" applyBorder="1" applyAlignment="1"/>
    <xf numFmtId="4" fontId="4" fillId="0" borderId="55" xfId="0" applyNumberFormat="1" applyFont="1" applyBorder="1" applyAlignment="1"/>
    <xf numFmtId="0" fontId="18" fillId="0" borderId="76" xfId="0" applyFont="1" applyBorder="1" applyAlignment="1"/>
    <xf numFmtId="9" fontId="1" fillId="0" borderId="59" xfId="0" applyNumberFormat="1" applyFont="1" applyBorder="1" applyAlignment="1"/>
    <xf numFmtId="0" fontId="18" fillId="6" borderId="86" xfId="0" applyFont="1" applyFill="1" applyBorder="1" applyAlignment="1"/>
    <xf numFmtId="0" fontId="4" fillId="6" borderId="87" xfId="0" applyFont="1" applyFill="1" applyBorder="1" applyAlignment="1"/>
    <xf numFmtId="10" fontId="4" fillId="6" borderId="87" xfId="0" applyNumberFormat="1" applyFont="1" applyFill="1" applyBorder="1" applyAlignment="1"/>
    <xf numFmtId="0" fontId="1" fillId="0" borderId="15" xfId="0" applyFont="1" applyBorder="1" applyAlignment="1"/>
    <xf numFmtId="0" fontId="1" fillId="0" borderId="88" xfId="0" applyFont="1" applyBorder="1" applyAlignment="1"/>
    <xf numFmtId="0" fontId="21" fillId="12" borderId="66" xfId="0" applyFont="1" applyFill="1" applyBorder="1" applyAlignment="1">
      <alignment horizontal="center"/>
    </xf>
    <xf numFmtId="0" fontId="21" fillId="12" borderId="19" xfId="0" applyFont="1" applyFill="1" applyBorder="1" applyAlignment="1">
      <alignment horizontal="center"/>
    </xf>
    <xf numFmtId="0" fontId="21" fillId="12" borderId="68" xfId="0" applyFont="1" applyFill="1" applyBorder="1" applyAlignment="1">
      <alignment horizontal="center"/>
    </xf>
    <xf numFmtId="0" fontId="21" fillId="12" borderId="25" xfId="0" applyFont="1" applyFill="1" applyBorder="1" applyAlignment="1">
      <alignment horizontal="center"/>
    </xf>
    <xf numFmtId="0" fontId="21" fillId="12" borderId="67" xfId="0" applyFont="1" applyFill="1" applyBorder="1" applyAlignment="1">
      <alignment horizontal="center"/>
    </xf>
    <xf numFmtId="0" fontId="21" fillId="12" borderId="86" xfId="0" applyFont="1" applyFill="1" applyBorder="1" applyAlignment="1">
      <alignment horizontal="center"/>
    </xf>
    <xf numFmtId="0" fontId="21" fillId="12" borderId="89" xfId="0" applyFont="1" applyFill="1" applyBorder="1" applyAlignment="1">
      <alignment horizontal="center"/>
    </xf>
    <xf numFmtId="0" fontId="21" fillId="12" borderId="87" xfId="0" applyFont="1" applyFill="1" applyBorder="1" applyAlignment="1">
      <alignment horizontal="center"/>
    </xf>
    <xf numFmtId="0" fontId="21" fillId="12" borderId="90" xfId="0" applyFont="1" applyFill="1" applyBorder="1" applyAlignment="1">
      <alignment horizontal="center"/>
    </xf>
    <xf numFmtId="4" fontId="1" fillId="2" borderId="68" xfId="0" applyNumberFormat="1" applyFont="1" applyFill="1" applyBorder="1" applyAlignment="1"/>
    <xf numFmtId="4" fontId="1" fillId="2" borderId="77" xfId="0" applyNumberFormat="1" applyFont="1" applyFill="1" applyBorder="1" applyAlignment="1"/>
    <xf numFmtId="4" fontId="1" fillId="0" borderId="14" xfId="0" applyNumberFormat="1" applyFont="1" applyBorder="1" applyAlignment="1"/>
    <xf numFmtId="0" fontId="1" fillId="0" borderId="11" xfId="0" applyFont="1" applyBorder="1" applyAlignment="1"/>
    <xf numFmtId="0" fontId="1" fillId="0" borderId="13" xfId="0" applyFont="1" applyBorder="1" applyAlignment="1"/>
    <xf numFmtId="0" fontId="4" fillId="0" borderId="18" xfId="0" applyFont="1" applyBorder="1" applyAlignment="1"/>
    <xf numFmtId="0" fontId="4" fillId="0" borderId="91" xfId="0" applyFont="1" applyBorder="1" applyAlignment="1"/>
    <xf numFmtId="0" fontId="1" fillId="0" borderId="92" xfId="0" applyFont="1" applyBorder="1" applyAlignment="1"/>
    <xf numFmtId="4" fontId="1" fillId="2" borderId="23" xfId="0" applyNumberFormat="1" applyFont="1" applyFill="1" applyBorder="1" applyAlignment="1"/>
    <xf numFmtId="4" fontId="1" fillId="2" borderId="84" xfId="0" applyNumberFormat="1" applyFont="1" applyFill="1" applyBorder="1" applyAlignment="1"/>
    <xf numFmtId="0" fontId="4" fillId="2" borderId="63" xfId="0" applyFont="1" applyFill="1" applyBorder="1" applyAlignment="1">
      <alignment horizontal="center"/>
    </xf>
    <xf numFmtId="0" fontId="4" fillId="2" borderId="67" xfId="0" applyFont="1" applyFill="1" applyBorder="1" applyAlignment="1">
      <alignment horizontal="center"/>
    </xf>
    <xf numFmtId="0" fontId="12" fillId="0" borderId="85" xfId="0" applyFont="1" applyBorder="1" applyAlignment="1">
      <alignment horizontal="center" vertical="center" wrapText="1"/>
    </xf>
    <xf numFmtId="0" fontId="4" fillId="2" borderId="90" xfId="0" applyFont="1" applyFill="1" applyBorder="1" applyAlignment="1">
      <alignment horizontal="center"/>
    </xf>
    <xf numFmtId="4" fontId="1" fillId="14" borderId="25" xfId="0" applyNumberFormat="1" applyFont="1" applyFill="1" applyBorder="1" applyAlignment="1"/>
    <xf numFmtId="4" fontId="1" fillId="14" borderId="97" xfId="0" applyNumberFormat="1" applyFont="1" applyFill="1" applyBorder="1" applyAlignment="1"/>
    <xf numFmtId="4" fontId="1" fillId="14" borderId="98" xfId="0" applyNumberFormat="1" applyFont="1" applyFill="1" applyBorder="1" applyAlignment="1"/>
    <xf numFmtId="4" fontId="4" fillId="14" borderId="67" xfId="0" applyNumberFormat="1" applyFont="1" applyFill="1" applyBorder="1" applyAlignment="1"/>
    <xf numFmtId="0" fontId="1" fillId="0" borderId="10" xfId="0" applyFont="1" applyBorder="1" applyAlignment="1"/>
    <xf numFmtId="0" fontId="1" fillId="0" borderId="45" xfId="0" applyFont="1" applyBorder="1" applyAlignment="1"/>
    <xf numFmtId="0" fontId="1" fillId="0" borderId="44" xfId="0" applyFont="1" applyBorder="1" applyAlignment="1"/>
    <xf numFmtId="0" fontId="4" fillId="2" borderId="99" xfId="0" applyFont="1" applyFill="1" applyBorder="1" applyAlignment="1"/>
    <xf numFmtId="4" fontId="4" fillId="2" borderId="100" xfId="0" applyNumberFormat="1" applyFont="1" applyFill="1" applyBorder="1" applyAlignment="1"/>
    <xf numFmtId="49" fontId="1" fillId="2" borderId="101" xfId="0" applyNumberFormat="1" applyFont="1" applyFill="1" applyBorder="1" applyAlignment="1"/>
    <xf numFmtId="4" fontId="4" fillId="2" borderId="47" xfId="0" applyNumberFormat="1" applyFont="1" applyFill="1" applyBorder="1" applyAlignment="1"/>
    <xf numFmtId="4" fontId="4" fillId="2" borderId="48" xfId="0" applyNumberFormat="1" applyFont="1" applyFill="1" applyBorder="1" applyAlignment="1"/>
    <xf numFmtId="49" fontId="1" fillId="0" borderId="105" xfId="0" applyNumberFormat="1" applyFont="1" applyBorder="1" applyAlignment="1"/>
    <xf numFmtId="4" fontId="1" fillId="0" borderId="106" xfId="0" applyNumberFormat="1" applyFont="1" applyBorder="1" applyAlignment="1">
      <alignment horizontal="right"/>
    </xf>
    <xf numFmtId="0" fontId="1" fillId="0" borderId="65" xfId="0" applyFont="1" applyBorder="1" applyAlignment="1"/>
    <xf numFmtId="4" fontId="1" fillId="0" borderId="0" xfId="0" applyNumberFormat="1" applyFont="1" applyAlignment="1">
      <alignment horizontal="center"/>
    </xf>
    <xf numFmtId="0" fontId="4" fillId="0" borderId="76" xfId="0" applyFont="1" applyBorder="1" applyAlignment="1"/>
    <xf numFmtId="0" fontId="1" fillId="0" borderId="105" xfId="0" applyFont="1" applyBorder="1" applyAlignment="1"/>
    <xf numFmtId="4" fontId="4" fillId="0" borderId="0" xfId="0" applyNumberFormat="1" applyFont="1" applyAlignment="1">
      <alignment horizontal="center"/>
    </xf>
    <xf numFmtId="0" fontId="26" fillId="0" borderId="112" xfId="2" applyBorder="1"/>
    <xf numFmtId="0" fontId="26" fillId="0" borderId="29" xfId="2"/>
    <xf numFmtId="4" fontId="0" fillId="0" borderId="29" xfId="0" applyNumberFormat="1" applyBorder="1" applyAlignment="1">
      <alignment horizontal="center"/>
    </xf>
    <xf numFmtId="43" fontId="1" fillId="14" borderId="107" xfId="1" applyFont="1" applyFill="1" applyBorder="1" applyAlignment="1"/>
    <xf numFmtId="43" fontId="1" fillId="14" borderId="47" xfId="1" applyFont="1" applyFill="1" applyBorder="1" applyAlignment="1"/>
    <xf numFmtId="0" fontId="27" fillId="0" borderId="128" xfId="0" applyFont="1" applyBorder="1"/>
    <xf numFmtId="0" fontId="27" fillId="0" borderId="129" xfId="0" applyFont="1" applyBorder="1"/>
    <xf numFmtId="0" fontId="27" fillId="0" borderId="113" xfId="0" applyFont="1" applyBorder="1"/>
    <xf numFmtId="43" fontId="27" fillId="0" borderId="129" xfId="3" applyFont="1" applyBorder="1"/>
    <xf numFmtId="43" fontId="27" fillId="0" borderId="113" xfId="3" applyFont="1" applyBorder="1"/>
    <xf numFmtId="0" fontId="1" fillId="0" borderId="12" xfId="0" applyFont="1" applyBorder="1" applyAlignment="1">
      <alignment horizontal="center" wrapText="1"/>
    </xf>
    <xf numFmtId="43" fontId="1" fillId="0" borderId="12" xfId="1" applyFont="1" applyBorder="1" applyAlignment="1">
      <alignment horizontal="center"/>
    </xf>
    <xf numFmtId="0" fontId="25" fillId="0" borderId="12" xfId="0" applyFont="1" applyBorder="1" applyAlignment="1">
      <alignment horizontal="center" wrapText="1"/>
    </xf>
    <xf numFmtId="43" fontId="4" fillId="11" borderId="78" xfId="0" applyNumberFormat="1" applyFont="1" applyFill="1" applyBorder="1" applyAlignment="1"/>
    <xf numFmtId="0" fontId="25" fillId="0" borderId="0" xfId="0" applyFont="1" applyAlignment="1">
      <alignment horizontal="left"/>
    </xf>
    <xf numFmtId="14" fontId="25" fillId="0" borderId="17" xfId="0" applyNumberFormat="1" applyFont="1" applyBorder="1" applyAlignment="1"/>
    <xf numFmtId="0" fontId="0" fillId="0" borderId="112" xfId="0" applyBorder="1" applyAlignment="1">
      <alignment horizontal="center"/>
    </xf>
    <xf numFmtId="4" fontId="41" fillId="0" borderId="121" xfId="0" applyNumberFormat="1" applyFont="1" applyBorder="1"/>
    <xf numFmtId="4" fontId="26" fillId="21" borderId="130" xfId="2" applyNumberFormat="1" applyFill="1" applyBorder="1"/>
    <xf numFmtId="0" fontId="26" fillId="0" borderId="117" xfId="0" applyFont="1" applyBorder="1" applyAlignment="1">
      <alignment vertical="center"/>
    </xf>
    <xf numFmtId="0" fontId="26" fillId="0" borderId="116" xfId="0" applyFont="1" applyBorder="1" applyAlignment="1">
      <alignment vertical="center" wrapText="1"/>
    </xf>
    <xf numFmtId="0" fontId="26" fillId="0" borderId="115" xfId="0" applyFont="1" applyBorder="1"/>
    <xf numFmtId="0" fontId="26" fillId="0" borderId="115" xfId="0" applyFont="1" applyBorder="1" applyAlignment="1">
      <alignment wrapText="1"/>
    </xf>
    <xf numFmtId="0" fontId="26" fillId="0" borderId="131" xfId="0" applyFont="1" applyBorder="1" applyAlignment="1">
      <alignment vertical="center"/>
    </xf>
    <xf numFmtId="0" fontId="26" fillId="0" borderId="132" xfId="0" applyFont="1" applyBorder="1" applyAlignment="1">
      <alignment vertical="center" wrapText="1"/>
    </xf>
    <xf numFmtId="0" fontId="26" fillId="0" borderId="133" xfId="0" applyFont="1" applyBorder="1"/>
    <xf numFmtId="0" fontId="26" fillId="0" borderId="116" xfId="0" applyFont="1" applyBorder="1" applyAlignment="1">
      <alignment vertical="center"/>
    </xf>
    <xf numFmtId="0" fontId="26" fillId="0" borderId="116" xfId="0" applyFont="1" applyBorder="1"/>
    <xf numFmtId="0" fontId="27" fillId="0" borderId="0" xfId="0" applyFont="1"/>
    <xf numFmtId="165" fontId="26" fillId="0" borderId="29" xfId="2" applyNumberFormat="1" applyAlignment="1">
      <alignment horizontal="justify" vertical="center"/>
    </xf>
    <xf numFmtId="0" fontId="27" fillId="21" borderId="126" xfId="2" applyFont="1" applyFill="1" applyBorder="1" applyAlignment="1">
      <alignment horizontal="center" vertical="center"/>
    </xf>
    <xf numFmtId="0" fontId="27" fillId="21" borderId="125" xfId="2" applyFont="1" applyFill="1" applyBorder="1" applyAlignment="1">
      <alignment horizontal="center" vertical="center"/>
    </xf>
    <xf numFmtId="0" fontId="27" fillId="21" borderId="124" xfId="2" applyFont="1" applyFill="1" applyBorder="1" applyAlignment="1">
      <alignment horizontal="center" vertical="center"/>
    </xf>
    <xf numFmtId="0" fontId="26" fillId="0" borderId="29" xfId="2"/>
    <xf numFmtId="0" fontId="0" fillId="0" borderId="0" xfId="0" applyFont="1" applyAlignment="1"/>
    <xf numFmtId="0" fontId="27" fillId="0" borderId="118" xfId="4" applyFont="1" applyBorder="1" applyAlignment="1">
      <alignment horizontal="center"/>
    </xf>
    <xf numFmtId="0" fontId="27" fillId="0" borderId="121" xfId="4" applyFont="1" applyBorder="1" applyAlignment="1">
      <alignment horizontal="center"/>
    </xf>
    <xf numFmtId="0" fontId="27" fillId="0" borderId="29" xfId="4" applyFont="1" applyAlignment="1">
      <alignment horizontal="center"/>
    </xf>
    <xf numFmtId="4" fontId="26" fillId="0" borderId="29" xfId="5" applyNumberFormat="1" applyFont="1" applyFill="1"/>
    <xf numFmtId="4" fontId="3" fillId="0" borderId="29" xfId="4" applyNumberFormat="1"/>
    <xf numFmtId="0" fontId="3" fillId="0" borderId="29" xfId="4"/>
    <xf numFmtId="0" fontId="27" fillId="0" borderId="111" xfId="4" applyFont="1" applyBorder="1" applyAlignment="1">
      <alignment horizontal="center"/>
    </xf>
    <xf numFmtId="0" fontId="25" fillId="0" borderId="29" xfId="4" applyFont="1"/>
    <xf numFmtId="0" fontId="25" fillId="0" borderId="111" xfId="4" applyFont="1" applyBorder="1"/>
    <xf numFmtId="4" fontId="25" fillId="0" borderId="29" xfId="4" applyNumberFormat="1" applyFont="1"/>
    <xf numFmtId="2" fontId="37" fillId="0" borderId="110" xfId="4" applyNumberFormat="1" applyFont="1" applyBorder="1" applyAlignment="1">
      <alignment horizontal="left" vertical="center" wrapText="1"/>
    </xf>
    <xf numFmtId="0" fontId="26" fillId="0" borderId="109" xfId="4" applyFont="1" applyBorder="1"/>
    <xf numFmtId="0" fontId="26" fillId="0" borderId="108" xfId="4" applyFont="1" applyBorder="1"/>
    <xf numFmtId="0" fontId="27" fillId="0" borderId="127" xfId="4" applyFont="1" applyBorder="1" applyAlignment="1">
      <alignment horizontal="center"/>
    </xf>
    <xf numFmtId="0" fontId="27" fillId="0" borderId="112" xfId="4" applyFont="1" applyBorder="1" applyAlignment="1">
      <alignment horizontal="center"/>
    </xf>
    <xf numFmtId="0" fontId="27" fillId="0" borderId="127" xfId="4" applyFont="1" applyBorder="1" applyAlignment="1">
      <alignment textRotation="255"/>
    </xf>
    <xf numFmtId="0" fontId="27" fillId="0" borderId="127" xfId="4" applyFont="1" applyBorder="1" applyAlignment="1">
      <alignment wrapText="1"/>
    </xf>
    <xf numFmtId="0" fontId="27" fillId="15" borderId="134" xfId="4" applyFont="1" applyFill="1" applyBorder="1" applyAlignment="1">
      <alignment horizontal="center"/>
    </xf>
    <xf numFmtId="4" fontId="36" fillId="2" borderId="135" xfId="4" applyNumberFormat="1" applyFont="1" applyFill="1" applyBorder="1" applyAlignment="1">
      <alignment horizontal="center" vertical="center"/>
    </xf>
    <xf numFmtId="4" fontId="36" fillId="2" borderId="136" xfId="4" applyNumberFormat="1" applyFont="1" applyFill="1" applyBorder="1" applyAlignment="1">
      <alignment horizontal="center" vertical="center" wrapText="1"/>
    </xf>
    <xf numFmtId="4" fontId="36" fillId="2" borderId="87" xfId="4" applyNumberFormat="1" applyFont="1" applyFill="1" applyBorder="1" applyAlignment="1">
      <alignment horizontal="center" vertical="center" wrapText="1"/>
    </xf>
    <xf numFmtId="0" fontId="27" fillId="0" borderId="119" xfId="4" applyFont="1" applyBorder="1"/>
    <xf numFmtId="0" fontId="27" fillId="0" borderId="118" xfId="4" applyFont="1" applyBorder="1"/>
    <xf numFmtId="0" fontId="3" fillId="0" borderId="118" xfId="4" applyBorder="1"/>
    <xf numFmtId="0" fontId="27" fillId="0" borderId="118" xfId="4" applyFont="1" applyBorder="1" applyAlignment="1">
      <alignment horizontal="left"/>
    </xf>
    <xf numFmtId="4" fontId="3" fillId="15" borderId="121" xfId="4" applyNumberFormat="1" applyFill="1" applyBorder="1"/>
    <xf numFmtId="4" fontId="3" fillId="15" borderId="126" xfId="4" applyNumberFormat="1" applyFill="1" applyBorder="1"/>
    <xf numFmtId="4" fontId="3" fillId="15" borderId="125" xfId="4" applyNumberFormat="1" applyFill="1" applyBorder="1"/>
    <xf numFmtId="4" fontId="3" fillId="15" borderId="124" xfId="4" applyNumberFormat="1" applyFill="1" applyBorder="1"/>
    <xf numFmtId="4" fontId="3" fillId="15" borderId="29" xfId="4" applyNumberFormat="1" applyFill="1"/>
    <xf numFmtId="4" fontId="3" fillId="0" borderId="111" xfId="4" applyNumberFormat="1" applyBorder="1"/>
    <xf numFmtId="0" fontId="27" fillId="0" borderId="112" xfId="4" applyFont="1" applyBorder="1"/>
    <xf numFmtId="0" fontId="27" fillId="0" borderId="29" xfId="4" applyFont="1"/>
    <xf numFmtId="166" fontId="3" fillId="0" borderId="29" xfId="4" applyNumberFormat="1"/>
    <xf numFmtId="0" fontId="27" fillId="0" borderId="29" xfId="4" applyFont="1" applyAlignment="1">
      <alignment horizontal="left"/>
    </xf>
    <xf numFmtId="4" fontId="26" fillId="15" borderId="111" xfId="4" applyNumberFormat="1" applyFont="1" applyFill="1" applyBorder="1"/>
    <xf numFmtId="4" fontId="26" fillId="15" borderId="117" xfId="4" applyNumberFormat="1" applyFont="1" applyFill="1" applyBorder="1"/>
    <xf numFmtId="4" fontId="26" fillId="15" borderId="116" xfId="4" applyNumberFormat="1" applyFont="1" applyFill="1" applyBorder="1"/>
    <xf numFmtId="4" fontId="26" fillId="15" borderId="115" xfId="4" applyNumberFormat="1" applyFont="1" applyFill="1" applyBorder="1"/>
    <xf numFmtId="4" fontId="26" fillId="15" borderId="29" xfId="4" applyNumberFormat="1" applyFont="1" applyFill="1"/>
    <xf numFmtId="4" fontId="26" fillId="0" borderId="111" xfId="4" applyNumberFormat="1" applyFont="1" applyBorder="1"/>
    <xf numFmtId="4" fontId="26" fillId="0" borderId="29" xfId="4" applyNumberFormat="1" applyFont="1"/>
    <xf numFmtId="166" fontId="27" fillId="0" borderId="111" xfId="4" applyNumberFormat="1" applyFont="1" applyBorder="1"/>
    <xf numFmtId="166" fontId="3" fillId="0" borderId="117" xfId="4" applyNumberFormat="1" applyBorder="1"/>
    <xf numFmtId="166" fontId="3" fillId="0" borderId="116" xfId="4" applyNumberFormat="1" applyBorder="1"/>
    <xf numFmtId="166" fontId="3" fillId="0" borderId="115" xfId="4" applyNumberFormat="1" applyBorder="1"/>
    <xf numFmtId="4" fontId="26" fillId="16" borderId="111" xfId="4" applyNumberFormat="1" applyFont="1" applyFill="1" applyBorder="1"/>
    <xf numFmtId="164" fontId="3" fillId="0" borderId="29" xfId="4" applyNumberFormat="1"/>
    <xf numFmtId="166" fontId="3" fillId="0" borderId="111" xfId="4" applyNumberFormat="1" applyBorder="1"/>
    <xf numFmtId="4" fontId="26" fillId="16" borderId="29" xfId="4" applyNumberFormat="1" applyFont="1" applyFill="1"/>
    <xf numFmtId="4" fontId="26" fillId="16" borderId="29" xfId="5" applyNumberFormat="1" applyFont="1" applyFill="1"/>
    <xf numFmtId="4" fontId="27" fillId="0" borderId="29" xfId="4" applyNumberFormat="1" applyFont="1" applyAlignment="1">
      <alignment horizontal="left"/>
    </xf>
    <xf numFmtId="166" fontId="3" fillId="0" borderId="122" xfId="4" applyNumberFormat="1" applyBorder="1"/>
    <xf numFmtId="4" fontId="26" fillId="0" borderId="123" xfId="4" applyNumberFormat="1" applyFont="1" applyBorder="1"/>
    <xf numFmtId="4" fontId="26" fillId="0" borderId="122" xfId="4" applyNumberFormat="1" applyFont="1" applyBorder="1"/>
    <xf numFmtId="4" fontId="26" fillId="0" borderId="122" xfId="5" applyNumberFormat="1" applyFont="1" applyFill="1" applyBorder="1"/>
    <xf numFmtId="4" fontId="3" fillId="0" borderId="122" xfId="4" applyNumberFormat="1" applyBorder="1"/>
    <xf numFmtId="164" fontId="3" fillId="0" borderId="122" xfId="4" applyNumberFormat="1" applyBorder="1"/>
    <xf numFmtId="0" fontId="3" fillId="0" borderId="122" xfId="4" applyBorder="1"/>
    <xf numFmtId="4" fontId="26" fillId="0" borderId="29" xfId="5" applyNumberFormat="1" applyFont="1" applyFill="1" applyBorder="1"/>
    <xf numFmtId="4" fontId="26" fillId="20" borderId="29" xfId="5" applyNumberFormat="1" applyFont="1" applyFill="1"/>
    <xf numFmtId="166" fontId="26" fillId="0" borderId="115" xfId="4" applyNumberFormat="1" applyFont="1" applyBorder="1"/>
    <xf numFmtId="166" fontId="26" fillId="0" borderId="111" xfId="4" applyNumberFormat="1" applyFont="1" applyBorder="1"/>
    <xf numFmtId="0" fontId="27" fillId="19" borderId="29" xfId="4" applyFont="1" applyFill="1" applyAlignment="1">
      <alignment horizontal="left"/>
    </xf>
    <xf numFmtId="0" fontId="27" fillId="0" borderId="110" xfId="4" applyFont="1" applyBorder="1" applyAlignment="1">
      <alignment horizontal="center"/>
    </xf>
    <xf numFmtId="0" fontId="27" fillId="0" borderId="109" xfId="4" applyFont="1" applyBorder="1" applyAlignment="1">
      <alignment horizontal="center"/>
    </xf>
    <xf numFmtId="166" fontId="3" fillId="0" borderId="109" xfId="4" applyNumberFormat="1" applyBorder="1"/>
    <xf numFmtId="0" fontId="27" fillId="0" borderId="109" xfId="4" applyFont="1" applyBorder="1" applyAlignment="1">
      <alignment horizontal="left"/>
    </xf>
    <xf numFmtId="166" fontId="3" fillId="0" borderId="108" xfId="4" applyNumberFormat="1" applyBorder="1"/>
    <xf numFmtId="166" fontId="3" fillId="0" borderId="131" xfId="4" applyNumberFormat="1" applyBorder="1"/>
    <xf numFmtId="166" fontId="3" fillId="0" borderId="132" xfId="4" applyNumberFormat="1" applyBorder="1"/>
    <xf numFmtId="166" fontId="3" fillId="0" borderId="133" xfId="4" applyNumberFormat="1" applyBorder="1"/>
    <xf numFmtId="4" fontId="26" fillId="0" borderId="108" xfId="4" applyNumberFormat="1" applyFont="1" applyBorder="1"/>
    <xf numFmtId="166" fontId="3" fillId="0" borderId="137" xfId="4" applyNumberFormat="1" applyBorder="1"/>
    <xf numFmtId="166" fontId="3" fillId="0" borderId="138" xfId="4" applyNumberFormat="1" applyBorder="1"/>
    <xf numFmtId="166" fontId="3" fillId="0" borderId="139" xfId="4" applyNumberFormat="1" applyBorder="1"/>
    <xf numFmtId="166" fontId="3" fillId="0" borderId="140" xfId="4" applyNumberFormat="1" applyBorder="1"/>
    <xf numFmtId="166" fontId="3" fillId="0" borderId="141" xfId="4" applyNumberFormat="1" applyBorder="1"/>
    <xf numFmtId="166" fontId="3" fillId="0" borderId="142" xfId="4" applyNumberFormat="1" applyBorder="1"/>
    <xf numFmtId="0" fontId="27" fillId="0" borderId="119" xfId="4" applyFont="1" applyBorder="1" applyAlignment="1">
      <alignment horizontal="center"/>
    </xf>
    <xf numFmtId="166" fontId="3" fillId="0" borderId="118" xfId="4" applyNumberFormat="1" applyBorder="1"/>
    <xf numFmtId="166" fontId="3" fillId="0" borderId="121" xfId="4" applyNumberFormat="1" applyBorder="1"/>
    <xf numFmtId="166" fontId="3" fillId="0" borderId="126" xfId="4" applyNumberFormat="1" applyBorder="1"/>
    <xf numFmtId="166" fontId="3" fillId="0" borderId="125" xfId="4" applyNumberFormat="1" applyBorder="1"/>
    <xf numFmtId="166" fontId="3" fillId="0" borderId="124" xfId="4" applyNumberFormat="1" applyBorder="1"/>
    <xf numFmtId="4" fontId="26" fillId="0" borderId="121" xfId="4" applyNumberFormat="1" applyFont="1" applyBorder="1"/>
    <xf numFmtId="4" fontId="29" fillId="15" borderId="111" xfId="5" applyNumberFormat="1" applyFont="1" applyFill="1" applyBorder="1"/>
    <xf numFmtId="4" fontId="29" fillId="15" borderId="29" xfId="5" applyNumberFormat="1" applyFont="1" applyFill="1" applyBorder="1"/>
    <xf numFmtId="4" fontId="27" fillId="0" borderId="29" xfId="4" applyNumberFormat="1" applyFont="1" applyAlignment="1">
      <alignment horizontal="left" wrapText="1"/>
    </xf>
    <xf numFmtId="0" fontId="27" fillId="0" borderId="29" xfId="4" applyFont="1" applyAlignment="1">
      <alignment horizontal="left" wrapText="1"/>
    </xf>
    <xf numFmtId="4" fontId="26" fillId="18" borderId="29" xfId="5" applyNumberFormat="1" applyFont="1" applyFill="1"/>
    <xf numFmtId="0" fontId="3" fillId="0" borderId="112" xfId="4" applyBorder="1"/>
    <xf numFmtId="0" fontId="3" fillId="0" borderId="29" xfId="4" applyAlignment="1">
      <alignment horizontal="left"/>
    </xf>
    <xf numFmtId="4" fontId="3" fillId="15" borderId="111" xfId="4" applyNumberFormat="1" applyFill="1" applyBorder="1"/>
    <xf numFmtId="4" fontId="3" fillId="15" borderId="117" xfId="4" applyNumberFormat="1" applyFill="1" applyBorder="1"/>
    <xf numFmtId="4" fontId="3" fillId="15" borderId="116" xfId="4" applyNumberFormat="1" applyFill="1" applyBorder="1"/>
    <xf numFmtId="4" fontId="3" fillId="15" borderId="115" xfId="4" applyNumberFormat="1" applyFill="1" applyBorder="1"/>
    <xf numFmtId="166" fontId="3" fillId="15" borderId="111" xfId="4" applyNumberFormat="1" applyFill="1" applyBorder="1"/>
    <xf numFmtId="166" fontId="3" fillId="15" borderId="117" xfId="4" applyNumberFormat="1" applyFill="1" applyBorder="1"/>
    <xf numFmtId="166" fontId="3" fillId="15" borderId="116" xfId="4" applyNumberFormat="1" applyFill="1" applyBorder="1"/>
    <xf numFmtId="166" fontId="3" fillId="15" borderId="115" xfId="4" applyNumberFormat="1" applyFill="1" applyBorder="1"/>
    <xf numFmtId="166" fontId="3" fillId="15" borderId="29" xfId="4" applyNumberFormat="1" applyFill="1"/>
    <xf numFmtId="0" fontId="27" fillId="0" borderId="29" xfId="4" applyFont="1" applyAlignment="1">
      <alignment horizontal="justify" vertical="justify" wrapText="1"/>
    </xf>
    <xf numFmtId="0" fontId="27" fillId="15" borderId="29" xfId="4" applyFont="1" applyFill="1" applyAlignment="1">
      <alignment horizontal="left" wrapText="1"/>
    </xf>
    <xf numFmtId="4" fontId="27" fillId="15" borderId="29" xfId="4" applyNumberFormat="1" applyFont="1" applyFill="1" applyAlignment="1">
      <alignment horizontal="left" wrapText="1"/>
    </xf>
    <xf numFmtId="4" fontId="27" fillId="0" borderId="111" xfId="4" applyNumberFormat="1" applyFont="1" applyBorder="1"/>
    <xf numFmtId="4" fontId="26" fillId="0" borderId="117" xfId="4" applyNumberFormat="1" applyFont="1" applyBorder="1"/>
    <xf numFmtId="4" fontId="26" fillId="0" borderId="116" xfId="4" applyNumberFormat="1" applyFont="1" applyBorder="1"/>
    <xf numFmtId="4" fontId="26" fillId="0" borderId="115" xfId="4" applyNumberFormat="1" applyFont="1" applyBorder="1"/>
    <xf numFmtId="166" fontId="27" fillId="15" borderId="111" xfId="4" applyNumberFormat="1" applyFont="1" applyFill="1" applyBorder="1"/>
    <xf numFmtId="4" fontId="34" fillId="18" borderId="29" xfId="5" applyNumberFormat="1" applyFont="1" applyFill="1" applyBorder="1"/>
    <xf numFmtId="4" fontId="34" fillId="18" borderId="29" xfId="4" applyNumberFormat="1" applyFont="1" applyFill="1"/>
    <xf numFmtId="0" fontId="34" fillId="18" borderId="29" xfId="4" applyFont="1" applyFill="1"/>
    <xf numFmtId="0" fontId="3" fillId="0" borderId="110" xfId="4" applyBorder="1"/>
    <xf numFmtId="0" fontId="3" fillId="0" borderId="109" xfId="4" applyBorder="1"/>
    <xf numFmtId="166" fontId="3" fillId="15" borderId="108" xfId="4" applyNumberFormat="1" applyFill="1" applyBorder="1"/>
    <xf numFmtId="0" fontId="27" fillId="0" borderId="114" xfId="4" applyFont="1" applyBorder="1"/>
    <xf numFmtId="0" fontId="27" fillId="0" borderId="113" xfId="4" applyFont="1" applyBorder="1"/>
    <xf numFmtId="166" fontId="27" fillId="0" borderId="113" xfId="4" applyNumberFormat="1" applyFont="1" applyBorder="1"/>
    <xf numFmtId="0" fontId="27" fillId="0" borderId="113" xfId="4" applyFont="1" applyBorder="1" applyAlignment="1">
      <alignment horizontal="center"/>
    </xf>
    <xf numFmtId="0" fontId="27" fillId="0" borderId="113" xfId="4" applyFont="1" applyBorder="1" applyAlignment="1">
      <alignment horizontal="left"/>
    </xf>
    <xf numFmtId="166" fontId="28" fillId="15" borderId="120" xfId="4" applyNumberFormat="1" applyFont="1" applyFill="1" applyBorder="1"/>
    <xf numFmtId="166" fontId="28" fillId="15" borderId="117" xfId="4" applyNumberFormat="1" applyFont="1" applyFill="1" applyBorder="1"/>
    <xf numFmtId="166" fontId="28" fillId="15" borderId="116" xfId="4" applyNumberFormat="1" applyFont="1" applyFill="1" applyBorder="1"/>
    <xf numFmtId="166" fontId="28" fillId="15" borderId="115" xfId="4" applyNumberFormat="1" applyFont="1" applyFill="1" applyBorder="1"/>
    <xf numFmtId="166" fontId="28" fillId="15" borderId="29" xfId="4" applyNumberFormat="1" applyFont="1" applyFill="1"/>
    <xf numFmtId="166" fontId="28" fillId="15" borderId="111" xfId="4" applyNumberFormat="1" applyFont="1" applyFill="1" applyBorder="1"/>
    <xf numFmtId="4" fontId="27" fillId="0" borderId="29" xfId="5" applyNumberFormat="1" applyFont="1" applyFill="1"/>
    <xf numFmtId="4" fontId="27" fillId="0" borderId="29" xfId="4" applyNumberFormat="1" applyFont="1"/>
    <xf numFmtId="0" fontId="3" fillId="0" borderId="119" xfId="4" applyBorder="1"/>
    <xf numFmtId="0" fontId="35" fillId="0" borderId="112" xfId="4" applyFont="1" applyBorder="1"/>
    <xf numFmtId="0" fontId="35" fillId="0" borderId="29" xfId="4" applyFont="1"/>
    <xf numFmtId="166" fontId="35" fillId="0" borderId="29" xfId="4" applyNumberFormat="1" applyFont="1"/>
    <xf numFmtId="0" fontId="31" fillId="0" borderId="29" xfId="4" applyFont="1" applyAlignment="1">
      <alignment horizontal="center"/>
    </xf>
    <xf numFmtId="166" fontId="27" fillId="15" borderId="120" xfId="4" applyNumberFormat="1" applyFont="1" applyFill="1" applyBorder="1"/>
    <xf numFmtId="166" fontId="27" fillId="15" borderId="117" xfId="4" applyNumberFormat="1" applyFont="1" applyFill="1" applyBorder="1"/>
    <xf numFmtId="166" fontId="27" fillId="15" borderId="116" xfId="4" applyNumberFormat="1" applyFont="1" applyFill="1" applyBorder="1"/>
    <xf numFmtId="166" fontId="27" fillId="15" borderId="115" xfId="4" applyNumberFormat="1" applyFont="1" applyFill="1" applyBorder="1"/>
    <xf numFmtId="166" fontId="27" fillId="15" borderId="29" xfId="4" applyNumberFormat="1" applyFont="1" applyFill="1"/>
    <xf numFmtId="0" fontId="27" fillId="16" borderId="119" xfId="4" applyFont="1" applyFill="1" applyBorder="1" applyAlignment="1">
      <alignment horizontal="center"/>
    </xf>
    <xf numFmtId="0" fontId="27" fillId="16" borderId="118" xfId="4" applyFont="1" applyFill="1" applyBorder="1" applyAlignment="1">
      <alignment horizontal="left" wrapText="1"/>
    </xf>
    <xf numFmtId="166" fontId="3" fillId="16" borderId="118" xfId="4" applyNumberFormat="1" applyFill="1" applyBorder="1"/>
    <xf numFmtId="0" fontId="27" fillId="16" borderId="118" xfId="4" applyFont="1" applyFill="1" applyBorder="1" applyAlignment="1">
      <alignment horizontal="center"/>
    </xf>
    <xf numFmtId="0" fontId="27" fillId="16" borderId="118" xfId="4" applyFont="1" applyFill="1" applyBorder="1" applyAlignment="1">
      <alignment horizontal="left"/>
    </xf>
    <xf numFmtId="4" fontId="3" fillId="16" borderId="121" xfId="4" applyNumberFormat="1" applyFill="1" applyBorder="1"/>
    <xf numFmtId="4" fontId="3" fillId="16" borderId="117" xfId="4" applyNumberFormat="1" applyFill="1" applyBorder="1"/>
    <xf numFmtId="4" fontId="3" fillId="16" borderId="116" xfId="4" applyNumberFormat="1" applyFill="1" applyBorder="1"/>
    <xf numFmtId="4" fontId="3" fillId="16" borderId="115" xfId="4" applyNumberFormat="1" applyFill="1" applyBorder="1"/>
    <xf numFmtId="4" fontId="3" fillId="16" borderId="29" xfId="4" applyNumberFormat="1" applyFill="1"/>
    <xf numFmtId="4" fontId="3" fillId="16" borderId="111" xfId="4" applyNumberFormat="1" applyFill="1" applyBorder="1"/>
    <xf numFmtId="4" fontId="3" fillId="18" borderId="29" xfId="4" applyNumberFormat="1" applyFill="1"/>
    <xf numFmtId="0" fontId="3" fillId="18" borderId="29" xfId="4" applyFill="1"/>
    <xf numFmtId="0" fontId="27" fillId="16" borderId="112" xfId="4" applyFont="1" applyFill="1" applyBorder="1" applyAlignment="1">
      <alignment horizontal="center"/>
    </xf>
    <xf numFmtId="0" fontId="27" fillId="16" borderId="29" xfId="4" applyFont="1" applyFill="1" applyAlignment="1">
      <alignment horizontal="left" wrapText="1"/>
    </xf>
    <xf numFmtId="166" fontId="3" fillId="16" borderId="29" xfId="4" applyNumberFormat="1" applyFill="1"/>
    <xf numFmtId="0" fontId="27" fillId="16" borderId="29" xfId="4" applyFont="1" applyFill="1" applyAlignment="1">
      <alignment horizontal="center"/>
    </xf>
    <xf numFmtId="0" fontId="27" fillId="16" borderId="29" xfId="4" applyFont="1" applyFill="1" applyAlignment="1">
      <alignment horizontal="left"/>
    </xf>
    <xf numFmtId="4" fontId="27" fillId="16" borderId="111" xfId="4" applyNumberFormat="1" applyFont="1" applyFill="1" applyBorder="1"/>
    <xf numFmtId="0" fontId="27" fillId="16" borderId="29" xfId="4" applyFont="1" applyFill="1" applyAlignment="1">
      <alignment horizontal="justify" vertical="top" wrapText="1"/>
    </xf>
    <xf numFmtId="0" fontId="31" fillId="16" borderId="29" xfId="4" applyFont="1" applyFill="1" applyAlignment="1">
      <alignment horizontal="center"/>
    </xf>
    <xf numFmtId="0" fontId="27" fillId="16" borderId="110" xfId="4" applyFont="1" applyFill="1" applyBorder="1" applyAlignment="1">
      <alignment horizontal="center"/>
    </xf>
    <xf numFmtId="0" fontId="27" fillId="16" borderId="109" xfId="4" applyFont="1" applyFill="1" applyBorder="1" applyAlignment="1">
      <alignment horizontal="center"/>
    </xf>
    <xf numFmtId="166" fontId="3" fillId="16" borderId="109" xfId="4" applyNumberFormat="1" applyFill="1" applyBorder="1"/>
    <xf numFmtId="0" fontId="27" fillId="16" borderId="109" xfId="4" applyFont="1" applyFill="1" applyBorder="1" applyAlignment="1">
      <alignment horizontal="left"/>
    </xf>
    <xf numFmtId="4" fontId="26" fillId="16" borderId="108" xfId="4" applyNumberFormat="1" applyFont="1" applyFill="1" applyBorder="1"/>
    <xf numFmtId="4" fontId="26" fillId="16" borderId="117" xfId="4" applyNumberFormat="1" applyFont="1" applyFill="1" applyBorder="1"/>
    <xf numFmtId="4" fontId="26" fillId="16" borderId="116" xfId="4" applyNumberFormat="1" applyFont="1" applyFill="1" applyBorder="1"/>
    <xf numFmtId="4" fontId="26" fillId="16" borderId="115" xfId="4" applyNumberFormat="1" applyFont="1" applyFill="1" applyBorder="1"/>
    <xf numFmtId="0" fontId="27" fillId="16" borderId="119" xfId="4" applyFont="1" applyFill="1" applyBorder="1"/>
    <xf numFmtId="0" fontId="27" fillId="16" borderId="118" xfId="4" applyFont="1" applyFill="1" applyBorder="1"/>
    <xf numFmtId="166" fontId="27" fillId="16" borderId="118" xfId="4" applyNumberFormat="1" applyFont="1" applyFill="1" applyBorder="1"/>
    <xf numFmtId="166" fontId="27" fillId="16" borderId="121" xfId="4" applyNumberFormat="1" applyFont="1" applyFill="1" applyBorder="1"/>
    <xf numFmtId="166" fontId="27" fillId="16" borderId="117" xfId="4" applyNumberFormat="1" applyFont="1" applyFill="1" applyBorder="1"/>
    <xf numFmtId="166" fontId="27" fillId="16" borderId="116" xfId="4" applyNumberFormat="1" applyFont="1" applyFill="1" applyBorder="1"/>
    <xf numFmtId="166" fontId="27" fillId="16" borderId="115" xfId="4" applyNumberFormat="1" applyFont="1" applyFill="1" applyBorder="1"/>
    <xf numFmtId="166" fontId="27" fillId="16" borderId="29" xfId="4" applyNumberFormat="1" applyFont="1" applyFill="1"/>
    <xf numFmtId="166" fontId="28" fillId="16" borderId="111" xfId="4" applyNumberFormat="1" applyFont="1" applyFill="1" applyBorder="1"/>
    <xf numFmtId="4" fontId="27" fillId="18" borderId="29" xfId="5" applyNumberFormat="1" applyFont="1" applyFill="1"/>
    <xf numFmtId="4" fontId="27" fillId="18" borderId="29" xfId="4" applyNumberFormat="1" applyFont="1" applyFill="1"/>
    <xf numFmtId="0" fontId="27" fillId="18" borderId="29" xfId="4" applyFont="1" applyFill="1"/>
    <xf numFmtId="0" fontId="27" fillId="0" borderId="119" xfId="4" applyFont="1" applyBorder="1" applyAlignment="1">
      <alignment horizontal="justify" vertical="top" wrapText="1"/>
    </xf>
    <xf numFmtId="0" fontId="27" fillId="0" borderId="118" xfId="4" applyFont="1" applyBorder="1" applyAlignment="1">
      <alignment horizontal="justify" vertical="top" wrapText="1"/>
    </xf>
    <xf numFmtId="0" fontId="3" fillId="0" borderId="118" xfId="4" applyBorder="1" applyAlignment="1">
      <alignment horizontal="justify" vertical="top" wrapText="1"/>
    </xf>
    <xf numFmtId="0" fontId="3" fillId="0" borderId="121" xfId="4" applyBorder="1" applyAlignment="1">
      <alignment horizontal="justify" vertical="top" wrapText="1"/>
    </xf>
    <xf numFmtId="0" fontId="3" fillId="0" borderId="117" xfId="4" applyBorder="1" applyAlignment="1">
      <alignment horizontal="justify" vertical="top" wrapText="1"/>
    </xf>
    <xf numFmtId="0" fontId="3" fillId="0" borderId="116" xfId="4" applyBorder="1" applyAlignment="1">
      <alignment horizontal="justify" vertical="top" wrapText="1"/>
    </xf>
    <xf numFmtId="0" fontId="3" fillId="0" borderId="115" xfId="4" applyBorder="1" applyAlignment="1">
      <alignment horizontal="justify" vertical="top" wrapText="1"/>
    </xf>
    <xf numFmtId="0" fontId="3" fillId="0" borderId="29" xfId="4" applyAlignment="1">
      <alignment horizontal="justify" vertical="top" wrapText="1"/>
    </xf>
    <xf numFmtId="0" fontId="27" fillId="0" borderId="29" xfId="4" applyFont="1" applyAlignment="1">
      <alignment horizontal="justify" vertical="top" wrapText="1"/>
    </xf>
    <xf numFmtId="166" fontId="27" fillId="0" borderId="120" xfId="4" applyNumberFormat="1" applyFont="1" applyBorder="1"/>
    <xf numFmtId="166" fontId="27" fillId="0" borderId="117" xfId="4" applyNumberFormat="1" applyFont="1" applyBorder="1"/>
    <xf numFmtId="166" fontId="27" fillId="0" borderId="116" xfId="4" applyNumberFormat="1" applyFont="1" applyBorder="1"/>
    <xf numFmtId="166" fontId="27" fillId="0" borderId="115" xfId="4" applyNumberFormat="1" applyFont="1" applyBorder="1"/>
    <xf numFmtId="166" fontId="27" fillId="0" borderId="29" xfId="4" applyNumberFormat="1" applyFont="1"/>
    <xf numFmtId="0" fontId="31" fillId="16" borderId="109" xfId="4" applyFont="1" applyFill="1" applyBorder="1" applyAlignment="1">
      <alignment horizontal="center"/>
    </xf>
    <xf numFmtId="0" fontId="27" fillId="16" borderId="114" xfId="4" applyFont="1" applyFill="1" applyBorder="1"/>
    <xf numFmtId="0" fontId="27" fillId="16" borderId="113" xfId="4" applyFont="1" applyFill="1" applyBorder="1"/>
    <xf numFmtId="166" fontId="27" fillId="16" borderId="113" xfId="4" applyNumberFormat="1" applyFont="1" applyFill="1" applyBorder="1"/>
    <xf numFmtId="0" fontId="27" fillId="16" borderId="113" xfId="4" applyFont="1" applyFill="1" applyBorder="1" applyAlignment="1">
      <alignment horizontal="center"/>
    </xf>
    <xf numFmtId="0" fontId="27" fillId="16" borderId="113" xfId="4" applyFont="1" applyFill="1" applyBorder="1" applyAlignment="1">
      <alignment horizontal="left"/>
    </xf>
    <xf numFmtId="166" fontId="27" fillId="16" borderId="120" xfId="4" applyNumberFormat="1" applyFont="1" applyFill="1" applyBorder="1"/>
    <xf numFmtId="0" fontId="27" fillId="16" borderId="119" xfId="4" applyFont="1" applyFill="1" applyBorder="1" applyAlignment="1">
      <alignment horizontal="left"/>
    </xf>
    <xf numFmtId="0" fontId="27" fillId="16" borderId="119" xfId="4" applyFont="1" applyFill="1" applyBorder="1" applyAlignment="1">
      <alignment horizontal="justify" vertical="top" wrapText="1"/>
    </xf>
    <xf numFmtId="0" fontId="27" fillId="16" borderId="118" xfId="4" applyFont="1" applyFill="1" applyBorder="1" applyAlignment="1">
      <alignment horizontal="justify" vertical="top" wrapText="1"/>
    </xf>
    <xf numFmtId="0" fontId="3" fillId="16" borderId="118" xfId="4" applyFill="1" applyBorder="1" applyAlignment="1">
      <alignment horizontal="justify" vertical="top" wrapText="1"/>
    </xf>
    <xf numFmtId="4" fontId="26" fillId="16" borderId="121" xfId="4" applyNumberFormat="1" applyFont="1" applyFill="1" applyBorder="1"/>
    <xf numFmtId="0" fontId="27" fillId="16" borderId="112" xfId="4" applyFont="1" applyFill="1" applyBorder="1" applyAlignment="1">
      <alignment horizontal="left"/>
    </xf>
    <xf numFmtId="4" fontId="3" fillId="16" borderId="108" xfId="4" applyNumberFormat="1" applyFill="1" applyBorder="1"/>
    <xf numFmtId="4" fontId="3" fillId="16" borderId="131" xfId="4" applyNumberFormat="1" applyFill="1" applyBorder="1"/>
    <xf numFmtId="4" fontId="3" fillId="16" borderId="132" xfId="4" applyNumberFormat="1" applyFill="1" applyBorder="1"/>
    <xf numFmtId="4" fontId="3" fillId="16" borderId="133" xfId="4" applyNumberFormat="1" applyFill="1" applyBorder="1"/>
    <xf numFmtId="4" fontId="3" fillId="16" borderId="109" xfId="4" applyNumberFormat="1" applyFill="1" applyBorder="1"/>
    <xf numFmtId="0" fontId="3" fillId="16" borderId="119" xfId="4" applyFill="1" applyBorder="1"/>
    <xf numFmtId="0" fontId="3" fillId="16" borderId="118" xfId="4" applyFill="1" applyBorder="1"/>
    <xf numFmtId="4" fontId="27" fillId="16" borderId="121" xfId="4" applyNumberFormat="1" applyFont="1" applyFill="1" applyBorder="1"/>
    <xf numFmtId="4" fontId="3" fillId="16" borderId="126" xfId="4" applyNumberFormat="1" applyFill="1" applyBorder="1"/>
    <xf numFmtId="4" fontId="3" fillId="16" borderId="125" xfId="4" applyNumberFormat="1" applyFill="1" applyBorder="1"/>
    <xf numFmtId="4" fontId="3" fillId="16" borderId="124" xfId="4" applyNumberFormat="1" applyFill="1" applyBorder="1"/>
    <xf numFmtId="4" fontId="3" fillId="16" borderId="118" xfId="4" applyNumberFormat="1" applyFill="1" applyBorder="1"/>
    <xf numFmtId="0" fontId="3" fillId="16" borderId="112" xfId="4" applyFill="1" applyBorder="1"/>
    <xf numFmtId="0" fontId="3" fillId="16" borderId="29" xfId="4" applyFill="1"/>
    <xf numFmtId="4" fontId="27" fillId="16" borderId="108" xfId="4" applyNumberFormat="1" applyFont="1" applyFill="1" applyBorder="1"/>
    <xf numFmtId="0" fontId="31" fillId="16" borderId="118" xfId="4" applyFont="1" applyFill="1" applyBorder="1" applyAlignment="1">
      <alignment horizontal="center"/>
    </xf>
    <xf numFmtId="0" fontId="28" fillId="16" borderId="29" xfId="4" applyFont="1" applyFill="1" applyAlignment="1">
      <alignment horizontal="center"/>
    </xf>
    <xf numFmtId="4" fontId="27" fillId="16" borderId="29" xfId="4" applyNumberFormat="1" applyFont="1" applyFill="1" applyAlignment="1">
      <alignment horizontal="left"/>
    </xf>
    <xf numFmtId="0" fontId="27" fillId="0" borderId="112" xfId="4" applyFont="1" applyBorder="1" applyAlignment="1">
      <alignment horizontal="justify" vertical="top" wrapText="1"/>
    </xf>
    <xf numFmtId="166" fontId="27" fillId="18" borderId="29" xfId="4" applyNumberFormat="1" applyFont="1" applyFill="1"/>
    <xf numFmtId="4" fontId="3" fillId="0" borderId="117" xfId="4" applyNumberFormat="1" applyBorder="1"/>
    <xf numFmtId="4" fontId="3" fillId="0" borderId="116" xfId="4" applyNumberFormat="1" applyBorder="1"/>
    <xf numFmtId="4" fontId="3" fillId="0" borderId="115" xfId="4" applyNumberFormat="1" applyBorder="1"/>
    <xf numFmtId="166" fontId="27" fillId="0" borderId="118" xfId="4" applyNumberFormat="1" applyFont="1" applyBorder="1"/>
    <xf numFmtId="166" fontId="27" fillId="15" borderId="121" xfId="4" applyNumberFormat="1" applyFont="1" applyFill="1" applyBorder="1"/>
    <xf numFmtId="4" fontId="3" fillId="15" borderId="143" xfId="4" applyNumberFormat="1" applyFill="1" applyBorder="1"/>
    <xf numFmtId="4" fontId="26" fillId="0" borderId="143" xfId="4" applyNumberFormat="1" applyFont="1" applyBorder="1"/>
    <xf numFmtId="4" fontId="3" fillId="0" borderId="109" xfId="4" applyNumberFormat="1" applyBorder="1"/>
    <xf numFmtId="4" fontId="3" fillId="15" borderId="108" xfId="4" applyNumberFormat="1" applyFill="1" applyBorder="1"/>
    <xf numFmtId="4" fontId="3" fillId="0" borderId="118" xfId="4" applyNumberFormat="1" applyBorder="1"/>
    <xf numFmtId="4" fontId="26" fillId="15" borderId="143" xfId="4" applyNumberFormat="1" applyFont="1" applyFill="1" applyBorder="1"/>
    <xf numFmtId="4" fontId="26" fillId="15" borderId="108" xfId="4" applyNumberFormat="1" applyFont="1" applyFill="1" applyBorder="1"/>
    <xf numFmtId="4" fontId="26" fillId="15" borderId="144" xfId="4" applyNumberFormat="1" applyFont="1" applyFill="1" applyBorder="1"/>
    <xf numFmtId="4" fontId="26" fillId="15" borderId="132" xfId="4" applyNumberFormat="1" applyFont="1" applyFill="1" applyBorder="1"/>
    <xf numFmtId="4" fontId="26" fillId="15" borderId="133" xfId="4" applyNumberFormat="1" applyFont="1" applyFill="1" applyBorder="1"/>
    <xf numFmtId="4" fontId="26" fillId="15" borderId="145" xfId="4" applyNumberFormat="1" applyFont="1" applyFill="1" applyBorder="1"/>
    <xf numFmtId="4" fontId="26" fillId="15" borderId="138" xfId="4" applyNumberFormat="1" applyFont="1" applyFill="1" applyBorder="1"/>
    <xf numFmtId="4" fontId="26" fillId="15" borderId="139" xfId="4" applyNumberFormat="1" applyFont="1" applyFill="1" applyBorder="1"/>
    <xf numFmtId="0" fontId="27" fillId="0" borderId="110" xfId="4" applyFont="1" applyBorder="1"/>
    <xf numFmtId="0" fontId="27" fillId="0" borderId="109" xfId="4" applyFont="1" applyBorder="1"/>
    <xf numFmtId="166" fontId="27" fillId="0" borderId="109" xfId="4" applyNumberFormat="1" applyFont="1" applyBorder="1"/>
    <xf numFmtId="166" fontId="27" fillId="15" borderId="108" xfId="4" applyNumberFormat="1" applyFont="1" applyFill="1" applyBorder="1"/>
    <xf numFmtId="4" fontId="26" fillId="16" borderId="120" xfId="4" applyNumberFormat="1" applyFont="1" applyFill="1" applyBorder="1"/>
    <xf numFmtId="4" fontId="27" fillId="15" borderId="111" xfId="4" applyNumberFormat="1" applyFont="1" applyFill="1" applyBorder="1"/>
    <xf numFmtId="0" fontId="27" fillId="0" borderId="29" xfId="4" applyFont="1" applyAlignment="1">
      <alignment horizontal="center" wrapText="1"/>
    </xf>
    <xf numFmtId="0" fontId="27" fillId="0" borderId="109" xfId="4" applyFont="1" applyBorder="1" applyAlignment="1">
      <alignment horizontal="justify" vertical="justify" wrapText="1"/>
    </xf>
    <xf numFmtId="4" fontId="3" fillId="15" borderId="131" xfId="4" applyNumberFormat="1" applyFill="1" applyBorder="1"/>
    <xf numFmtId="4" fontId="3" fillId="15" borderId="132" xfId="4" applyNumberFormat="1" applyFill="1" applyBorder="1"/>
    <xf numFmtId="4" fontId="3" fillId="15" borderId="133" xfId="4" applyNumberFormat="1" applyFill="1" applyBorder="1"/>
    <xf numFmtId="4" fontId="3" fillId="15" borderId="109" xfId="4" applyNumberFormat="1" applyFill="1" applyBorder="1"/>
    <xf numFmtId="0" fontId="27" fillId="0" borderId="118" xfId="4" applyFont="1" applyBorder="1" applyAlignment="1">
      <alignment horizontal="justify" vertical="justify" wrapText="1"/>
    </xf>
    <xf numFmtId="4" fontId="3" fillId="15" borderId="118" xfId="4" applyNumberFormat="1" applyFill="1" applyBorder="1"/>
    <xf numFmtId="0" fontId="27" fillId="0" borderId="112" xfId="4" applyFont="1" applyBorder="1" applyAlignment="1">
      <alignment horizontal="left"/>
    </xf>
    <xf numFmtId="0" fontId="31" fillId="0" borderId="29" xfId="4" applyFont="1" applyAlignment="1">
      <alignment horizontal="left"/>
    </xf>
    <xf numFmtId="4" fontId="33" fillId="15" borderId="111" xfId="4" applyNumberFormat="1" applyFont="1" applyFill="1" applyBorder="1"/>
    <xf numFmtId="4" fontId="33" fillId="15" borderId="117" xfId="4" applyNumberFormat="1" applyFont="1" applyFill="1" applyBorder="1"/>
    <xf numFmtId="4" fontId="33" fillId="15" borderId="116" xfId="4" applyNumberFormat="1" applyFont="1" applyFill="1" applyBorder="1"/>
    <xf numFmtId="4" fontId="33" fillId="15" borderId="115" xfId="4" applyNumberFormat="1" applyFont="1" applyFill="1" applyBorder="1"/>
    <xf numFmtId="4" fontId="33" fillId="15" borderId="29" xfId="4" applyNumberFormat="1" applyFont="1" applyFill="1"/>
    <xf numFmtId="0" fontId="3" fillId="15" borderId="111" xfId="4" applyFill="1" applyBorder="1"/>
    <xf numFmtId="0" fontId="3" fillId="15" borderId="29" xfId="4" applyFill="1"/>
    <xf numFmtId="4" fontId="33" fillId="16" borderId="111" xfId="4" applyNumberFormat="1" applyFont="1" applyFill="1" applyBorder="1"/>
    <xf numFmtId="4" fontId="33" fillId="16" borderId="117" xfId="4" applyNumberFormat="1" applyFont="1" applyFill="1" applyBorder="1"/>
    <xf numFmtId="4" fontId="33" fillId="16" borderId="116" xfId="4" applyNumberFormat="1" applyFont="1" applyFill="1" applyBorder="1"/>
    <xf numFmtId="4" fontId="33" fillId="16" borderId="115" xfId="4" applyNumberFormat="1" applyFont="1" applyFill="1" applyBorder="1"/>
    <xf numFmtId="4" fontId="33" fillId="16" borderId="29" xfId="4" applyNumberFormat="1" applyFont="1" applyFill="1"/>
    <xf numFmtId="166" fontId="27" fillId="16" borderId="131" xfId="4" applyNumberFormat="1" applyFont="1" applyFill="1" applyBorder="1"/>
    <xf numFmtId="166" fontId="27" fillId="16" borderId="132" xfId="4" applyNumberFormat="1" applyFont="1" applyFill="1" applyBorder="1"/>
    <xf numFmtId="166" fontId="27" fillId="16" borderId="133" xfId="4" applyNumberFormat="1" applyFont="1" applyFill="1" applyBorder="1"/>
    <xf numFmtId="166" fontId="27" fillId="16" borderId="109" xfId="4" applyNumberFormat="1" applyFont="1" applyFill="1" applyBorder="1"/>
    <xf numFmtId="166" fontId="28" fillId="16" borderId="108" xfId="4" applyNumberFormat="1" applyFont="1" applyFill="1" applyBorder="1"/>
    <xf numFmtId="0" fontId="3" fillId="0" borderId="109" xfId="4" applyBorder="1" applyAlignment="1">
      <alignment horizontal="left"/>
    </xf>
    <xf numFmtId="4" fontId="33" fillId="15" borderId="108" xfId="4" applyNumberFormat="1" applyFont="1" applyFill="1" applyBorder="1"/>
    <xf numFmtId="0" fontId="27" fillId="16" borderId="112" xfId="4" applyFont="1" applyFill="1" applyBorder="1" applyAlignment="1">
      <alignment horizontal="justify" vertical="top" wrapText="1"/>
    </xf>
    <xf numFmtId="0" fontId="3" fillId="16" borderId="29" xfId="4" applyFill="1" applyAlignment="1">
      <alignment horizontal="justify" vertical="top" wrapText="1"/>
    </xf>
    <xf numFmtId="0" fontId="31" fillId="16" borderId="29" xfId="4" applyFont="1" applyFill="1" applyAlignment="1">
      <alignment horizontal="left"/>
    </xf>
    <xf numFmtId="4" fontId="26" fillId="18" borderId="29" xfId="4" applyNumberFormat="1" applyFont="1" applyFill="1"/>
    <xf numFmtId="4" fontId="27" fillId="16" borderId="121" xfId="4" applyNumberFormat="1" applyFont="1" applyFill="1" applyBorder="1" applyAlignment="1">
      <alignment horizontal="center"/>
    </xf>
    <xf numFmtId="4" fontId="27" fillId="16" borderId="126" xfId="4" applyNumberFormat="1" applyFont="1" applyFill="1" applyBorder="1" applyAlignment="1">
      <alignment horizontal="center"/>
    </xf>
    <xf numFmtId="4" fontId="27" fillId="16" borderId="125" xfId="4" applyNumberFormat="1" applyFont="1" applyFill="1" applyBorder="1" applyAlignment="1">
      <alignment horizontal="center"/>
    </xf>
    <xf numFmtId="4" fontId="27" fillId="16" borderId="124" xfId="4" applyNumberFormat="1" applyFont="1" applyFill="1" applyBorder="1" applyAlignment="1">
      <alignment horizontal="center"/>
    </xf>
    <xf numFmtId="4" fontId="27" fillId="16" borderId="118" xfId="4" applyNumberFormat="1" applyFont="1" applyFill="1" applyBorder="1" applyAlignment="1">
      <alignment horizontal="center"/>
    </xf>
    <xf numFmtId="4" fontId="27" fillId="16" borderId="29" xfId="4" applyNumberFormat="1" applyFont="1" applyFill="1" applyAlignment="1">
      <alignment horizontal="center"/>
    </xf>
    <xf numFmtId="4" fontId="27" fillId="15" borderId="111" xfId="4" applyNumberFormat="1" applyFont="1" applyFill="1" applyBorder="1" applyAlignment="1">
      <alignment horizontal="center"/>
    </xf>
    <xf numFmtId="4" fontId="27" fillId="15" borderId="117" xfId="4" applyNumberFormat="1" applyFont="1" applyFill="1" applyBorder="1" applyAlignment="1">
      <alignment horizontal="center"/>
    </xf>
    <xf numFmtId="4" fontId="27" fillId="15" borderId="116" xfId="4" applyNumberFormat="1" applyFont="1" applyFill="1" applyBorder="1" applyAlignment="1">
      <alignment horizontal="center"/>
    </xf>
    <xf numFmtId="4" fontId="27" fillId="15" borderId="115" xfId="4" applyNumberFormat="1" applyFont="1" applyFill="1" applyBorder="1" applyAlignment="1">
      <alignment horizontal="center"/>
    </xf>
    <xf numFmtId="4" fontId="27" fillId="15" borderId="29" xfId="4" applyNumberFormat="1" applyFont="1" applyFill="1" applyAlignment="1">
      <alignment horizontal="center"/>
    </xf>
    <xf numFmtId="0" fontId="27" fillId="0" borderId="109" xfId="4" applyFont="1" applyBorder="1" applyAlignment="1">
      <alignment horizontal="left" wrapText="1"/>
    </xf>
    <xf numFmtId="4" fontId="26" fillId="0" borderId="29" xfId="5" applyNumberFormat="1" applyFont="1" applyFill="1" applyAlignment="1">
      <alignment horizontal="justify" vertical="top" wrapText="1"/>
    </xf>
    <xf numFmtId="0" fontId="27" fillId="17" borderId="119" xfId="4" applyFont="1" applyFill="1" applyBorder="1" applyAlignment="1">
      <alignment horizontal="justify" vertical="top" wrapText="1"/>
    </xf>
    <xf numFmtId="0" fontId="27" fillId="17" borderId="118" xfId="4" applyFont="1" applyFill="1" applyBorder="1" applyAlignment="1">
      <alignment horizontal="justify" vertical="top" wrapText="1"/>
    </xf>
    <xf numFmtId="0" fontId="3" fillId="17" borderId="118" xfId="4" applyFill="1" applyBorder="1" applyAlignment="1">
      <alignment horizontal="justify" vertical="top" wrapText="1"/>
    </xf>
    <xf numFmtId="0" fontId="27" fillId="17" borderId="118" xfId="4" applyFont="1" applyFill="1" applyBorder="1" applyAlignment="1">
      <alignment horizontal="center"/>
    </xf>
    <xf numFmtId="0" fontId="27" fillId="17" borderId="118" xfId="4" applyFont="1" applyFill="1" applyBorder="1" applyAlignment="1">
      <alignment horizontal="left"/>
    </xf>
    <xf numFmtId="4" fontId="3" fillId="17" borderId="121" xfId="4" applyNumberFormat="1" applyFill="1" applyBorder="1"/>
    <xf numFmtId="4" fontId="3" fillId="17" borderId="117" xfId="4" applyNumberFormat="1" applyFill="1" applyBorder="1"/>
    <xf numFmtId="4" fontId="3" fillId="17" borderId="116" xfId="4" applyNumberFormat="1" applyFill="1" applyBorder="1"/>
    <xf numFmtId="4" fontId="3" fillId="17" borderId="115" xfId="4" applyNumberFormat="1" applyFill="1" applyBorder="1"/>
    <xf numFmtId="4" fontId="3" fillId="17" borderId="29" xfId="4" applyNumberFormat="1" applyFill="1"/>
    <xf numFmtId="4" fontId="3" fillId="17" borderId="111" xfId="4" applyNumberFormat="1" applyFill="1" applyBorder="1"/>
    <xf numFmtId="4" fontId="26" fillId="17" borderId="29" xfId="5" applyNumberFormat="1" applyFont="1" applyFill="1"/>
    <xf numFmtId="0" fontId="3" fillId="17" borderId="29" xfId="4" applyFill="1"/>
    <xf numFmtId="0" fontId="27" fillId="17" borderId="112" xfId="4" applyFont="1" applyFill="1" applyBorder="1" applyAlignment="1">
      <alignment horizontal="center"/>
    </xf>
    <xf numFmtId="0" fontId="27" fillId="17" borderId="29" xfId="4" applyFont="1" applyFill="1" applyAlignment="1">
      <alignment horizontal="justify" vertical="top" wrapText="1"/>
    </xf>
    <xf numFmtId="166" fontId="3" fillId="17" borderId="29" xfId="4" applyNumberFormat="1" applyFill="1"/>
    <xf numFmtId="0" fontId="27" fillId="17" borderId="29" xfId="4" applyFont="1" applyFill="1" applyAlignment="1">
      <alignment horizontal="center"/>
    </xf>
    <xf numFmtId="0" fontId="27" fillId="17" borderId="29" xfId="4" applyFont="1" applyFill="1" applyAlignment="1">
      <alignment horizontal="left"/>
    </xf>
    <xf numFmtId="4" fontId="27" fillId="17" borderId="111" xfId="4" applyNumberFormat="1" applyFont="1" applyFill="1" applyBorder="1"/>
    <xf numFmtId="4" fontId="26" fillId="17" borderId="117" xfId="4" applyNumberFormat="1" applyFont="1" applyFill="1" applyBorder="1"/>
    <xf numFmtId="4" fontId="26" fillId="17" borderId="116" xfId="4" applyNumberFormat="1" applyFont="1" applyFill="1" applyBorder="1"/>
    <xf numFmtId="4" fontId="26" fillId="17" borderId="115" xfId="4" applyNumberFormat="1" applyFont="1" applyFill="1" applyBorder="1"/>
    <xf numFmtId="4" fontId="26" fillId="17" borderId="29" xfId="4" applyNumberFormat="1" applyFont="1" applyFill="1"/>
    <xf numFmtId="4" fontId="26" fillId="17" borderId="111" xfId="4" applyNumberFormat="1" applyFont="1" applyFill="1" applyBorder="1"/>
    <xf numFmtId="0" fontId="32" fillId="17" borderId="29" xfId="4" applyFont="1" applyFill="1"/>
    <xf numFmtId="0" fontId="27" fillId="17" borderId="110" xfId="4" applyFont="1" applyFill="1" applyBorder="1" applyAlignment="1">
      <alignment horizontal="center"/>
    </xf>
    <xf numFmtId="0" fontId="27" fillId="17" borderId="29" xfId="4" applyFont="1" applyFill="1" applyAlignment="1">
      <alignment horizontal="left" wrapText="1"/>
    </xf>
    <xf numFmtId="0" fontId="27" fillId="17" borderId="114" xfId="4" applyFont="1" applyFill="1" applyBorder="1"/>
    <xf numFmtId="0" fontId="27" fillId="17" borderId="113" xfId="4" applyFont="1" applyFill="1" applyBorder="1"/>
    <xf numFmtId="166" fontId="27" fillId="17" borderId="113" xfId="4" applyNumberFormat="1" applyFont="1" applyFill="1" applyBorder="1"/>
    <xf numFmtId="0" fontId="27" fillId="17" borderId="113" xfId="4" applyFont="1" applyFill="1" applyBorder="1" applyAlignment="1">
      <alignment horizontal="center"/>
    </xf>
    <xf numFmtId="0" fontId="27" fillId="17" borderId="113" xfId="4" applyFont="1" applyFill="1" applyBorder="1" applyAlignment="1">
      <alignment horizontal="left"/>
    </xf>
    <xf numFmtId="166" fontId="27" fillId="17" borderId="120" xfId="4" applyNumberFormat="1" applyFont="1" applyFill="1" applyBorder="1"/>
    <xf numFmtId="166" fontId="27" fillId="17" borderId="117" xfId="4" applyNumberFormat="1" applyFont="1" applyFill="1" applyBorder="1"/>
    <xf numFmtId="166" fontId="27" fillId="17" borderId="116" xfId="4" applyNumberFormat="1" applyFont="1" applyFill="1" applyBorder="1"/>
    <xf numFmtId="166" fontId="27" fillId="17" borderId="115" xfId="4" applyNumberFormat="1" applyFont="1" applyFill="1" applyBorder="1"/>
    <xf numFmtId="166" fontId="27" fillId="17" borderId="29" xfId="4" applyNumberFormat="1" applyFont="1" applyFill="1"/>
    <xf numFmtId="166" fontId="28" fillId="17" borderId="111" xfId="4" applyNumberFormat="1" applyFont="1" applyFill="1" applyBorder="1"/>
    <xf numFmtId="4" fontId="27" fillId="17" borderId="29" xfId="4" applyNumberFormat="1" applyFont="1" applyFill="1"/>
    <xf numFmtId="0" fontId="27" fillId="17" borderId="29" xfId="4" applyFont="1" applyFill="1"/>
    <xf numFmtId="0" fontId="27" fillId="16" borderId="29" xfId="4" applyFont="1" applyFill="1"/>
    <xf numFmtId="4" fontId="27" fillId="16" borderId="111" xfId="4" applyNumberFormat="1" applyFont="1" applyFill="1" applyBorder="1" applyAlignment="1">
      <alignment horizontal="center"/>
    </xf>
    <xf numFmtId="4" fontId="27" fillId="16" borderId="117" xfId="4" applyNumberFormat="1" applyFont="1" applyFill="1" applyBorder="1" applyAlignment="1">
      <alignment horizontal="center"/>
    </xf>
    <xf numFmtId="4" fontId="27" fillId="16" borderId="116" xfId="4" applyNumberFormat="1" applyFont="1" applyFill="1" applyBorder="1" applyAlignment="1">
      <alignment horizontal="center"/>
    </xf>
    <xf numFmtId="4" fontId="27" fillId="16" borderId="115" xfId="4" applyNumberFormat="1" applyFont="1" applyFill="1" applyBorder="1" applyAlignment="1">
      <alignment horizontal="center"/>
    </xf>
    <xf numFmtId="4" fontId="30" fillId="15" borderId="111" xfId="4" applyNumberFormat="1" applyFont="1" applyFill="1" applyBorder="1"/>
    <xf numFmtId="4" fontId="30" fillId="15" borderId="117" xfId="4" applyNumberFormat="1" applyFont="1" applyFill="1" applyBorder="1"/>
    <xf numFmtId="4" fontId="30" fillId="15" borderId="116" xfId="4" applyNumberFormat="1" applyFont="1" applyFill="1" applyBorder="1"/>
    <xf numFmtId="4" fontId="30" fillId="15" borderId="115" xfId="4" applyNumberFormat="1" applyFont="1" applyFill="1" applyBorder="1"/>
    <xf numFmtId="4" fontId="30" fillId="15" borderId="29" xfId="4" applyNumberFormat="1" applyFont="1" applyFill="1"/>
    <xf numFmtId="4" fontId="27" fillId="0" borderId="111" xfId="4" applyNumberFormat="1" applyFont="1" applyBorder="1" applyAlignment="1">
      <alignment horizontal="center"/>
    </xf>
    <xf numFmtId="4" fontId="27" fillId="0" borderId="117" xfId="4" applyNumberFormat="1" applyFont="1" applyBorder="1" applyAlignment="1">
      <alignment horizontal="center"/>
    </xf>
    <xf numFmtId="4" fontId="27" fillId="0" borderId="116" xfId="4" applyNumberFormat="1" applyFont="1" applyBorder="1" applyAlignment="1">
      <alignment horizontal="center"/>
    </xf>
    <xf numFmtId="4" fontId="27" fillId="0" borderId="115" xfId="4" applyNumberFormat="1" applyFont="1" applyBorder="1" applyAlignment="1">
      <alignment horizontal="center"/>
    </xf>
    <xf numFmtId="4" fontId="27" fillId="0" borderId="29" xfId="4" applyNumberFormat="1" applyFont="1" applyAlignment="1">
      <alignment horizontal="center"/>
    </xf>
    <xf numFmtId="166" fontId="26" fillId="0" borderId="29" xfId="4" applyNumberFormat="1" applyFont="1"/>
    <xf numFmtId="166" fontId="3" fillId="16" borderId="111" xfId="4" applyNumberFormat="1" applyFill="1" applyBorder="1"/>
    <xf numFmtId="0" fontId="27" fillId="16" borderId="110" xfId="4" applyFont="1" applyFill="1" applyBorder="1" applyAlignment="1">
      <alignment horizontal="left"/>
    </xf>
    <xf numFmtId="4" fontId="27" fillId="16" borderId="109" xfId="4" applyNumberFormat="1" applyFont="1" applyFill="1" applyBorder="1" applyAlignment="1">
      <alignment horizontal="left"/>
    </xf>
    <xf numFmtId="166" fontId="3" fillId="16" borderId="108" xfId="4" applyNumberFormat="1" applyFill="1" applyBorder="1"/>
    <xf numFmtId="166" fontId="27" fillId="16" borderId="146" xfId="4" applyNumberFormat="1" applyFont="1" applyFill="1" applyBorder="1"/>
    <xf numFmtId="166" fontId="27" fillId="16" borderId="130" xfId="4" applyNumberFormat="1" applyFont="1" applyFill="1" applyBorder="1"/>
    <xf numFmtId="166" fontId="27" fillId="16" borderId="147" xfId="4" applyNumberFormat="1" applyFont="1" applyFill="1" applyBorder="1"/>
    <xf numFmtId="166" fontId="3" fillId="16" borderId="121" xfId="4" applyNumberFormat="1" applyFill="1" applyBorder="1"/>
    <xf numFmtId="166" fontId="27" fillId="16" borderId="126" xfId="4" applyNumberFormat="1" applyFont="1" applyFill="1" applyBorder="1"/>
    <xf numFmtId="166" fontId="27" fillId="16" borderId="125" xfId="4" applyNumberFormat="1" applyFont="1" applyFill="1" applyBorder="1"/>
    <xf numFmtId="166" fontId="27" fillId="16" borderId="124" xfId="4" applyNumberFormat="1" applyFont="1" applyFill="1" applyBorder="1"/>
    <xf numFmtId="0" fontId="27" fillId="16" borderId="114" xfId="4" applyFont="1" applyFill="1" applyBorder="1" applyAlignment="1">
      <alignment horizontal="left"/>
    </xf>
    <xf numFmtId="166" fontId="3" fillId="16" borderId="113" xfId="4" applyNumberFormat="1" applyFill="1" applyBorder="1"/>
    <xf numFmtId="166" fontId="3" fillId="16" borderId="120" xfId="4" applyNumberFormat="1" applyFill="1" applyBorder="1"/>
    <xf numFmtId="4" fontId="29" fillId="15" borderId="111" xfId="4" applyNumberFormat="1" applyFont="1" applyFill="1" applyBorder="1"/>
    <xf numFmtId="4" fontId="29" fillId="15" borderId="117" xfId="4" applyNumberFormat="1" applyFont="1" applyFill="1" applyBorder="1"/>
    <xf numFmtId="4" fontId="29" fillId="15" borderId="116" xfId="4" applyNumberFormat="1" applyFont="1" applyFill="1" applyBorder="1"/>
    <xf numFmtId="4" fontId="29" fillId="15" borderId="115" xfId="4" applyNumberFormat="1" applyFont="1" applyFill="1" applyBorder="1"/>
    <xf numFmtId="4" fontId="29" fillId="15" borderId="29" xfId="4" applyNumberFormat="1" applyFont="1" applyFill="1"/>
    <xf numFmtId="4" fontId="29" fillId="0" borderId="111" xfId="4" applyNumberFormat="1" applyFont="1" applyBorder="1"/>
    <xf numFmtId="4" fontId="29" fillId="0" borderId="29" xfId="4" applyNumberFormat="1" applyFont="1"/>
    <xf numFmtId="166" fontId="27" fillId="15" borderId="113" xfId="4" applyNumberFormat="1" applyFont="1" applyFill="1" applyBorder="1"/>
    <xf numFmtId="0" fontId="27" fillId="0" borderId="119" xfId="4" applyFont="1" applyBorder="1" applyAlignment="1">
      <alignment horizontal="left"/>
    </xf>
    <xf numFmtId="0" fontId="27" fillId="0" borderId="114" xfId="4" applyFont="1" applyBorder="1" applyAlignment="1">
      <alignment horizontal="center"/>
    </xf>
    <xf numFmtId="0" fontId="3" fillId="0" borderId="113" xfId="4" applyBorder="1"/>
    <xf numFmtId="0" fontId="3" fillId="0" borderId="113" xfId="4" applyBorder="1" applyAlignment="1">
      <alignment horizontal="left"/>
    </xf>
    <xf numFmtId="166" fontId="27" fillId="0" borderId="110" xfId="4" applyNumberFormat="1" applyFont="1" applyBorder="1"/>
    <xf numFmtId="166" fontId="27" fillId="0" borderId="108" xfId="4" applyNumberFormat="1" applyFont="1" applyBorder="1"/>
    <xf numFmtId="0" fontId="3" fillId="0" borderId="118" xfId="4" applyBorder="1" applyAlignment="1">
      <alignment horizontal="left"/>
    </xf>
    <xf numFmtId="166" fontId="27" fillId="15" borderId="118" xfId="4" applyNumberFormat="1" applyFont="1" applyFill="1" applyBorder="1"/>
    <xf numFmtId="166" fontId="27" fillId="0" borderId="121" xfId="4" applyNumberFormat="1" applyFont="1" applyBorder="1"/>
    <xf numFmtId="0" fontId="27" fillId="0" borderId="111" xfId="4" applyFont="1" applyBorder="1" applyAlignment="1">
      <alignment horizontal="left" wrapText="1"/>
    </xf>
    <xf numFmtId="0" fontId="27" fillId="0" borderId="110" xfId="4" applyFont="1" applyBorder="1" applyAlignment="1">
      <alignment horizontal="left"/>
    </xf>
    <xf numFmtId="166" fontId="27" fillId="15" borderId="109" xfId="4" applyNumberFormat="1" applyFont="1" applyFill="1" applyBorder="1"/>
    <xf numFmtId="0" fontId="3" fillId="0" borderId="29" xfId="4"/>
    <xf numFmtId="0" fontId="25" fillId="0" borderId="116" xfId="0" applyFont="1" applyBorder="1" applyAlignment="1">
      <alignment vertical="center" wrapText="1"/>
    </xf>
    <xf numFmtId="0" fontId="25" fillId="0" borderId="132" xfId="0" applyFont="1" applyBorder="1" applyAlignment="1">
      <alignment vertical="center" wrapText="1"/>
    </xf>
    <xf numFmtId="0" fontId="27" fillId="0" borderId="29" xfId="4" applyFont="1" applyAlignment="1">
      <alignment horizontal="left" wrapText="1"/>
    </xf>
    <xf numFmtId="0" fontId="27" fillId="0" borderId="119" xfId="4" applyFont="1" applyBorder="1" applyAlignment="1">
      <alignment horizontal="center"/>
    </xf>
    <xf numFmtId="0" fontId="27" fillId="0" borderId="118" xfId="4" applyFont="1" applyBorder="1" applyAlignment="1">
      <alignment horizontal="center"/>
    </xf>
    <xf numFmtId="0" fontId="27" fillId="0" borderId="112" xfId="4" applyFont="1" applyBorder="1" applyAlignment="1">
      <alignment horizontal="center"/>
    </xf>
    <xf numFmtId="0" fontId="27" fillId="0" borderId="29" xfId="4" applyFont="1" applyAlignment="1">
      <alignment horizontal="center"/>
    </xf>
    <xf numFmtId="0" fontId="3" fillId="0" borderId="29" xfId="4"/>
    <xf numFmtId="0" fontId="3" fillId="0" borderId="111" xfId="4" applyBorder="1"/>
    <xf numFmtId="0" fontId="26" fillId="0" borderId="29" xfId="4" applyFont="1"/>
    <xf numFmtId="0" fontId="27" fillId="21" borderId="126" xfId="4" applyFont="1" applyFill="1" applyBorder="1" applyAlignment="1">
      <alignment horizontal="center"/>
    </xf>
    <xf numFmtId="4" fontId="27" fillId="21" borderId="124" xfId="4" applyNumberFormat="1" applyFont="1" applyFill="1" applyBorder="1" applyAlignment="1">
      <alignment horizontal="center"/>
    </xf>
    <xf numFmtId="0" fontId="3" fillId="0" borderId="117" xfId="4" applyBorder="1"/>
    <xf numFmtId="0" fontId="27" fillId="0" borderId="117" xfId="4" applyFont="1" applyBorder="1"/>
    <xf numFmtId="4" fontId="27" fillId="0" borderId="115" xfId="4" applyNumberFormat="1" applyFont="1" applyBorder="1"/>
    <xf numFmtId="0" fontId="43" fillId="21" borderId="131" xfId="4" applyFont="1" applyFill="1" applyBorder="1"/>
    <xf numFmtId="4" fontId="43" fillId="21" borderId="133" xfId="4" applyNumberFormat="1" applyFont="1" applyFill="1" applyBorder="1"/>
    <xf numFmtId="0" fontId="41" fillId="0" borderId="29" xfId="4" applyFont="1"/>
    <xf numFmtId="0" fontId="27" fillId="0" borderId="112" xfId="4" applyFont="1" applyBorder="1" applyAlignment="1">
      <alignment horizontal="left" wrapText="1"/>
    </xf>
    <xf numFmtId="0" fontId="27" fillId="0" borderId="29" xfId="4" applyFont="1" applyAlignment="1">
      <alignment horizontal="left" wrapText="1"/>
    </xf>
    <xf numFmtId="0" fontId="27" fillId="0" borderId="119" xfId="4" applyFont="1" applyBorder="1" applyAlignment="1">
      <alignment horizontal="center"/>
    </xf>
    <xf numFmtId="0" fontId="27" fillId="0" borderId="118" xfId="4" applyFont="1" applyBorder="1" applyAlignment="1">
      <alignment horizontal="center"/>
    </xf>
    <xf numFmtId="0" fontId="27" fillId="0" borderId="112" xfId="4" applyFont="1" applyBorder="1" applyAlignment="1">
      <alignment horizontal="center"/>
    </xf>
    <xf numFmtId="0" fontId="27" fillId="0" borderId="29" xfId="4" applyFont="1" applyAlignment="1">
      <alignment horizontal="center"/>
    </xf>
    <xf numFmtId="2" fontId="37" fillId="0" borderId="112" xfId="4" applyNumberFormat="1" applyFont="1" applyBorder="1" applyAlignment="1">
      <alignment horizontal="center" vertical="center"/>
    </xf>
    <xf numFmtId="0" fontId="3" fillId="0" borderId="29" xfId="4"/>
    <xf numFmtId="0" fontId="3" fillId="0" borderId="111" xfId="4" applyBorder="1"/>
    <xf numFmtId="2" fontId="37" fillId="0" borderId="112" xfId="4" applyNumberFormat="1" applyFont="1" applyBorder="1" applyAlignment="1">
      <alignment horizontal="left" vertical="center" wrapText="1"/>
    </xf>
    <xf numFmtId="0" fontId="26" fillId="0" borderId="29" xfId="4" applyFont="1"/>
    <xf numFmtId="0" fontId="26" fillId="0" borderId="111" xfId="4" applyFont="1" applyBorder="1"/>
    <xf numFmtId="0" fontId="4" fillId="0" borderId="0" xfId="0" applyFont="1" applyAlignment="1">
      <alignment horizontal="right" vertical="center"/>
    </xf>
    <xf numFmtId="0" fontId="3" fillId="0" borderId="52" xfId="0" applyFont="1" applyBorder="1"/>
    <xf numFmtId="0" fontId="13" fillId="5" borderId="43" xfId="0" applyFont="1" applyFill="1" applyBorder="1" applyAlignment="1">
      <alignment horizontal="center"/>
    </xf>
    <xf numFmtId="0" fontId="3" fillId="0" borderId="2" xfId="0" applyFont="1" applyBorder="1"/>
    <xf numFmtId="0" fontId="3" fillId="0" borderId="3" xfId="0" applyFont="1" applyBorder="1"/>
    <xf numFmtId="0" fontId="4" fillId="2" borderId="20" xfId="0" applyFont="1" applyFill="1" applyBorder="1" applyAlignment="1">
      <alignment horizontal="center" vertical="center"/>
    </xf>
    <xf numFmtId="0" fontId="3" fillId="0" borderId="24" xfId="0" applyFont="1" applyBorder="1"/>
    <xf numFmtId="0" fontId="3" fillId="0" borderId="21" xfId="0" applyFont="1" applyBorder="1"/>
    <xf numFmtId="0" fontId="3" fillId="0" borderId="15" xfId="0" applyFont="1" applyBorder="1"/>
    <xf numFmtId="0" fontId="3" fillId="0" borderId="44" xfId="0" applyFont="1" applyBorder="1"/>
    <xf numFmtId="0" fontId="3" fillId="0" borderId="45" xfId="0" applyFont="1" applyBorder="1"/>
    <xf numFmtId="0" fontId="1" fillId="0" borderId="17" xfId="0" applyFont="1" applyBorder="1" applyAlignment="1">
      <alignment horizontal="left" vertical="center" wrapText="1"/>
    </xf>
    <xf numFmtId="0" fontId="3" fillId="0" borderId="16" xfId="0" applyFont="1" applyBorder="1"/>
    <xf numFmtId="0" fontId="14" fillId="5" borderId="49" xfId="0" applyFont="1" applyFill="1" applyBorder="1" applyAlignment="1">
      <alignment horizontal="left"/>
    </xf>
    <xf numFmtId="0" fontId="3" fillId="0" borderId="50" xfId="0" applyFont="1" applyBorder="1"/>
    <xf numFmtId="0" fontId="3" fillId="0" borderId="51" xfId="0" applyFont="1" applyBorder="1"/>
    <xf numFmtId="0" fontId="1" fillId="0" borderId="14" xfId="0" applyFont="1" applyBorder="1" applyAlignment="1">
      <alignment horizontal="center"/>
    </xf>
    <xf numFmtId="0" fontId="0" fillId="0" borderId="0" xfId="0" applyFont="1" applyAlignment="1"/>
    <xf numFmtId="0" fontId="3" fillId="0" borderId="14" xfId="0" applyFont="1" applyBorder="1"/>
    <xf numFmtId="0" fontId="25" fillId="0" borderId="17" xfId="0" applyFont="1" applyBorder="1" applyAlignment="1">
      <alignment horizontal="left"/>
    </xf>
    <xf numFmtId="0" fontId="3" fillId="0" borderId="53" xfId="0" applyFont="1" applyBorder="1"/>
    <xf numFmtId="0" fontId="4" fillId="2" borderId="35" xfId="0" applyFont="1" applyFill="1" applyBorder="1" applyAlignment="1">
      <alignment horizontal="center" vertical="center" wrapText="1"/>
    </xf>
    <xf numFmtId="0" fontId="3" fillId="0" borderId="38" xfId="0" applyFont="1" applyBorder="1"/>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wrapText="1"/>
    </xf>
    <xf numFmtId="0" fontId="3" fillId="0" borderId="37" xfId="0" applyFont="1" applyBorder="1"/>
    <xf numFmtId="0" fontId="4" fillId="6" borderId="30" xfId="0" applyFont="1" applyFill="1" applyBorder="1" applyAlignment="1">
      <alignment horizontal="center"/>
    </xf>
    <xf numFmtId="0" fontId="3" fillId="0" borderId="27" xfId="0" applyFont="1" applyBorder="1"/>
    <xf numFmtId="0" fontId="3" fillId="0" borderId="31" xfId="0" applyFont="1" applyBorder="1"/>
    <xf numFmtId="0" fontId="4" fillId="6" borderId="32" xfId="0" applyFont="1" applyFill="1" applyBorder="1" applyAlignment="1">
      <alignment horizontal="center"/>
    </xf>
    <xf numFmtId="0" fontId="3" fillId="0" borderId="33" xfId="0" applyFont="1" applyBorder="1"/>
    <xf numFmtId="0" fontId="3" fillId="0" borderId="34" xfId="0" applyFont="1" applyBorder="1"/>
    <xf numFmtId="0" fontId="2" fillId="0" borderId="0" xfId="0" applyFont="1" applyAlignment="1">
      <alignment horizontal="center" vertical="center"/>
    </xf>
    <xf numFmtId="0" fontId="9" fillId="0" borderId="0" xfId="0" applyFont="1" applyAlignment="1">
      <alignment horizontal="center"/>
    </xf>
    <xf numFmtId="0" fontId="11" fillId="5" borderId="26" xfId="0" applyFont="1" applyFill="1" applyBorder="1" applyAlignment="1">
      <alignment horizontal="center" wrapText="1"/>
    </xf>
    <xf numFmtId="0" fontId="3" fillId="0" borderId="28" xfId="0" applyFont="1" applyBorder="1"/>
    <xf numFmtId="0" fontId="11" fillId="5" borderId="26" xfId="0" applyFont="1" applyFill="1" applyBorder="1" applyAlignment="1">
      <alignment horizontal="center"/>
    </xf>
    <xf numFmtId="0" fontId="2" fillId="9" borderId="1" xfId="0" applyFont="1" applyFill="1" applyBorder="1" applyAlignment="1">
      <alignment horizontal="left" vertical="center"/>
    </xf>
    <xf numFmtId="0" fontId="13" fillId="5" borderId="4" xfId="0" applyFont="1" applyFill="1" applyBorder="1" applyAlignment="1">
      <alignment horizontal="left" vertical="center" wrapText="1"/>
    </xf>
    <xf numFmtId="0" fontId="3" fillId="0" borderId="56" xfId="0" applyFont="1" applyBorder="1"/>
    <xf numFmtId="0" fontId="4" fillId="4" borderId="6" xfId="0" applyFont="1" applyFill="1" applyBorder="1" applyAlignment="1">
      <alignment horizontal="center" vertical="center" wrapText="1"/>
    </xf>
    <xf numFmtId="0" fontId="3" fillId="0" borderId="54" xfId="0" applyFont="1" applyBorder="1"/>
    <xf numFmtId="0" fontId="3" fillId="0" borderId="55" xfId="0" applyFont="1" applyBorder="1"/>
    <xf numFmtId="0" fontId="3" fillId="0" borderId="57" xfId="0" applyFont="1" applyBorder="1"/>
    <xf numFmtId="0" fontId="3" fillId="0" borderId="58" xfId="0" applyFont="1" applyBorder="1"/>
    <xf numFmtId="0" fontId="3" fillId="0" borderId="59" xfId="0" applyFont="1" applyBorder="1"/>
    <xf numFmtId="0" fontId="18" fillId="4" borderId="17" xfId="0" applyFont="1" applyFill="1" applyBorder="1" applyAlignment="1">
      <alignment horizontal="center" vertical="center" wrapText="1"/>
    </xf>
    <xf numFmtId="0" fontId="3" fillId="0" borderId="65" xfId="0" applyFont="1" applyBorder="1"/>
    <xf numFmtId="0" fontId="11" fillId="5" borderId="60" xfId="0" applyFont="1" applyFill="1" applyBorder="1" applyAlignment="1">
      <alignment horizontal="center"/>
    </xf>
    <xf numFmtId="0" fontId="3" fillId="0" borderId="61" xfId="0" applyFont="1" applyBorder="1"/>
    <xf numFmtId="0" fontId="3" fillId="0" borderId="62" xfId="0" applyFont="1" applyBorder="1"/>
    <xf numFmtId="0" fontId="2" fillId="10" borderId="1" xfId="0" applyFont="1" applyFill="1" applyBorder="1" applyAlignment="1">
      <alignment horizontal="left" vertical="center"/>
    </xf>
    <xf numFmtId="2" fontId="2" fillId="0" borderId="0" xfId="0" applyNumberFormat="1" applyFont="1" applyAlignment="1">
      <alignment horizontal="center" vertical="center"/>
    </xf>
    <xf numFmtId="0" fontId="20" fillId="5" borderId="26" xfId="0" applyFont="1" applyFill="1" applyBorder="1" applyAlignment="1">
      <alignment horizontal="center"/>
    </xf>
    <xf numFmtId="2" fontId="4" fillId="0" borderId="0" xfId="0" applyNumberFormat="1" applyFont="1" applyAlignment="1">
      <alignment horizontal="center" vertical="center"/>
    </xf>
    <xf numFmtId="0" fontId="2" fillId="0" borderId="0" xfId="0" applyFont="1" applyAlignment="1">
      <alignment horizontal="center"/>
    </xf>
    <xf numFmtId="0" fontId="4" fillId="0" borderId="85" xfId="0" applyFont="1" applyBorder="1" applyAlignment="1">
      <alignment horizontal="center"/>
    </xf>
    <xf numFmtId="4" fontId="1" fillId="0" borderId="76" xfId="0" applyNumberFormat="1" applyFont="1" applyBorder="1" applyAlignment="1">
      <alignment horizontal="center"/>
    </xf>
    <xf numFmtId="4" fontId="1" fillId="14" borderId="49" xfId="0" applyNumberFormat="1" applyFont="1" applyFill="1" applyBorder="1" applyAlignment="1">
      <alignment horizontal="center"/>
    </xf>
    <xf numFmtId="0" fontId="9" fillId="2" borderId="26" xfId="0" applyFont="1" applyFill="1" applyBorder="1" applyAlignment="1">
      <alignment horizontal="center"/>
    </xf>
    <xf numFmtId="0" fontId="4" fillId="2" borderId="60" xfId="0" applyFont="1" applyFill="1" applyBorder="1" applyAlignment="1">
      <alignment horizontal="center"/>
    </xf>
    <xf numFmtId="0" fontId="3" fillId="0" borderId="102" xfId="0" applyFont="1" applyBorder="1"/>
    <xf numFmtId="10" fontId="12" fillId="2" borderId="6" xfId="0" applyNumberFormat="1" applyFont="1" applyFill="1" applyBorder="1" applyAlignment="1">
      <alignment horizontal="center" vertical="center" wrapText="1"/>
    </xf>
    <xf numFmtId="0" fontId="3" fillId="0" borderId="95" xfId="0" applyFont="1" applyBorder="1"/>
    <xf numFmtId="0" fontId="4" fillId="2" borderId="103" xfId="0" applyFont="1" applyFill="1" applyBorder="1" applyAlignment="1">
      <alignment horizontal="center"/>
    </xf>
    <xf numFmtId="0" fontId="3" fillId="0" borderId="104" xfId="0" applyFont="1" applyBorder="1"/>
    <xf numFmtId="10" fontId="4" fillId="6" borderId="17" xfId="0" applyNumberFormat="1" applyFont="1" applyFill="1" applyBorder="1" applyAlignment="1">
      <alignment horizontal="center"/>
    </xf>
    <xf numFmtId="10" fontId="4" fillId="13" borderId="17" xfId="0" applyNumberFormat="1" applyFont="1" applyFill="1" applyBorder="1" applyAlignment="1">
      <alignment horizontal="center"/>
    </xf>
    <xf numFmtId="9" fontId="4" fillId="13" borderId="17" xfId="0" applyNumberFormat="1" applyFont="1" applyFill="1" applyBorder="1" applyAlignment="1">
      <alignment horizontal="center"/>
    </xf>
    <xf numFmtId="0" fontId="12" fillId="2" borderId="6" xfId="0" applyFont="1" applyFill="1" applyBorder="1" applyAlignment="1">
      <alignment horizontal="center" vertical="center" wrapText="1"/>
    </xf>
    <xf numFmtId="0" fontId="9" fillId="2" borderId="60" xfId="0" applyFont="1" applyFill="1" applyBorder="1" applyAlignment="1">
      <alignment horizontal="center"/>
    </xf>
    <xf numFmtId="0" fontId="3" fillId="0" borderId="93" xfId="0" applyFont="1" applyBorder="1"/>
    <xf numFmtId="0" fontId="12" fillId="2" borderId="94" xfId="0" applyFont="1" applyFill="1" applyBorder="1" applyAlignment="1">
      <alignment horizontal="center" vertical="center" wrapText="1"/>
    </xf>
    <xf numFmtId="0" fontId="3" fillId="0" borderId="96" xfId="0" applyFont="1" applyBorder="1"/>
    <xf numFmtId="0" fontId="4" fillId="2" borderId="7" xfId="0" applyFont="1" applyFill="1" applyBorder="1" applyAlignment="1">
      <alignment horizontal="center"/>
    </xf>
    <xf numFmtId="0" fontId="3" fillId="0" borderId="8" xfId="0" applyFont="1" applyBorder="1"/>
    <xf numFmtId="0" fontId="3" fillId="0" borderId="9" xfId="0" applyFont="1" applyBorder="1"/>
    <xf numFmtId="0" fontId="12" fillId="2" borderId="17" xfId="0" applyFont="1" applyFill="1" applyBorder="1" applyAlignment="1">
      <alignment horizontal="center" vertical="center" wrapText="1"/>
    </xf>
    <xf numFmtId="0" fontId="42" fillId="0" borderId="29" xfId="2" applyFont="1" applyAlignment="1">
      <alignment horizontal="center" vertical="center"/>
    </xf>
    <xf numFmtId="0" fontId="26" fillId="0" borderId="110" xfId="0" applyFont="1" applyBorder="1" applyAlignment="1">
      <alignment horizontal="justify"/>
    </xf>
    <xf numFmtId="0" fontId="26" fillId="0" borderId="109" xfId="0" applyFont="1" applyBorder="1" applyAlignment="1">
      <alignment horizontal="justify"/>
    </xf>
    <xf numFmtId="0" fontId="26" fillId="0" borderId="108" xfId="0" applyFont="1" applyBorder="1" applyAlignment="1">
      <alignment horizontal="justify"/>
    </xf>
    <xf numFmtId="0" fontId="27" fillId="0" borderId="29" xfId="0" applyFont="1" applyBorder="1" applyAlignment="1">
      <alignment horizontal="left" vertical="top" wrapText="1"/>
    </xf>
    <xf numFmtId="2" fontId="27" fillId="0" borderId="29" xfId="4" applyNumberFormat="1" applyFont="1" applyAlignment="1">
      <alignment horizontal="center" vertical="center"/>
    </xf>
    <xf numFmtId="2" fontId="27" fillId="0" borderId="29" xfId="4" applyNumberFormat="1" applyFont="1" applyAlignment="1">
      <alignment horizontal="justify" vertical="center"/>
    </xf>
    <xf numFmtId="0" fontId="3" fillId="0" borderId="121" xfId="4" applyBorder="1" applyAlignment="1">
      <alignment horizontal="center"/>
    </xf>
    <xf numFmtId="0" fontId="3" fillId="0" borderId="111" xfId="4" applyBorder="1" applyAlignment="1">
      <alignment horizontal="center"/>
    </xf>
    <xf numFmtId="0" fontId="27" fillId="0" borderId="111" xfId="4" applyFont="1" applyBorder="1" applyAlignment="1">
      <alignment horizontal="center"/>
    </xf>
    <xf numFmtId="0" fontId="3" fillId="0" borderId="29" xfId="4" applyAlignment="1">
      <alignment horizontal="center"/>
    </xf>
    <xf numFmtId="0" fontId="3" fillId="0" borderId="108" xfId="4" applyBorder="1"/>
    <xf numFmtId="0" fontId="27" fillId="16" borderId="114" xfId="4" applyFont="1" applyFill="1" applyBorder="1" applyAlignment="1">
      <alignment horizontal="center"/>
    </xf>
    <xf numFmtId="0" fontId="27" fillId="16" borderId="120" xfId="4" applyFont="1" applyFill="1" applyBorder="1" applyAlignment="1">
      <alignment horizontal="center"/>
    </xf>
    <xf numFmtId="0" fontId="3" fillId="0" borderId="121" xfId="4" applyBorder="1"/>
    <xf numFmtId="0" fontId="27" fillId="16" borderId="112" xfId="4" applyFont="1" applyFill="1" applyBorder="1"/>
    <xf numFmtId="0" fontId="44" fillId="16" borderId="29" xfId="4" applyFont="1" applyFill="1"/>
    <xf numFmtId="0" fontId="27" fillId="0" borderId="29" xfId="4" applyFont="1" applyAlignment="1">
      <alignment wrapText="1"/>
    </xf>
    <xf numFmtId="0" fontId="45" fillId="0" borderId="112" xfId="4" applyFont="1" applyBorder="1"/>
    <xf numFmtId="0" fontId="46" fillId="0" borderId="29" xfId="4" applyFont="1"/>
    <xf numFmtId="166" fontId="46" fillId="0" borderId="29" xfId="4" applyNumberFormat="1" applyFont="1"/>
    <xf numFmtId="4" fontId="46" fillId="0" borderId="111" xfId="4" applyNumberFormat="1" applyFont="1" applyBorder="1"/>
    <xf numFmtId="167" fontId="27" fillId="0" borderId="29" xfId="4" applyNumberFormat="1" applyFont="1"/>
    <xf numFmtId="0" fontId="3" fillId="0" borderId="29" xfId="4" applyAlignment="1">
      <alignment wrapText="1"/>
    </xf>
    <xf numFmtId="167" fontId="26" fillId="0" borderId="29" xfId="4" applyNumberFormat="1" applyFont="1"/>
    <xf numFmtId="0" fontId="46" fillId="0" borderId="112" xfId="4" applyFont="1" applyBorder="1"/>
    <xf numFmtId="0" fontId="26" fillId="0" borderId="29" xfId="4" applyFont="1" applyAlignment="1">
      <alignment wrapText="1"/>
    </xf>
    <xf numFmtId="0" fontId="27" fillId="0" borderId="109" xfId="4" applyFont="1" applyBorder="1" applyAlignment="1">
      <alignment wrapText="1"/>
    </xf>
    <xf numFmtId="4" fontId="3" fillId="0" borderId="108" xfId="4" applyNumberFormat="1" applyBorder="1"/>
    <xf numFmtId="4" fontId="45" fillId="0" borderId="111" xfId="4" applyNumberFormat="1" applyFont="1" applyBorder="1"/>
    <xf numFmtId="0" fontId="46" fillId="0" borderId="29" xfId="4" applyFont="1" applyAlignment="1">
      <alignment wrapText="1"/>
    </xf>
    <xf numFmtId="4" fontId="46" fillId="0" borderId="29" xfId="4" applyNumberFormat="1" applyFont="1" applyAlignment="1">
      <alignment vertical="top"/>
    </xf>
    <xf numFmtId="0" fontId="27" fillId="16" borderId="29" xfId="4" applyFont="1" applyFill="1" applyAlignment="1">
      <alignment wrapText="1"/>
    </xf>
    <xf numFmtId="0" fontId="46" fillId="0" borderId="29" xfId="4" applyFont="1" applyAlignment="1">
      <alignment vertical="top"/>
    </xf>
    <xf numFmtId="4" fontId="46" fillId="0" borderId="111" xfId="4" applyNumberFormat="1" applyFont="1" applyBorder="1" applyAlignment="1">
      <alignment vertical="top"/>
    </xf>
    <xf numFmtId="0" fontId="45" fillId="15" borderId="148" xfId="4" applyFont="1" applyFill="1" applyBorder="1"/>
    <xf numFmtId="0" fontId="47" fillId="0" borderId="29" xfId="4" applyFont="1"/>
    <xf numFmtId="0" fontId="27" fillId="22" borderId="112" xfId="4" applyFont="1" applyFill="1" applyBorder="1"/>
    <xf numFmtId="0" fontId="27" fillId="22" borderId="29" xfId="4" applyFont="1" applyFill="1"/>
    <xf numFmtId="43" fontId="27" fillId="22" borderId="29" xfId="4" applyNumberFormat="1" applyFont="1" applyFill="1"/>
    <xf numFmtId="166" fontId="27" fillId="22" borderId="29" xfId="4" applyNumberFormat="1" applyFont="1" applyFill="1"/>
    <xf numFmtId="4" fontId="27" fillId="22" borderId="111" xfId="4" applyNumberFormat="1" applyFont="1" applyFill="1" applyBorder="1"/>
    <xf numFmtId="43" fontId="3" fillId="0" borderId="29" xfId="4" applyNumberFormat="1"/>
    <xf numFmtId="43" fontId="27" fillId="0" borderId="29" xfId="4" applyNumberFormat="1" applyFont="1"/>
    <xf numFmtId="166" fontId="45" fillId="0" borderId="29" xfId="4" applyNumberFormat="1" applyFont="1"/>
    <xf numFmtId="0" fontId="27" fillId="16" borderId="110" xfId="4" applyFont="1" applyFill="1" applyBorder="1"/>
    <xf numFmtId="0" fontId="27" fillId="16" borderId="109" xfId="4" applyFont="1" applyFill="1" applyBorder="1"/>
    <xf numFmtId="167" fontId="3" fillId="0" borderId="29" xfId="4" applyNumberFormat="1"/>
    <xf numFmtId="0" fontId="27" fillId="16" borderId="113" xfId="4" applyFont="1" applyFill="1" applyBorder="1" applyAlignment="1">
      <alignment horizontal="center"/>
    </xf>
    <xf numFmtId="0" fontId="3" fillId="16" borderId="113" xfId="4" applyFill="1" applyBorder="1" applyAlignment="1">
      <alignment horizontal="center"/>
    </xf>
    <xf numFmtId="0" fontId="27" fillId="16" borderId="113" xfId="4" applyFont="1" applyFill="1" applyBorder="1" applyAlignment="1">
      <alignment horizontal="right"/>
    </xf>
    <xf numFmtId="43" fontId="27" fillId="16" borderId="113" xfId="6" applyFont="1" applyFill="1" applyBorder="1" applyAlignment="1">
      <alignment horizontal="right"/>
    </xf>
    <xf numFmtId="43" fontId="27" fillId="16" borderId="120" xfId="6" applyFont="1" applyFill="1" applyBorder="1" applyAlignment="1">
      <alignment horizontal="right"/>
    </xf>
    <xf numFmtId="4" fontId="3" fillId="0" borderId="29" xfId="4" applyNumberFormat="1"/>
    <xf numFmtId="0" fontId="27" fillId="0" borderId="29" xfId="4" applyFont="1"/>
    <xf numFmtId="0" fontId="26" fillId="0" borderId="112" xfId="4" applyFont="1" applyBorder="1"/>
    <xf numFmtId="0" fontId="3" fillId="0" borderId="109" xfId="4" applyBorder="1"/>
    <xf numFmtId="4" fontId="3" fillId="0" borderId="109" xfId="4" applyNumberFormat="1" applyBorder="1"/>
    <xf numFmtId="4" fontId="48" fillId="0" borderId="29" xfId="4" applyNumberFormat="1" applyFont="1"/>
    <xf numFmtId="168" fontId="3" fillId="0" borderId="29" xfId="4" applyNumberFormat="1"/>
    <xf numFmtId="0" fontId="27" fillId="0" borderId="121" xfId="4" applyFont="1" applyBorder="1" applyAlignment="1">
      <alignment horizontal="center"/>
    </xf>
    <xf numFmtId="0" fontId="27" fillId="16" borderId="118" xfId="4" applyFont="1" applyFill="1" applyBorder="1" applyAlignment="1">
      <alignment horizontal="center"/>
    </xf>
    <xf numFmtId="0" fontId="3" fillId="16" borderId="118" xfId="4" applyFill="1" applyBorder="1" applyAlignment="1">
      <alignment horizontal="center"/>
    </xf>
    <xf numFmtId="4" fontId="27" fillId="16" borderId="118" xfId="4" applyNumberFormat="1" applyFont="1" applyFill="1" applyBorder="1" applyAlignment="1">
      <alignment horizontal="right"/>
    </xf>
    <xf numFmtId="9" fontId="27" fillId="16" borderId="121" xfId="7" applyFont="1" applyFill="1" applyBorder="1" applyAlignment="1">
      <alignment horizontal="right"/>
    </xf>
    <xf numFmtId="0" fontId="3" fillId="0" borderId="118" xfId="4" applyBorder="1"/>
    <xf numFmtId="4" fontId="3" fillId="0" borderId="121" xfId="4" applyNumberFormat="1" applyBorder="1"/>
    <xf numFmtId="9" fontId="27" fillId="0" borderId="111" xfId="7" applyFont="1" applyBorder="1"/>
    <xf numFmtId="9" fontId="0" fillId="0" borderId="111" xfId="7" applyFont="1" applyBorder="1"/>
    <xf numFmtId="4" fontId="27" fillId="16" borderId="29" xfId="4" applyNumberFormat="1" applyFont="1" applyFill="1"/>
    <xf numFmtId="9" fontId="27" fillId="16" borderId="111" xfId="7" applyFont="1" applyFill="1" applyBorder="1"/>
    <xf numFmtId="0" fontId="26" fillId="16" borderId="112" xfId="4" applyFont="1" applyFill="1" applyBorder="1"/>
    <xf numFmtId="0" fontId="3" fillId="16" borderId="29" xfId="4" applyFill="1"/>
    <xf numFmtId="0" fontId="26" fillId="16" borderId="29" xfId="4" applyFont="1" applyFill="1"/>
    <xf numFmtId="0" fontId="27" fillId="16" borderId="29" xfId="4" applyFont="1" applyFill="1" applyAlignment="1">
      <alignment horizontal="left" wrapText="1"/>
    </xf>
    <xf numFmtId="0" fontId="27" fillId="16" borderId="29" xfId="4" applyFont="1" applyFill="1" applyAlignment="1">
      <alignment horizontal="left"/>
    </xf>
    <xf numFmtId="0" fontId="3" fillId="16" borderId="29" xfId="4" applyFill="1" applyAlignment="1">
      <alignment horizontal="left" wrapText="1"/>
    </xf>
    <xf numFmtId="0" fontId="26" fillId="16" borderId="29" xfId="4" applyFont="1" applyFill="1"/>
    <xf numFmtId="0" fontId="27" fillId="0" borderId="109" xfId="4" applyFont="1" applyBorder="1"/>
    <xf numFmtId="4" fontId="27" fillId="0" borderId="109" xfId="4" applyNumberFormat="1" applyFont="1" applyBorder="1"/>
    <xf numFmtId="9" fontId="27" fillId="0" borderId="108" xfId="7" applyFont="1" applyBorder="1"/>
    <xf numFmtId="4" fontId="3" fillId="0" borderId="118" xfId="4" applyNumberFormat="1" applyBorder="1"/>
    <xf numFmtId="0" fontId="3" fillId="16" borderId="29" xfId="4" applyFill="1" applyAlignment="1">
      <alignment horizontal="left"/>
    </xf>
    <xf numFmtId="10" fontId="0" fillId="0" borderId="29" xfId="7" applyNumberFormat="1" applyFont="1"/>
    <xf numFmtId="0" fontId="3" fillId="0" borderId="134" xfId="4" applyBorder="1"/>
    <xf numFmtId="0" fontId="3" fillId="16" borderId="29" xfId="4" applyFill="1" applyAlignment="1">
      <alignment horizontal="left" wrapText="1"/>
    </xf>
    <xf numFmtId="43" fontId="27" fillId="16" borderId="29" xfId="6" applyFont="1" applyFill="1" applyBorder="1" applyAlignment="1"/>
    <xf numFmtId="43" fontId="26" fillId="16" borderId="29" xfId="6" applyFont="1" applyFill="1" applyBorder="1" applyAlignment="1"/>
    <xf numFmtId="4" fontId="27" fillId="0" borderId="108" xfId="4" applyNumberFormat="1" applyFont="1" applyBorder="1"/>
    <xf numFmtId="4" fontId="26" fillId="0" borderId="29" xfId="6" applyNumberFormat="1" applyFont="1" applyFill="1"/>
    <xf numFmtId="4" fontId="26" fillId="16" borderId="29" xfId="6" applyNumberFormat="1" applyFont="1" applyFill="1"/>
    <xf numFmtId="4" fontId="26" fillId="0" borderId="122" xfId="6" applyNumberFormat="1" applyFont="1" applyFill="1" applyBorder="1"/>
    <xf numFmtId="4" fontId="26" fillId="0" borderId="29" xfId="6" applyNumberFormat="1" applyFont="1" applyFill="1" applyBorder="1"/>
    <xf numFmtId="4" fontId="26" fillId="20" borderId="29" xfId="6" applyNumberFormat="1" applyFont="1" applyFill="1"/>
    <xf numFmtId="4" fontId="29" fillId="15" borderId="111" xfId="6" applyNumberFormat="1" applyFont="1" applyFill="1" applyBorder="1"/>
    <xf numFmtId="4" fontId="26" fillId="18" borderId="29" xfId="6" applyNumberFormat="1" applyFont="1" applyFill="1"/>
    <xf numFmtId="4" fontId="34" fillId="18" borderId="29" xfId="6" applyNumberFormat="1" applyFont="1" applyFill="1" applyBorder="1"/>
    <xf numFmtId="4" fontId="27" fillId="0" borderId="29" xfId="6" applyNumberFormat="1" applyFont="1" applyFill="1"/>
    <xf numFmtId="4" fontId="27" fillId="18" borderId="29" xfId="6" applyNumberFormat="1" applyFont="1" applyFill="1"/>
    <xf numFmtId="4" fontId="26" fillId="0" borderId="29" xfId="6" applyNumberFormat="1" applyFont="1" applyFill="1" applyAlignment="1">
      <alignment horizontal="justify" vertical="top" wrapText="1"/>
    </xf>
    <xf numFmtId="4" fontId="26" fillId="17" borderId="29" xfId="6" applyNumberFormat="1" applyFont="1" applyFill="1"/>
  </cellXfs>
  <cellStyles count="8">
    <cellStyle name="Millares" xfId="1" builtinId="3"/>
    <cellStyle name="Millares 2" xfId="3" xr:uid="{00000000-0005-0000-0000-000001000000}"/>
    <cellStyle name="Millares 2 2" xfId="6" xr:uid="{AECF5674-8ACF-4503-9998-D83BAF88B609}"/>
    <cellStyle name="Millares 3" xfId="5" xr:uid="{A0CCC033-7E2B-4843-BDB1-84E763965FBA}"/>
    <cellStyle name="Normal" xfId="0" builtinId="0"/>
    <cellStyle name="Normal 2" xfId="2" xr:uid="{00000000-0005-0000-0000-000003000000}"/>
    <cellStyle name="Normal 3" xfId="4" xr:uid="{FC023506-14D7-43E6-AFF5-56F5F27390DB}"/>
    <cellStyle name="Porcentaje 2" xfId="7" xr:uid="{BE1FA74A-2190-49F5-AAC1-7879E8D8E3B9}"/>
  </cellStyles>
  <dxfs count="35">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none"/>
      </fill>
    </dxf>
    <dxf>
      <font>
        <color theme="0"/>
      </font>
      <fill>
        <patternFill patternType="solid">
          <fgColor rgb="FFFFFFFF"/>
          <bgColor rgb="FFFFFFFF"/>
        </patternFill>
      </fill>
    </dxf>
    <dxf>
      <font>
        <color theme="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000000"/>
                </a:solidFill>
                <a:latin typeface="+mn-lt"/>
              </a:defRPr>
            </a:pPr>
            <a:r>
              <a:rPr lang="es-CR" sz="1400" b="1" i="0">
                <a:solidFill>
                  <a:srgbClr val="000000"/>
                </a:solidFill>
                <a:latin typeface="+mn-lt"/>
              </a:rPr>
              <a:t>Plazas fijas y especiales</a:t>
            </a:r>
          </a:p>
        </c:rich>
      </c:tx>
      <c:overlay val="0"/>
    </c:title>
    <c:autoTitleDeleted val="0"/>
    <c:plotArea>
      <c:layout/>
      <c:barChart>
        <c:barDir val="col"/>
        <c:grouping val="clustered"/>
        <c:varyColors val="1"/>
        <c:ser>
          <c:idx val="0"/>
          <c:order val="0"/>
          <c:spPr>
            <a:solidFill>
              <a:srgbClr val="666699"/>
            </a:solidFill>
          </c:spPr>
          <c:invertIfNegative val="1"/>
          <c:cat>
            <c:strRef>
              <c:f>'Cuadro 2 RH'!$A$26:$A$27</c:f>
              <c:strCache>
                <c:ptCount val="2"/>
                <c:pt idx="0">
                  <c:v>Plazas en sueldos para cargos fijos</c:v>
                </c:pt>
                <c:pt idx="1">
                  <c:v>Plazas en servicios especiales</c:v>
                </c:pt>
              </c:strCache>
            </c:strRef>
          </c:cat>
          <c:val>
            <c:numRef>
              <c:f>'Cuadro 2 RH'!$C$26:$C$27</c:f>
              <c:numCache>
                <c:formatCode>General</c:formatCode>
                <c:ptCount val="2"/>
                <c:pt idx="0">
                  <c:v>620</c:v>
                </c:pt>
                <c:pt idx="1">
                  <c:v>19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38E-4F84-85EB-73F65D69D809}"/>
            </c:ext>
          </c:extLst>
        </c:ser>
        <c:dLbls>
          <c:showLegendKey val="0"/>
          <c:showVal val="0"/>
          <c:showCatName val="0"/>
          <c:showSerName val="0"/>
          <c:showPercent val="0"/>
          <c:showBubbleSize val="0"/>
        </c:dLbls>
        <c:gapWidth val="150"/>
        <c:axId val="303381400"/>
        <c:axId val="304601792"/>
      </c:barChart>
      <c:catAx>
        <c:axId val="303381400"/>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304601792"/>
        <c:crosses val="autoZero"/>
        <c:auto val="1"/>
        <c:lblAlgn val="ctr"/>
        <c:lblOffset val="100"/>
        <c:noMultiLvlLbl val="1"/>
      </c:catAx>
      <c:valAx>
        <c:axId val="3046017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30338140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000000"/>
                </a:solidFill>
                <a:latin typeface="+mn-lt"/>
              </a:defRPr>
            </a:pPr>
            <a:r>
              <a:rPr lang="es-CR" sz="1400" b="1" i="0">
                <a:solidFill>
                  <a:srgbClr val="000000"/>
                </a:solidFill>
                <a:latin typeface="+mn-lt"/>
              </a:rPr>
              <a:t>Plazas en procesos sustantivos y de apoyo</a:t>
            </a:r>
          </a:p>
        </c:rich>
      </c:tx>
      <c:overlay val="0"/>
    </c:title>
    <c:autoTitleDeleted val="0"/>
    <c:plotArea>
      <c:layout/>
      <c:barChart>
        <c:barDir val="col"/>
        <c:grouping val="clustered"/>
        <c:varyColors val="1"/>
        <c:ser>
          <c:idx val="0"/>
          <c:order val="0"/>
          <c:spPr>
            <a:solidFill>
              <a:srgbClr val="666699"/>
            </a:solidFill>
          </c:spPr>
          <c:invertIfNegative val="1"/>
          <c:cat>
            <c:strRef>
              <c:f>'Cuadro 2 RH'!$A$35:$A$36</c:f>
              <c:strCache>
                <c:ptCount val="2"/>
                <c:pt idx="0">
                  <c:v>Plazas en procesos sustantivos</c:v>
                </c:pt>
                <c:pt idx="1">
                  <c:v>Plazas en procesos de apoyo</c:v>
                </c:pt>
              </c:strCache>
            </c:strRef>
          </c:cat>
          <c:val>
            <c:numRef>
              <c:f>'Cuadro 2 RH'!$B$35:$B$36</c:f>
              <c:numCache>
                <c:formatCode>General</c:formatCode>
                <c:ptCount val="2"/>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6E4-4946-A011-0C3BD2FA7686}"/>
            </c:ext>
          </c:extLst>
        </c:ser>
        <c:ser>
          <c:idx val="1"/>
          <c:order val="1"/>
          <c:invertIfNegative val="1"/>
          <c:cat>
            <c:strRef>
              <c:f>'Cuadro 2 RH'!$A$35:$A$36</c:f>
              <c:strCache>
                <c:ptCount val="2"/>
                <c:pt idx="0">
                  <c:v>Plazas en procesos sustantivos</c:v>
                </c:pt>
                <c:pt idx="1">
                  <c:v>Plazas en procesos de apoyo</c:v>
                </c:pt>
              </c:strCache>
            </c:strRef>
          </c:cat>
          <c:val>
            <c:numRef>
              <c:f>'Cuadro 2 RH'!$C$35:$C$36</c:f>
              <c:numCache>
                <c:formatCode>General</c:formatCode>
                <c:ptCount val="2"/>
                <c:pt idx="0">
                  <c:v>406</c:v>
                </c:pt>
                <c:pt idx="1">
                  <c:v>233</c:v>
                </c:pt>
              </c:numCache>
            </c:numRef>
          </c:val>
          <c:extLst>
            <c:ext xmlns:c16="http://schemas.microsoft.com/office/drawing/2014/chart" uri="{C3380CC4-5D6E-409C-BE32-E72D297353CC}">
              <c16:uniqueId val="{00000001-16E4-4946-A011-0C3BD2FA7686}"/>
            </c:ext>
          </c:extLst>
        </c:ser>
        <c:dLbls>
          <c:showLegendKey val="0"/>
          <c:showVal val="0"/>
          <c:showCatName val="0"/>
          <c:showSerName val="0"/>
          <c:showPercent val="0"/>
          <c:showBubbleSize val="0"/>
        </c:dLbls>
        <c:gapWidth val="150"/>
        <c:axId val="304599440"/>
        <c:axId val="304599832"/>
      </c:barChart>
      <c:catAx>
        <c:axId val="304599440"/>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304599832"/>
        <c:crosses val="autoZero"/>
        <c:auto val="1"/>
        <c:lblAlgn val="ctr"/>
        <c:lblOffset val="100"/>
        <c:noMultiLvlLbl val="1"/>
      </c:catAx>
      <c:valAx>
        <c:axId val="3045998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30459944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000000"/>
                </a:solidFill>
                <a:latin typeface="+mn-lt"/>
              </a:defRPr>
            </a:pPr>
            <a:r>
              <a:rPr lang="es-CR" sz="1400" b="1" i="0">
                <a:solidFill>
                  <a:srgbClr val="000000"/>
                </a:solidFill>
                <a:latin typeface="+mn-lt"/>
              </a:rPr>
              <a:t>Plazas según estructura programática</a:t>
            </a:r>
          </a:p>
        </c:rich>
      </c:tx>
      <c:overlay val="0"/>
    </c:title>
    <c:autoTitleDeleted val="0"/>
    <c:plotArea>
      <c:layout/>
      <c:barChart>
        <c:barDir val="col"/>
        <c:grouping val="clustered"/>
        <c:varyColors val="1"/>
        <c:ser>
          <c:idx val="0"/>
          <c:order val="0"/>
          <c:spPr>
            <a:solidFill>
              <a:srgbClr val="969696"/>
            </a:solidFill>
          </c:spPr>
          <c:invertIfNegative val="1"/>
          <c:cat>
            <c:strRef>
              <c:f>'Cuadro 2 RH'!$A$45:$A$48</c:f>
              <c:strCache>
                <c:ptCount val="4"/>
                <c:pt idx="0">
                  <c:v>Programa I: Dirección y Administración General</c:v>
                </c:pt>
                <c:pt idx="1">
                  <c:v>Programa II: Servicios Comunitarios</c:v>
                </c:pt>
                <c:pt idx="2">
                  <c:v>Programa III: Inversiones</c:v>
                </c:pt>
                <c:pt idx="3">
                  <c:v>Programa IV: Partidas específicas</c:v>
                </c:pt>
              </c:strCache>
            </c:strRef>
          </c:cat>
          <c:val>
            <c:numRef>
              <c:f>'Cuadro 2 RH'!$C$45:$C$48</c:f>
              <c:numCache>
                <c:formatCode>General</c:formatCode>
                <c:ptCount val="4"/>
                <c:pt idx="0">
                  <c:v>233</c:v>
                </c:pt>
                <c:pt idx="1">
                  <c:v>297</c:v>
                </c:pt>
                <c:pt idx="2">
                  <c:v>109</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B76-4787-AEDA-E0C1EB8F9CE3}"/>
            </c:ext>
          </c:extLst>
        </c:ser>
        <c:dLbls>
          <c:showLegendKey val="0"/>
          <c:showVal val="0"/>
          <c:showCatName val="0"/>
          <c:showSerName val="0"/>
          <c:showPercent val="0"/>
          <c:showBubbleSize val="0"/>
        </c:dLbls>
        <c:gapWidth val="150"/>
        <c:axId val="304600224"/>
        <c:axId val="304602184"/>
      </c:barChart>
      <c:catAx>
        <c:axId val="304600224"/>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304602184"/>
        <c:crosses val="autoZero"/>
        <c:auto val="1"/>
        <c:lblAlgn val="ctr"/>
        <c:lblOffset val="100"/>
        <c:noMultiLvlLbl val="1"/>
      </c:catAx>
      <c:valAx>
        <c:axId val="304602184"/>
        <c:scaling>
          <c:orientation val="minMax"/>
          <c:min val="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3046002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114300</xdr:colOff>
      <xdr:row>22</xdr:row>
      <xdr:rowOff>142875</xdr:rowOff>
    </xdr:from>
    <xdr:ext cx="4924425" cy="1552575"/>
    <xdr:graphicFrame macro="">
      <xdr:nvGraphicFramePr>
        <xdr:cNvPr id="2" name="Chart 1" descr="Chart 0">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104775</xdr:colOff>
      <xdr:row>32</xdr:row>
      <xdr:rowOff>0</xdr:rowOff>
    </xdr:from>
    <xdr:ext cx="4924425" cy="1666875"/>
    <xdr:graphicFrame macro="">
      <xdr:nvGraphicFramePr>
        <xdr:cNvPr id="3" name="Chart 2" descr="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104775</xdr:colOff>
      <xdr:row>42</xdr:row>
      <xdr:rowOff>0</xdr:rowOff>
    </xdr:from>
    <xdr:ext cx="4943475" cy="2390775"/>
    <xdr:graphicFrame macro="">
      <xdr:nvGraphicFramePr>
        <xdr:cNvPr id="4" name="Chart 3" descr="Chart 2">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202021/Hacienda/secretar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1/ajustes%20contraloria/RESUM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202021/Hacienda/EXPRESION%20FINANCIERA%20PRESUP%20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202021/Hacienda/RESUM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202021/Hacienda/PROGRAM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202021/Hacienda/modelo_calculo_recursos_especifi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202021/Hacienda/anexo_guias_intern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1/ajustes%20contraloria/EXPRESION%20FINANCIERA%20PRESUP%20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1/ajustes%20contraloria/ESTIMACION%20REGRESION%20LINEAL%20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1/ajustes%20contraloria/PROGRA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 (2)"/>
      <sheetName val="Clasific. Económica de Ingr (3)"/>
      <sheetName val="GASTOS"/>
      <sheetName val="general (2)"/>
      <sheetName val="Egresos Programa I General (2)"/>
      <sheetName val="Egresos Programa II General (2)"/>
      <sheetName val="Egresos Programa III Genera (2)"/>
      <sheetName val="Origen y Aplicación"/>
      <sheetName val="Cuadro 2 RH"/>
      <sheetName val="cuadro 3 SA"/>
      <sheetName val="Cuadro 4 Deuda"/>
      <sheetName val="cuadro 6 Dietas"/>
      <sheetName val="Cuadro 7 Contribuciones Patrona"/>
      <sheetName val="Cuadro 8 Incentivos Salariales"/>
      <sheetName val="clasificador economico"/>
      <sheetName val="Calsificador Funcional"/>
      <sheetName val="Ingresos Plurianual"/>
      <sheetName val="Adjuntos de Ingresos"/>
      <sheetName val="GAstos Plurianuales"/>
      <sheetName val="Adjunto de GAstos "/>
      <sheetName val="Hoja28"/>
    </sheetNames>
    <sheetDataSet>
      <sheetData sheetId="0"/>
      <sheetData sheetId="1">
        <row r="16">
          <cell r="A16" t="str">
            <v>1.1.2.1.01.00.0.0.000</v>
          </cell>
          <cell r="C16">
            <v>7800000000</v>
          </cell>
        </row>
        <row r="17">
          <cell r="A17" t="str">
            <v>1.1.2.2.02.00.0.0.000</v>
          </cell>
          <cell r="C17">
            <v>0</v>
          </cell>
        </row>
        <row r="23">
          <cell r="A23" t="str">
            <v>1.1.3.2.01.02.0.0.001</v>
          </cell>
          <cell r="C23">
            <v>81244000</v>
          </cell>
        </row>
        <row r="24">
          <cell r="C24">
            <v>0</v>
          </cell>
        </row>
        <row r="25">
          <cell r="A25" t="str">
            <v>1.1.3.2.01.04.0.0.000</v>
          </cell>
        </row>
        <row r="26">
          <cell r="A26" t="str">
            <v>1.1.3.2.01.05.0.0.000</v>
          </cell>
          <cell r="C26">
            <v>800000000</v>
          </cell>
        </row>
        <row r="29">
          <cell r="A29" t="str">
            <v>1.1.3.2.02.09.0.0.000</v>
          </cell>
        </row>
        <row r="33">
          <cell r="A33" t="str">
            <v>1.1.3.3.01.01.0.0.000</v>
          </cell>
          <cell r="C33">
            <v>250000</v>
          </cell>
        </row>
        <row r="34">
          <cell r="A34" t="str">
            <v>1.1.3.3.01.02.0.0.000</v>
          </cell>
          <cell r="C34">
            <v>3800000000</v>
          </cell>
        </row>
        <row r="40">
          <cell r="A40" t="str">
            <v>1.1.9.1.01.00.0.0.000</v>
          </cell>
          <cell r="C40">
            <v>400000000</v>
          </cell>
        </row>
        <row r="41">
          <cell r="A41" t="str">
            <v>1.1.9.1.02.00.0.0.000</v>
          </cell>
          <cell r="C41">
            <v>98000000</v>
          </cell>
        </row>
        <row r="50">
          <cell r="A50" t="str">
            <v>1.3.1.1.05.00.0.0.000</v>
          </cell>
          <cell r="C50">
            <v>3400000000</v>
          </cell>
        </row>
        <row r="56">
          <cell r="A56" t="str">
            <v>1.3.1.2.04.01.1.0.000</v>
          </cell>
          <cell r="C56">
            <v>321848927.95999998</v>
          </cell>
        </row>
        <row r="57">
          <cell r="A57" t="str">
            <v>1.3.1.2.04.01.2.0.000</v>
          </cell>
          <cell r="C57">
            <v>0</v>
          </cell>
        </row>
        <row r="58">
          <cell r="A58" t="str">
            <v>1.3.1.2.04.09.0.0.000</v>
          </cell>
          <cell r="C58">
            <v>700000</v>
          </cell>
        </row>
        <row r="61">
          <cell r="A61" t="str">
            <v>1.3.1.2.05.01.1.0.000</v>
          </cell>
          <cell r="C61">
            <v>840000000</v>
          </cell>
        </row>
        <row r="62">
          <cell r="C62">
            <v>875000000</v>
          </cell>
        </row>
        <row r="63">
          <cell r="C63">
            <v>180000000</v>
          </cell>
        </row>
        <row r="64">
          <cell r="A64" t="str">
            <v>1.3.1.2.05.02.1.0.000</v>
          </cell>
        </row>
        <row r="67">
          <cell r="A67" t="str">
            <v>1.3.1.2.05.04.1.0.000</v>
          </cell>
          <cell r="C67">
            <v>3900000000</v>
          </cell>
        </row>
        <row r="68">
          <cell r="A68" t="str">
            <v>1.3.1.2.05.04.2.0.000</v>
          </cell>
          <cell r="C68">
            <v>804853463.96000004</v>
          </cell>
        </row>
        <row r="69">
          <cell r="A69" t="str">
            <v>1.3.1.2.05.04.4.0.000</v>
          </cell>
          <cell r="C69">
            <v>274482213.24000001</v>
          </cell>
        </row>
        <row r="70">
          <cell r="A70" t="str">
            <v>1.3.1.2.05.04.5.0.000</v>
          </cell>
          <cell r="C70">
            <v>20000000</v>
          </cell>
        </row>
        <row r="71">
          <cell r="A71" t="str">
            <v>1.3.1.2.05.09.9.0.000</v>
          </cell>
          <cell r="B71" t="str">
            <v>Venta de otros servicios comunitarios</v>
          </cell>
          <cell r="C71">
            <v>0</v>
          </cell>
        </row>
        <row r="73">
          <cell r="A73" t="str">
            <v>1.3.1.2.09.09.0.0.000</v>
          </cell>
          <cell r="C73">
            <v>10000000</v>
          </cell>
        </row>
        <row r="78">
          <cell r="A78" t="str">
            <v>1.3.1.3.01.01.1.0.000</v>
          </cell>
          <cell r="C78">
            <v>72000000</v>
          </cell>
        </row>
        <row r="81">
          <cell r="A81" t="str">
            <v>1.3.1.3.02.03.1.0.000</v>
          </cell>
          <cell r="C81">
            <v>5000000</v>
          </cell>
        </row>
        <row r="88">
          <cell r="A88" t="str">
            <v>1.3.2.3.01.06.0.0.000</v>
          </cell>
          <cell r="C88">
            <v>750000000</v>
          </cell>
        </row>
        <row r="95">
          <cell r="A95" t="str">
            <v>1.3.3.1.01.01.0.0.000</v>
          </cell>
          <cell r="C95">
            <v>127000000</v>
          </cell>
        </row>
        <row r="97">
          <cell r="A97" t="str">
            <v>1.3.3.1.02.01.0.0.000</v>
          </cell>
          <cell r="C97">
            <v>191100000</v>
          </cell>
        </row>
        <row r="98">
          <cell r="A98" t="str">
            <v>1.3.3.1.09.00.0.0.000</v>
          </cell>
          <cell r="C98">
            <v>141812576.22</v>
          </cell>
        </row>
        <row r="103">
          <cell r="A103" t="str">
            <v>1.3.4.1.00.00.0.0.000</v>
          </cell>
          <cell r="C103">
            <v>475000000</v>
          </cell>
        </row>
        <row r="110">
          <cell r="A110" t="str">
            <v>1.4.1.2.01.00.0.0.000</v>
          </cell>
          <cell r="C110">
            <v>103200000</v>
          </cell>
        </row>
        <row r="111">
          <cell r="A111" t="str">
            <v>1.4.1.2.02,00.0.0.000</v>
          </cell>
          <cell r="B111" t="str">
            <v>Programas comites cantonales de la Persona Joven</v>
          </cell>
          <cell r="C111">
            <v>0</v>
          </cell>
        </row>
        <row r="113">
          <cell r="A113" t="str">
            <v>1.4.1.3.01.00.0.0.000</v>
          </cell>
          <cell r="C113">
            <v>68648573.450000003</v>
          </cell>
        </row>
        <row r="121">
          <cell r="A121" t="str">
            <v>2.1.2.1.01.00.0.0.000</v>
          </cell>
          <cell r="C121">
            <v>0</v>
          </cell>
        </row>
        <row r="126">
          <cell r="A126" t="str">
            <v>2.2.1.1.00.00.0.0.000</v>
          </cell>
          <cell r="C126">
            <v>3000000</v>
          </cell>
        </row>
        <row r="133">
          <cell r="A133" t="str">
            <v>2.4.1.1.01.00.0.0.000</v>
          </cell>
          <cell r="C133">
            <v>1073302108</v>
          </cell>
        </row>
        <row r="134">
          <cell r="A134" t="str">
            <v>2.4.1.1.02.00.0.0.000</v>
          </cell>
          <cell r="B134" t="str">
            <v>Ley 8316 Fondo de Alcantarillados</v>
          </cell>
          <cell r="C134">
            <v>300000000</v>
          </cell>
        </row>
        <row r="137">
          <cell r="A137" t="str">
            <v>2.4.1.2.01.00.0.0.001</v>
          </cell>
          <cell r="B137" t="str">
            <v>Fondo de Desarrollo Social y Asignaciones Familiares</v>
          </cell>
          <cell r="C137">
            <v>0</v>
          </cell>
        </row>
        <row r="141">
          <cell r="A141" t="str">
            <v>2.4.1.3.01.00.0.0.001</v>
          </cell>
          <cell r="C141">
            <v>23979905.52</v>
          </cell>
        </row>
        <row r="147">
          <cell r="A147" t="str">
            <v>2,4.3,1,00,00,0,0,001</v>
          </cell>
          <cell r="B147" t="str">
            <v>Aporte de Cooperación Alemana</v>
          </cell>
          <cell r="C147">
            <v>0</v>
          </cell>
        </row>
        <row r="153">
          <cell r="A153" t="str">
            <v>3.1.1.6.01.00.0.0.000</v>
          </cell>
          <cell r="B153" t="str">
            <v xml:space="preserve">Banco Popular </v>
          </cell>
          <cell r="C153">
            <v>0</v>
          </cell>
        </row>
        <row r="156">
          <cell r="A156" t="str">
            <v>3.3.1.0.00.00.0.0.000</v>
          </cell>
          <cell r="B156" t="str">
            <v>Superavit Libre</v>
          </cell>
          <cell r="C156">
            <v>1672200626.6700001</v>
          </cell>
        </row>
        <row r="158">
          <cell r="B158" t="str">
            <v>Seperavit especificico</v>
          </cell>
        </row>
        <row r="159">
          <cell r="A159" t="str">
            <v>3.3.2.0.00.00.0.0.004</v>
          </cell>
          <cell r="B159" t="str">
            <v>Servicio de Recolección de Basura</v>
          </cell>
          <cell r="C159">
            <v>598000000</v>
          </cell>
        </row>
        <row r="160">
          <cell r="B160" t="str">
            <v>Bienes Inmuebles</v>
          </cell>
          <cell r="C160">
            <v>2260300000</v>
          </cell>
        </row>
        <row r="163">
          <cell r="D163">
            <v>31482922395.019997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I"/>
      <sheetName val="AUDITORIA"/>
      <sheetName val="Prog II"/>
      <sheetName val="II-7"/>
      <sheetName val="II-09"/>
      <sheetName val="II-10"/>
      <sheetName val="II-11"/>
      <sheetName val="II-23"/>
      <sheetName val="II-25"/>
      <sheetName val="II-30"/>
      <sheetName val="Prog III"/>
      <sheetName val="Edificio"/>
      <sheetName val="Vias de Comunicación"/>
      <sheetName val="III-02-01"/>
      <sheetName val="III-02-02"/>
      <sheetName val="III-02-03"/>
      <sheetName val="Instalaciones "/>
      <sheetName val="Otros Proyectos"/>
      <sheetName val="III-06-01"/>
      <sheetName val="Remuneraciones"/>
    </sheetNames>
    <sheetDataSet>
      <sheetData sheetId="0">
        <row r="4">
          <cell r="AM4">
            <v>400000000</v>
          </cell>
        </row>
        <row r="148">
          <cell r="AJ148">
            <v>30000000</v>
          </cell>
        </row>
      </sheetData>
      <sheetData sheetId="1">
        <row r="16">
          <cell r="C16">
            <v>350000</v>
          </cell>
        </row>
      </sheetData>
      <sheetData sheetId="2">
        <row r="4">
          <cell r="F4">
            <v>2500000</v>
          </cell>
        </row>
      </sheetData>
      <sheetData sheetId="3"/>
      <sheetData sheetId="4"/>
      <sheetData sheetId="5"/>
      <sheetData sheetId="6"/>
      <sheetData sheetId="7"/>
      <sheetData sheetId="8"/>
      <sheetData sheetId="9">
        <row r="180">
          <cell r="D180">
            <v>300000000</v>
          </cell>
        </row>
      </sheetData>
      <sheetData sheetId="10">
        <row r="4">
          <cell r="H4">
            <v>0</v>
          </cell>
        </row>
      </sheetData>
      <sheetData sheetId="11">
        <row r="1">
          <cell r="C1" t="str">
            <v>Terminal FECOSA</v>
          </cell>
        </row>
      </sheetData>
      <sheetData sheetId="12">
        <row r="1">
          <cell r="C1" t="str">
            <v>Unidad Tecnica de Gestión Vial</v>
          </cell>
        </row>
      </sheetData>
      <sheetData sheetId="13">
        <row r="180">
          <cell r="D180">
            <v>0</v>
          </cell>
        </row>
      </sheetData>
      <sheetData sheetId="14"/>
      <sheetData sheetId="15"/>
      <sheetData sheetId="16">
        <row r="1">
          <cell r="C1" t="str">
            <v>Ley 8316 Mejoras Pluviales Las Vueltas, Guacima</v>
          </cell>
        </row>
      </sheetData>
      <sheetData sheetId="17">
        <row r="1">
          <cell r="C1" t="str">
            <v>Dierección Técnica y Estudio</v>
          </cell>
        </row>
      </sheetData>
      <sheetData sheetId="18"/>
      <sheetData sheetId="19">
        <row r="5">
          <cell r="C5">
            <v>1452250800</v>
          </cell>
        </row>
        <row r="38">
          <cell r="AB3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esos"/>
      <sheetName val="JUSTIFICACION"/>
      <sheetName val="Detalle General de Egresos"/>
      <sheetName val="ProgramaI"/>
      <sheetName val="Programa II"/>
      <sheetName val="Programa III"/>
      <sheetName val="Egresos Programa I General"/>
      <sheetName val="Egresos Programa II General"/>
      <sheetName val="Egresos Programa III General"/>
      <sheetName val="INGRESOS LIBRES DETALLE Nº17"/>
      <sheetName val="RELACION INGRESO GASTO DET.15"/>
      <sheetName val="INGRESOS FIN ESPECIFICO DET.13"/>
      <sheetName val="Origen y Aplicación"/>
      <sheetName val="RELACION ING-GASTO SERV"/>
      <sheetName val="DEUDA INTERNA"/>
    </sheetNames>
    <sheetDataSet>
      <sheetData sheetId="0">
        <row r="50">
          <cell r="C50">
            <v>3400000000</v>
          </cell>
        </row>
      </sheetData>
      <sheetData sheetId="1"/>
      <sheetData sheetId="2">
        <row r="7">
          <cell r="E7">
            <v>31482922395.009712</v>
          </cell>
        </row>
        <row r="11">
          <cell r="E11">
            <v>8661522706.1815987</v>
          </cell>
        </row>
        <row r="13">
          <cell r="E13">
            <v>1252993571.4100001</v>
          </cell>
        </row>
        <row r="15">
          <cell r="E15">
            <v>279705157.72000003</v>
          </cell>
        </row>
        <row r="17">
          <cell r="E17">
            <v>6893638168.0600004</v>
          </cell>
        </row>
        <row r="23">
          <cell r="E23">
            <v>452358635.42000002</v>
          </cell>
        </row>
      </sheetData>
      <sheetData sheetId="3">
        <row r="18">
          <cell r="E18">
            <v>2552967567.2239904</v>
          </cell>
        </row>
        <row r="24">
          <cell r="B24" t="str">
            <v>Aporte Junta Admva.Registro Nac. Ley 7509y 7729</v>
          </cell>
        </row>
        <row r="25">
          <cell r="B25" t="str">
            <v>CONAGEBIO (10% de la Ley 7788)</v>
          </cell>
          <cell r="E25">
            <v>9800000</v>
          </cell>
        </row>
        <row r="26">
          <cell r="B26" t="str">
            <v>Fondo para Parques Nacionales</v>
          </cell>
          <cell r="E26">
            <v>61740000</v>
          </cell>
        </row>
        <row r="27">
          <cell r="B27" t="str">
            <v>Consejo Nacionala de Personas con Discapacidad</v>
          </cell>
          <cell r="E27">
            <v>129395598.30174999</v>
          </cell>
        </row>
        <row r="29">
          <cell r="B29" t="str">
            <v xml:space="preserve">Aporte a IFAM, Ley Nº 7509 </v>
          </cell>
        </row>
        <row r="30">
          <cell r="B30" t="str">
            <v>Juntas de Educación, Ley 7509 y 7729</v>
          </cell>
        </row>
        <row r="32">
          <cell r="B32" t="str">
            <v xml:space="preserve">Comité Cantonal Deportes y Recreación </v>
          </cell>
          <cell r="E32">
            <v>776373589.81049991</v>
          </cell>
        </row>
        <row r="33">
          <cell r="E33">
            <v>77637358.98105</v>
          </cell>
        </row>
        <row r="34">
          <cell r="B34" t="str">
            <v>Unión Nacional de Gobiernos Locales</v>
          </cell>
          <cell r="E34">
            <v>35000000</v>
          </cell>
        </row>
        <row r="38">
          <cell r="B38" t="str">
            <v>Otras Transferencias a Personas</v>
          </cell>
        </row>
        <row r="45">
          <cell r="B45" t="str">
            <v>Asociación para la Atención Integral de Pacientes con Cancer</v>
          </cell>
        </row>
        <row r="49">
          <cell r="B49" t="str">
            <v>Reintegros o devoluciones</v>
          </cell>
          <cell r="E49">
            <v>30000000</v>
          </cell>
        </row>
      </sheetData>
      <sheetData sheetId="4"/>
      <sheetData sheetId="5">
        <row r="27">
          <cell r="E27">
            <v>0</v>
          </cell>
        </row>
        <row r="29">
          <cell r="B29" t="str">
            <v>Transferencias de Capital al Gobierno Central</v>
          </cell>
        </row>
        <row r="33">
          <cell r="B33" t="str">
            <v>IFAM Ley 7509</v>
          </cell>
        </row>
        <row r="36">
          <cell r="B36" t="str">
            <v>Fondo de Desarrollo Municipal Ley 7509</v>
          </cell>
        </row>
      </sheetData>
      <sheetData sheetId="6">
        <row r="8">
          <cell r="E8">
            <v>7385831206.7503338</v>
          </cell>
        </row>
        <row r="10">
          <cell r="E10">
            <v>391459540.66210365</v>
          </cell>
        </row>
        <row r="12">
          <cell r="E12">
            <v>266725000</v>
          </cell>
        </row>
        <row r="16">
          <cell r="E16">
            <v>10144962294.505737</v>
          </cell>
        </row>
      </sheetData>
      <sheetData sheetId="7">
        <row r="11">
          <cell r="B11" t="str">
            <v>Aseo de Vías y Sitios Públicos</v>
          </cell>
          <cell r="C11">
            <v>724368117.56048346</v>
          </cell>
        </row>
        <row r="13">
          <cell r="B13" t="str">
            <v>Recolección de Basuras</v>
          </cell>
          <cell r="C13">
            <v>3715778663.041574</v>
          </cell>
        </row>
        <row r="15">
          <cell r="B15" t="str">
            <v>Parques Obras de Ornato</v>
          </cell>
          <cell r="C15">
            <v>247033991.91791552</v>
          </cell>
        </row>
        <row r="17">
          <cell r="C17">
            <v>2367101892.0599918</v>
          </cell>
        </row>
        <row r="19">
          <cell r="B19" t="str">
            <v>Mercados, Plazas y Ferias</v>
          </cell>
          <cell r="C19">
            <v>332913870.98599732</v>
          </cell>
        </row>
        <row r="21">
          <cell r="B21" t="str">
            <v>Educativos, Culturales y Deportivos</v>
          </cell>
        </row>
        <row r="23">
          <cell r="B23" t="str">
            <v>Servicios Sociales Complementarios</v>
          </cell>
        </row>
        <row r="25">
          <cell r="B25" t="str">
            <v>Estacionamientos y Terminales</v>
          </cell>
          <cell r="C25">
            <v>236281778.7913734</v>
          </cell>
        </row>
        <row r="27">
          <cell r="B27" t="str">
            <v>Alcantarillados Sanitarios</v>
          </cell>
          <cell r="C27">
            <v>564650713.45450699</v>
          </cell>
        </row>
        <row r="29">
          <cell r="B29" t="str">
            <v>Reparaciones Menores de Maquinaria y Equipo</v>
          </cell>
        </row>
        <row r="31">
          <cell r="B31" t="str">
            <v>Seguridad Vial</v>
          </cell>
        </row>
        <row r="33">
          <cell r="B33" t="str">
            <v>Seguridad y Vigilancia en la Comunidad</v>
          </cell>
        </row>
        <row r="35">
          <cell r="B35" t="str">
            <v>Protección del Medio Ambiente</v>
          </cell>
          <cell r="C35">
            <v>192969039.62040126</v>
          </cell>
        </row>
        <row r="39">
          <cell r="B39" t="str">
            <v>Atención Emergencias Cantonales</v>
          </cell>
        </row>
        <row r="41">
          <cell r="B41" t="str">
            <v>Por incumplimiento de Deberes de los Propietarios BI</v>
          </cell>
          <cell r="C41">
            <v>129105052.54713537</v>
          </cell>
        </row>
        <row r="43">
          <cell r="B43" t="str">
            <v>Alcantarillado Pluvial</v>
          </cell>
          <cell r="C43">
            <v>1087499999.9951384</v>
          </cell>
        </row>
        <row r="45">
          <cell r="B45" t="str">
            <v>Aporte en Especie para Servicios Y Proyectos Comunitarios</v>
          </cell>
        </row>
        <row r="46">
          <cell r="C46">
            <v>11149939732.366833</v>
          </cell>
        </row>
      </sheetData>
      <sheetData sheetId="8">
        <row r="13">
          <cell r="B13" t="str">
            <v>Terminal FECOSA</v>
          </cell>
        </row>
        <row r="14">
          <cell r="B14" t="str">
            <v>Construcción de comedor Escuela Rafael Alberto Luna Herrera</v>
          </cell>
          <cell r="C14">
            <v>0</v>
          </cell>
        </row>
        <row r="15">
          <cell r="B15" t="str">
            <v>Mejoras en Cancha Multiusos Lote Murillo</v>
          </cell>
          <cell r="C15">
            <v>0</v>
          </cell>
        </row>
        <row r="16">
          <cell r="B16" t="str">
            <v>Construcción de gimnasio multiuso de Occidente, II Etapa</v>
          </cell>
          <cell r="C16">
            <v>0</v>
          </cell>
        </row>
        <row r="17">
          <cell r="B17" t="str">
            <v>Construcción de Salón Multiusos en Urbanización Las Abras</v>
          </cell>
          <cell r="C17">
            <v>0</v>
          </cell>
        </row>
        <row r="18">
          <cell r="B18" t="str">
            <v>Construcción salón comunal Urbanización San Gerardo, III Etapa</v>
          </cell>
          <cell r="C18">
            <v>0</v>
          </cell>
        </row>
        <row r="19">
          <cell r="B19" t="str">
            <v xml:space="preserve">Mejoras Infraestructura de la Escuela Luis Demetrio Tinoco </v>
          </cell>
          <cell r="C19">
            <v>0</v>
          </cell>
        </row>
        <row r="20">
          <cell r="B20" t="str">
            <v>Remodelación del Gimnasio Invu Las Cañas 2</v>
          </cell>
          <cell r="C20">
            <v>0</v>
          </cell>
        </row>
        <row r="21">
          <cell r="B21" t="str">
            <v xml:space="preserve"> Construcción de gimnasio multiuso de Occidente</v>
          </cell>
          <cell r="C21">
            <v>0</v>
          </cell>
        </row>
        <row r="22">
          <cell r="B22" t="str">
            <v>Salón Multiuso en Urbanización La Perla del Distrito de San Rafael</v>
          </cell>
          <cell r="C22">
            <v>0</v>
          </cell>
        </row>
        <row r="23">
          <cell r="B23" t="str">
            <v>Construcción Salón Comunal Urbanización Las Abras Distrito de San Rafael</v>
          </cell>
          <cell r="C23">
            <v>0</v>
          </cell>
        </row>
        <row r="24">
          <cell r="B24" t="str">
            <v>Construcción Salón multiuso Urbanización San Gerardo, Distrito de San Rafael</v>
          </cell>
          <cell r="C24">
            <v>0</v>
          </cell>
        </row>
        <row r="25">
          <cell r="B25" t="str">
            <v>Construcción Centro de Cuidados Paliativos de San Rafael de Alajuela</v>
          </cell>
          <cell r="C25">
            <v>0</v>
          </cell>
        </row>
        <row r="41">
          <cell r="C41">
            <v>967679105.55723786</v>
          </cell>
        </row>
        <row r="42">
          <cell r="B42" t="str">
            <v>Mantenimeiento Rutinario de la Red Vial Cantonal</v>
          </cell>
          <cell r="C42">
            <v>0</v>
          </cell>
        </row>
        <row r="43">
          <cell r="C43">
            <v>1303302108</v>
          </cell>
        </row>
        <row r="44">
          <cell r="B44" t="str">
            <v>Rampas de Accesibilidad Universales</v>
          </cell>
          <cell r="C44">
            <v>0</v>
          </cell>
        </row>
        <row r="45">
          <cell r="B45" t="str">
            <v>Mejoras y asfaltado de Comunidad Calle Rojas</v>
          </cell>
          <cell r="C45">
            <v>0</v>
          </cell>
        </row>
        <row r="46">
          <cell r="B46" t="str">
            <v>Carpeta Asfaltica en Urbanización las Melisas</v>
          </cell>
          <cell r="C46">
            <v>0</v>
          </cell>
        </row>
        <row r="69">
          <cell r="B69" t="str">
            <v>Ley 8316 Mejoras Pluviales Las Vueltas, Guacima</v>
          </cell>
          <cell r="C69">
            <v>0</v>
          </cell>
        </row>
        <row r="70">
          <cell r="B70" t="str">
            <v>Mejoras en la Infraestructura de la Calle Puente Negro a Pavas de Carrizal</v>
          </cell>
          <cell r="C70">
            <v>0</v>
          </cell>
        </row>
        <row r="71">
          <cell r="B71" t="str">
            <v>Mejoramiento Pluvial en San Rafael</v>
          </cell>
          <cell r="C71">
            <v>1200000000</v>
          </cell>
        </row>
        <row r="72">
          <cell r="B72" t="str">
            <v>Mejoras Pluviales la Guacima Centro-Las vueltas</v>
          </cell>
          <cell r="C72">
            <v>320656250</v>
          </cell>
        </row>
        <row r="73">
          <cell r="B73" t="str">
            <v>Mejoramiento Pluvial el Coyol</v>
          </cell>
          <cell r="C73">
            <v>0</v>
          </cell>
        </row>
        <row r="74">
          <cell r="B74" t="str">
            <v>Mejoramiento Pluvial Imas 2</v>
          </cell>
          <cell r="C74">
            <v>0</v>
          </cell>
        </row>
        <row r="76">
          <cell r="B76" t="str">
            <v>Plan Reforestación</v>
          </cell>
          <cell r="C76">
            <v>0</v>
          </cell>
        </row>
        <row r="77">
          <cell r="B77" t="str">
            <v>Protección de Nciemntes</v>
          </cell>
          <cell r="C77">
            <v>0</v>
          </cell>
        </row>
        <row r="78">
          <cell r="B78" t="str">
            <v>Mejoras Sistema Tuetal Norte Sur y Calle Loria</v>
          </cell>
          <cell r="C78">
            <v>0</v>
          </cell>
        </row>
        <row r="79">
          <cell r="B79" t="str">
            <v>Plan Operación Mantenimiento y Des.Sistema de Acueducto 2018-2022</v>
          </cell>
          <cell r="C79">
            <v>857898107.94000006</v>
          </cell>
        </row>
        <row r="80">
          <cell r="B80" t="str">
            <v>Plan Operación Mantenimiento y Desarrollo del Sistema de Recolección y Tratamiemto de Aguas Residuales</v>
          </cell>
          <cell r="C80">
            <v>191349286.55000001</v>
          </cell>
        </row>
        <row r="97">
          <cell r="B97" t="str">
            <v>Dierección Técnica y Estudio</v>
          </cell>
          <cell r="C97">
            <v>2081561855.7995102</v>
          </cell>
        </row>
        <row r="98">
          <cell r="B98" t="str">
            <v>Catastro Multifinalitario</v>
          </cell>
          <cell r="C98">
            <v>140851690.66039291</v>
          </cell>
        </row>
        <row r="99">
          <cell r="B99" t="str">
            <v>Plan Mercadeo Turistico de Alajuela</v>
          </cell>
          <cell r="C99">
            <v>0</v>
          </cell>
        </row>
        <row r="100">
          <cell r="B100" t="str">
            <v>Implementación del Plan Municipal para la Gestión Integral de Residuos Sólidos</v>
          </cell>
          <cell r="C100">
            <v>392221336.96000004</v>
          </cell>
        </row>
        <row r="101">
          <cell r="B101" t="str">
            <v>Alajuela Ciudad Segura</v>
          </cell>
          <cell r="C101">
            <v>236793600</v>
          </cell>
        </row>
        <row r="102">
          <cell r="B102" t="str">
            <v>Plan de Desarrollo Informático</v>
          </cell>
        </row>
        <row r="103">
          <cell r="B103" t="str">
            <v>Mejoras Parques de Urbanización Doña Rosa</v>
          </cell>
          <cell r="C103">
            <v>0</v>
          </cell>
        </row>
        <row r="104">
          <cell r="B104" t="str">
            <v>Mejoras Infraestructura Parque de la Garita</v>
          </cell>
          <cell r="C104">
            <v>0</v>
          </cell>
        </row>
        <row r="105">
          <cell r="B105" t="str">
            <v xml:space="preserve">Techado Areas de Juegos de la Escuela Luis Demetrio Tinoco </v>
          </cell>
        </row>
        <row r="106">
          <cell r="B106" t="str">
            <v>Mejora áreas recreativas Urbanización Silvia Eugenia</v>
          </cell>
          <cell r="C106">
            <v>0</v>
          </cell>
        </row>
        <row r="107">
          <cell r="B107" t="str">
            <v>Compra de Terreno para Salón Comunal Río Segundo</v>
          </cell>
          <cell r="C107">
            <v>0</v>
          </cell>
        </row>
        <row r="108">
          <cell r="B108" t="str">
            <v>Equipamiento parque infantil urbanización Sacramento</v>
          </cell>
          <cell r="C108">
            <v>0</v>
          </cell>
        </row>
        <row r="109">
          <cell r="B109" t="str">
            <v xml:space="preserve"> Mejoras en la cancha multiuso de la Urbanización María Auxiliadora, Distrito de San Rafael</v>
          </cell>
          <cell r="C109">
            <v>0</v>
          </cell>
        </row>
        <row r="110">
          <cell r="B110" t="str">
            <v xml:space="preserve"> Mejoramiento plaza de deportes INVU Las Cañas de Desamparado</v>
          </cell>
          <cell r="C110">
            <v>0</v>
          </cell>
        </row>
        <row r="111">
          <cell r="B111" t="str">
            <v>Mejoras infraestructura en cancha de futbol de la Urbanización Gregorio José Ramírez, Montecillos</v>
          </cell>
          <cell r="C111">
            <v>0</v>
          </cell>
        </row>
        <row r="112">
          <cell r="B112" t="str">
            <v>III-06-16</v>
          </cell>
          <cell r="C112">
            <v>0</v>
          </cell>
        </row>
        <row r="113">
          <cell r="B113" t="str">
            <v>III-06-17</v>
          </cell>
          <cell r="C113">
            <v>0</v>
          </cell>
        </row>
        <row r="114">
          <cell r="B114" t="str">
            <v>III-06-18</v>
          </cell>
        </row>
      </sheetData>
      <sheetData sheetId="9">
        <row r="13">
          <cell r="E13">
            <v>0</v>
          </cell>
        </row>
        <row r="16">
          <cell r="E16">
            <v>38119835.82</v>
          </cell>
        </row>
        <row r="17">
          <cell r="E17">
            <v>207295174.15000001</v>
          </cell>
        </row>
        <row r="18">
          <cell r="E18">
            <v>444384322.54999995</v>
          </cell>
        </row>
        <row r="19">
          <cell r="E19">
            <v>171481778.78999999</v>
          </cell>
        </row>
        <row r="21">
          <cell r="E21">
            <v>52464227.530000001</v>
          </cell>
        </row>
        <row r="22">
          <cell r="E22">
            <v>203760970.06</v>
          </cell>
        </row>
        <row r="23">
          <cell r="E23">
            <v>356410935.43000001</v>
          </cell>
        </row>
        <row r="24">
          <cell r="E24">
            <v>166509039.62</v>
          </cell>
        </row>
        <row r="26">
          <cell r="E26">
            <v>57720982.670000002</v>
          </cell>
        </row>
        <row r="27">
          <cell r="E27">
            <v>19780000</v>
          </cell>
        </row>
        <row r="28">
          <cell r="E28">
            <v>0</v>
          </cell>
        </row>
        <row r="63">
          <cell r="H63">
            <v>18000000</v>
          </cell>
        </row>
        <row r="124">
          <cell r="H124">
            <v>12000000</v>
          </cell>
        </row>
        <row r="132">
          <cell r="H132">
            <v>3791703736.8699999</v>
          </cell>
        </row>
      </sheetData>
      <sheetData sheetId="10">
        <row r="15">
          <cell r="I15">
            <v>780000000</v>
          </cell>
        </row>
        <row r="18">
          <cell r="I18">
            <v>117000000</v>
          </cell>
        </row>
        <row r="21">
          <cell r="I21">
            <v>39000000</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I"/>
      <sheetName val="AUDITORIA"/>
      <sheetName val="Prog II"/>
      <sheetName val="II-7"/>
      <sheetName val="II-09"/>
      <sheetName val="II-10"/>
      <sheetName val="II-11"/>
      <sheetName val="II-23"/>
      <sheetName val="II-25"/>
      <sheetName val="II-30"/>
      <sheetName val="Prog III"/>
      <sheetName val="Edificio"/>
      <sheetName val="Vias de Comunicación"/>
      <sheetName val="III-02-01"/>
      <sheetName val="III-02-02"/>
      <sheetName val="III-02-03"/>
      <sheetName val="Instalaciones "/>
      <sheetName val="Otros Proyectos"/>
      <sheetName val="III-06-01"/>
      <sheetName val="Remuneraciones"/>
    </sheetNames>
    <sheetDataSet>
      <sheetData sheetId="0"/>
      <sheetData sheetId="1"/>
      <sheetData sheetId="2"/>
      <sheetData sheetId="3"/>
      <sheetData sheetId="4"/>
      <sheetData sheetId="5"/>
      <sheetData sheetId="6"/>
      <sheetData sheetId="7"/>
      <sheetData sheetId="8"/>
      <sheetData sheetId="9">
        <row r="180">
          <cell r="D180">
            <v>300000000</v>
          </cell>
        </row>
      </sheetData>
      <sheetData sheetId="10">
        <row r="161">
          <cell r="G161">
            <v>0</v>
          </cell>
        </row>
      </sheetData>
      <sheetData sheetId="11"/>
      <sheetData sheetId="12"/>
      <sheetData sheetId="13">
        <row r="180">
          <cell r="D180">
            <v>0</v>
          </cell>
        </row>
      </sheetData>
      <sheetData sheetId="14"/>
      <sheetData sheetId="15"/>
      <sheetData sheetId="16"/>
      <sheetData sheetId="17"/>
      <sheetData sheetId="18"/>
      <sheetData sheetId="19">
        <row r="4">
          <cell r="AE4">
            <v>4498636365.7799997</v>
          </cell>
        </row>
        <row r="9">
          <cell r="AE9">
            <v>850251451.61000001</v>
          </cell>
        </row>
        <row r="13">
          <cell r="AE13">
            <v>550504151.61000001</v>
          </cell>
        </row>
        <row r="14">
          <cell r="AE14">
            <v>3816315927.6557207</v>
          </cell>
        </row>
        <row r="17">
          <cell r="AE17">
            <v>662666752.71571982</v>
          </cell>
        </row>
        <row r="38">
          <cell r="AB38">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economico"/>
      <sheetName val="general"/>
      <sheetName val="PRG1"/>
      <sheetName val="Auditoría"/>
      <sheetName val="PRG2"/>
      <sheetName val="PROG3"/>
      <sheetName val="PRG2-1"/>
      <sheetName val="PRG2-2"/>
      <sheetName val="PRG2-5"/>
      <sheetName val="PRG2-6"/>
      <sheetName val="PRG2-7"/>
      <sheetName val="PRG2-9"/>
      <sheetName val="PRG2-10"/>
      <sheetName val="PRG2-11"/>
      <sheetName val="PRG2-13"/>
      <sheetName val="PRG2-18"/>
      <sheetName val="PGR2-22"/>
      <sheetName val="PRG2-23"/>
      <sheetName val="PRG2-25"/>
      <sheetName val="PRG2-27"/>
      <sheetName val="PRG2-28"/>
      <sheetName val="PRG2-29"/>
      <sheetName val="PRG2-30"/>
      <sheetName val="PRG2-31"/>
      <sheetName val="PRG3-"/>
      <sheetName val="III-02-01"/>
      <sheetName val="III-06-01"/>
      <sheetName val="III-06-02"/>
    </sheetNames>
    <sheetDataSet>
      <sheetData sheetId="0">
        <row r="2">
          <cell r="C2">
            <v>22562608596.219711</v>
          </cell>
        </row>
        <row r="16">
          <cell r="C16">
            <v>8467955163.3700008</v>
          </cell>
        </row>
      </sheetData>
      <sheetData sheetId="1"/>
      <sheetData sheetId="2"/>
      <sheetData sheetId="3"/>
      <sheetData sheetId="4"/>
      <sheetData sheetId="5"/>
      <sheetData sheetId="6">
        <row r="137">
          <cell r="H137">
            <v>1870000</v>
          </cell>
        </row>
      </sheetData>
      <sheetData sheetId="7">
        <row r="137">
          <cell r="H137">
            <v>5827783.3899999997</v>
          </cell>
        </row>
      </sheetData>
      <sheetData sheetId="8">
        <row r="137">
          <cell r="H137">
            <v>2000000</v>
          </cell>
        </row>
      </sheetData>
      <sheetData sheetId="9">
        <row r="137">
          <cell r="H137">
            <v>363000000</v>
          </cell>
        </row>
      </sheetData>
      <sheetData sheetId="10">
        <row r="137">
          <cell r="H137">
            <v>4600000</v>
          </cell>
        </row>
      </sheetData>
      <sheetData sheetId="11"/>
      <sheetData sheetId="12"/>
      <sheetData sheetId="13">
        <row r="137">
          <cell r="H137">
            <v>400000</v>
          </cell>
        </row>
      </sheetData>
      <sheetData sheetId="14">
        <row r="137">
          <cell r="H137">
            <v>0</v>
          </cell>
        </row>
      </sheetData>
      <sheetData sheetId="15"/>
      <sheetData sheetId="16"/>
      <sheetData sheetId="17"/>
      <sheetData sheetId="18"/>
      <sheetData sheetId="19"/>
      <sheetData sheetId="20"/>
      <sheetData sheetId="21"/>
      <sheetData sheetId="22">
        <row r="137">
          <cell r="H137">
            <v>12500000</v>
          </cell>
        </row>
      </sheetData>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ECIF."/>
      <sheetName val="OTROS CALC."/>
    </sheetNames>
    <sheetDataSet>
      <sheetData sheetId="0">
        <row r="80">
          <cell r="F80">
            <v>31482922395.019997</v>
          </cell>
        </row>
      </sheetData>
      <sheetData sheetId="1">
        <row r="50">
          <cell r="C50">
            <v>26976243604.169998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s>
    <sheetDataSet>
      <sheetData sheetId="0">
        <row r="2">
          <cell r="A2" t="str">
            <v>MUNICIPALIDAD DE ALAJUELA</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esos"/>
      <sheetName val="JUSTIFICACION"/>
      <sheetName val="Detalle General de Egresos"/>
      <sheetName val="ProgramaI"/>
      <sheetName val="Programa II"/>
      <sheetName val="Programa III"/>
      <sheetName val="Egresos Programa I General"/>
      <sheetName val="Egresos Programa II General"/>
      <sheetName val="Egresos Programa III General"/>
      <sheetName val="INGRESOS LIBRES DETALLE Nº17"/>
      <sheetName val="RELACION INGRESO GASTO DET.15"/>
      <sheetName val="INGRESOS FIN ESPECIFICO DET.13"/>
      <sheetName val="Origen y Aplicación"/>
      <sheetName val="RELACION ING-GASTO SERV"/>
      <sheetName val="DEUDA INTERNA"/>
    </sheetNames>
    <sheetDataSet>
      <sheetData sheetId="0">
        <row r="3">
          <cell r="A3" t="str">
            <v>PERIODO 2021</v>
          </cell>
        </row>
        <row r="16">
          <cell r="A16" t="str">
            <v>1.1.2.1.01.00.0.0.000</v>
          </cell>
          <cell r="C16">
            <v>7800000000</v>
          </cell>
        </row>
        <row r="17">
          <cell r="A17" t="str">
            <v>1.1.2.2.02.00.0.0.000</v>
          </cell>
          <cell r="C17">
            <v>0</v>
          </cell>
        </row>
        <row r="23">
          <cell r="A23" t="str">
            <v>1.1.3.2.01.02.0.0.001</v>
          </cell>
          <cell r="C23">
            <v>81244000</v>
          </cell>
        </row>
        <row r="24">
          <cell r="C24">
            <v>0</v>
          </cell>
        </row>
        <row r="25">
          <cell r="A25" t="str">
            <v>1.1.3.2.01.04.0.0.000</v>
          </cell>
        </row>
        <row r="26">
          <cell r="A26" t="str">
            <v>1.1.3.2.01.05.0.0.000</v>
          </cell>
          <cell r="C26">
            <v>800000000</v>
          </cell>
        </row>
        <row r="29">
          <cell r="A29" t="str">
            <v>1.1.3.2.02.09.0.0.000</v>
          </cell>
        </row>
        <row r="33">
          <cell r="A33" t="str">
            <v>1.1.3.3.01.01.0.0.000</v>
          </cell>
          <cell r="C33">
            <v>250000</v>
          </cell>
        </row>
        <row r="34">
          <cell r="A34" t="str">
            <v>1.1.3.3.01.02.0.0.000</v>
          </cell>
          <cell r="C34">
            <v>3800000000</v>
          </cell>
        </row>
        <row r="40">
          <cell r="A40" t="str">
            <v>1.1.9.1.01.00.0.0.000</v>
          </cell>
          <cell r="C40">
            <v>400000000</v>
          </cell>
        </row>
        <row r="41">
          <cell r="A41" t="str">
            <v>1.1.9.1.02.00.0.0.000</v>
          </cell>
          <cell r="C41">
            <v>98000000</v>
          </cell>
        </row>
        <row r="50">
          <cell r="A50" t="str">
            <v>1.3.1.1.05.00.0.0.000</v>
          </cell>
          <cell r="C50">
            <v>3400000000</v>
          </cell>
        </row>
        <row r="56">
          <cell r="A56" t="str">
            <v>1.3.1.2.04.01.1.0.000</v>
          </cell>
          <cell r="C56">
            <v>321848927.95999998</v>
          </cell>
        </row>
        <row r="57">
          <cell r="A57" t="str">
            <v>1.3.1.2.04.01.2.0.000</v>
          </cell>
          <cell r="C57">
            <v>0</v>
          </cell>
        </row>
        <row r="58">
          <cell r="A58" t="str">
            <v>1.3.1.2.04.09.0.0.000</v>
          </cell>
          <cell r="C58">
            <v>700000</v>
          </cell>
        </row>
        <row r="61">
          <cell r="A61" t="str">
            <v>1.3.1.2.05.01.1.0.000</v>
          </cell>
          <cell r="C61">
            <v>840000000</v>
          </cell>
        </row>
        <row r="62">
          <cell r="C62">
            <v>875000000</v>
          </cell>
        </row>
        <row r="63">
          <cell r="C63">
            <v>180000000</v>
          </cell>
        </row>
        <row r="64">
          <cell r="A64" t="str">
            <v>1.3.1.2.05.02.1.0.000</v>
          </cell>
        </row>
        <row r="67">
          <cell r="A67" t="str">
            <v>1.3.1.2.05.04.1.0.000</v>
          </cell>
          <cell r="C67">
            <v>3900000000</v>
          </cell>
        </row>
        <row r="68">
          <cell r="A68" t="str">
            <v>1.3.1.2.05.04.2.0.000</v>
          </cell>
          <cell r="C68">
            <v>804853463.96000004</v>
          </cell>
        </row>
        <row r="69">
          <cell r="A69" t="str">
            <v>1.3.1.2.05.04.4.0.000</v>
          </cell>
          <cell r="C69">
            <v>274482213.24000001</v>
          </cell>
        </row>
        <row r="70">
          <cell r="A70" t="str">
            <v>1.3.1.2.05.04.5.0.000</v>
          </cell>
          <cell r="C70">
            <v>20000000</v>
          </cell>
        </row>
        <row r="71">
          <cell r="A71" t="str">
            <v>1.3.1.2.05.09.9.0.000</v>
          </cell>
          <cell r="B71" t="str">
            <v>Venta de otros servicios comunitarios</v>
          </cell>
          <cell r="C71">
            <v>0</v>
          </cell>
        </row>
        <row r="73">
          <cell r="A73" t="str">
            <v>1.3.1.2.09.09.0.0.000</v>
          </cell>
          <cell r="C73">
            <v>10000000</v>
          </cell>
        </row>
        <row r="78">
          <cell r="A78" t="str">
            <v>1.3.1.3.01.01.1.0.000</v>
          </cell>
          <cell r="C78">
            <v>72000000</v>
          </cell>
        </row>
        <row r="81">
          <cell r="A81" t="str">
            <v>1.3.1.3.02.03.1.0.000</v>
          </cell>
          <cell r="C81">
            <v>5000000</v>
          </cell>
        </row>
        <row r="88">
          <cell r="A88" t="str">
            <v>1.3.2.3.01.06.0.0.000</v>
          </cell>
          <cell r="C88">
            <v>750000000</v>
          </cell>
        </row>
        <row r="95">
          <cell r="A95" t="str">
            <v>1.3.3.1.01.01.0.0.000</v>
          </cell>
          <cell r="C95">
            <v>127000000</v>
          </cell>
        </row>
        <row r="97">
          <cell r="A97" t="str">
            <v>1.3.3.1.02.01.0.0.000</v>
          </cell>
          <cell r="C97">
            <v>191100000</v>
          </cell>
        </row>
        <row r="98">
          <cell r="A98" t="str">
            <v>1.3.3.1.09.00.0.0.000</v>
          </cell>
          <cell r="C98">
            <v>141812576.22</v>
          </cell>
        </row>
        <row r="103">
          <cell r="A103" t="str">
            <v>1.3.4.1.00.00.0.0.000</v>
          </cell>
          <cell r="C103">
            <v>475000000</v>
          </cell>
        </row>
        <row r="110">
          <cell r="A110" t="str">
            <v>1.4.1.2.01.00.0.0.000</v>
          </cell>
          <cell r="C110">
            <v>103200000</v>
          </cell>
        </row>
        <row r="111">
          <cell r="A111" t="str">
            <v>1.4.1.2.02,00.0.0.000</v>
          </cell>
          <cell r="B111" t="str">
            <v>Programas comites cantonales de la Persona Joven</v>
          </cell>
          <cell r="C111">
            <v>0</v>
          </cell>
        </row>
        <row r="113">
          <cell r="A113" t="str">
            <v>1.4.1.3.01.00.0.0.000</v>
          </cell>
          <cell r="C113">
            <v>68564775.730000004</v>
          </cell>
        </row>
        <row r="121">
          <cell r="A121" t="str">
            <v>2.1.2.1.01.00.0.0.000</v>
          </cell>
          <cell r="C121">
            <v>0</v>
          </cell>
        </row>
        <row r="126">
          <cell r="A126" t="str">
            <v>2.2.1.1.00.00.0.0.000</v>
          </cell>
          <cell r="C126">
            <v>3000000</v>
          </cell>
        </row>
        <row r="133">
          <cell r="A133" t="str">
            <v>2.4.1.1.01.00.0.0.000</v>
          </cell>
          <cell r="C133">
            <v>1073302108</v>
          </cell>
        </row>
        <row r="134">
          <cell r="A134" t="str">
            <v>2.4.1.1.02.00.0.0.000</v>
          </cell>
          <cell r="B134" t="str">
            <v>Ley 8316 Fondo de Alcantarillados</v>
          </cell>
          <cell r="C134">
            <v>300000000</v>
          </cell>
        </row>
        <row r="137">
          <cell r="A137" t="str">
            <v>2.4.1.2.01.00.0.0.001</v>
          </cell>
          <cell r="B137" t="str">
            <v>Fondo de Desarrollo Social y Asignaciones Familiares</v>
          </cell>
          <cell r="C137">
            <v>0</v>
          </cell>
        </row>
        <row r="141">
          <cell r="A141" t="str">
            <v>2.4.1.3.01.00.0.0.001</v>
          </cell>
          <cell r="C141">
            <v>23979905.52</v>
          </cell>
        </row>
        <row r="147">
          <cell r="A147" t="str">
            <v>2,4.3,1,00,00,0,0,001</v>
          </cell>
          <cell r="B147" t="str">
            <v>Aporte de Cooperación Alemana</v>
          </cell>
          <cell r="C147">
            <v>0</v>
          </cell>
        </row>
        <row r="153">
          <cell r="A153" t="str">
            <v>3.1.1.6.01.00.0.0.000</v>
          </cell>
          <cell r="B153" t="str">
            <v xml:space="preserve">Banco Popular </v>
          </cell>
          <cell r="C153">
            <v>0</v>
          </cell>
        </row>
        <row r="156">
          <cell r="A156" t="str">
            <v>3.3.1.0.00.00.0.0.000</v>
          </cell>
          <cell r="B156" t="str">
            <v>Superavit Libre</v>
          </cell>
          <cell r="C156">
            <v>1672200626.6700001</v>
          </cell>
        </row>
        <row r="158">
          <cell r="B158" t="str">
            <v>Seperavit especificico</v>
          </cell>
        </row>
        <row r="159">
          <cell r="A159" t="str">
            <v>3.3.2.0.00.00.0.0.004</v>
          </cell>
          <cell r="B159" t="str">
            <v>Servicio de Recolección de Basura</v>
          </cell>
          <cell r="C159">
            <v>598000000</v>
          </cell>
        </row>
        <row r="160">
          <cell r="B160" t="str">
            <v>Bienes Inmuebles</v>
          </cell>
          <cell r="C160">
            <v>2260300000</v>
          </cell>
        </row>
        <row r="163">
          <cell r="D163">
            <v>31482838597.299995</v>
          </cell>
        </row>
      </sheetData>
      <sheetData sheetId="1">
        <row r="17">
          <cell r="H17">
            <v>7800000000</v>
          </cell>
        </row>
        <row r="25">
          <cell r="H25">
            <v>81244000</v>
          </cell>
        </row>
        <row r="32">
          <cell r="H32">
            <v>0</v>
          </cell>
        </row>
        <row r="39">
          <cell r="H39">
            <v>800000000</v>
          </cell>
        </row>
        <row r="46">
          <cell r="H46">
            <v>12000000</v>
          </cell>
        </row>
        <row r="53">
          <cell r="H53">
            <v>250000</v>
          </cell>
        </row>
        <row r="60">
          <cell r="H60">
            <v>3800000000</v>
          </cell>
        </row>
        <row r="67">
          <cell r="H67">
            <v>400000000</v>
          </cell>
        </row>
        <row r="74">
          <cell r="H74">
            <v>98000000</v>
          </cell>
        </row>
        <row r="81">
          <cell r="H81">
            <v>3400000000</v>
          </cell>
        </row>
        <row r="88">
          <cell r="H88">
            <v>321848927.95999998</v>
          </cell>
        </row>
        <row r="95">
          <cell r="H95">
            <v>700000</v>
          </cell>
        </row>
        <row r="102">
          <cell r="H102">
            <v>840000000</v>
          </cell>
        </row>
        <row r="109">
          <cell r="H109">
            <v>875000000</v>
          </cell>
        </row>
        <row r="116">
          <cell r="H116">
            <v>180000000</v>
          </cell>
        </row>
        <row r="130">
          <cell r="H130">
            <v>3900000000</v>
          </cell>
        </row>
        <row r="137">
          <cell r="H137">
            <v>804853463.96000004</v>
          </cell>
        </row>
        <row r="144">
          <cell r="H144">
            <v>274482213.24000001</v>
          </cell>
        </row>
        <row r="151">
          <cell r="H151">
            <v>20000000</v>
          </cell>
        </row>
        <row r="166">
          <cell r="H166">
            <v>10000000</v>
          </cell>
        </row>
        <row r="173">
          <cell r="H173">
            <v>72000000</v>
          </cell>
        </row>
        <row r="180">
          <cell r="H180">
            <v>5000000</v>
          </cell>
        </row>
        <row r="189">
          <cell r="H189">
            <v>750000000</v>
          </cell>
        </row>
        <row r="196">
          <cell r="H196">
            <v>127000000</v>
          </cell>
        </row>
        <row r="202">
          <cell r="H202">
            <v>191100000</v>
          </cell>
        </row>
        <row r="209">
          <cell r="H209">
            <v>141812576.22</v>
          </cell>
        </row>
        <row r="216">
          <cell r="H216">
            <v>475000000</v>
          </cell>
        </row>
        <row r="223">
          <cell r="H223">
            <v>103200000</v>
          </cell>
        </row>
        <row r="230">
          <cell r="H230">
            <v>0</v>
          </cell>
        </row>
        <row r="237">
          <cell r="H237">
            <v>68564775.730000004</v>
          </cell>
        </row>
        <row r="244">
          <cell r="H244">
            <v>3000000</v>
          </cell>
        </row>
        <row r="251">
          <cell r="H251">
            <v>1073302108</v>
          </cell>
        </row>
        <row r="258">
          <cell r="H258">
            <v>300000000</v>
          </cell>
        </row>
        <row r="265">
          <cell r="H265">
            <v>23979905.52</v>
          </cell>
        </row>
        <row r="272">
          <cell r="H272">
            <v>1672200626.6700001</v>
          </cell>
        </row>
        <row r="279">
          <cell r="H279">
            <v>2858300000</v>
          </cell>
        </row>
      </sheetData>
      <sheetData sheetId="2">
        <row r="7">
          <cell r="E7">
            <v>31482838597.298634</v>
          </cell>
        </row>
      </sheetData>
      <sheetData sheetId="3">
        <row r="24">
          <cell r="B24" t="str">
            <v>Aporte Junta Admva.Registro Nac. Ley 7509y 7729</v>
          </cell>
        </row>
        <row r="25">
          <cell r="B25" t="str">
            <v>CONAGEBIO (10% de la Ley 7788)</v>
          </cell>
          <cell r="E25">
            <v>9800000</v>
          </cell>
        </row>
        <row r="26">
          <cell r="B26" t="str">
            <v>Fondo para Parques Nacionales</v>
          </cell>
          <cell r="E26">
            <v>61740000</v>
          </cell>
        </row>
        <row r="27">
          <cell r="B27" t="str">
            <v>Consejo Nacionala de Personas con Discapacidad</v>
          </cell>
          <cell r="E27">
            <v>129395179.31314999</v>
          </cell>
        </row>
        <row r="29">
          <cell r="B29" t="str">
            <v xml:space="preserve">Aporte a IFAM, Ley Nº 7509 </v>
          </cell>
        </row>
        <row r="30">
          <cell r="B30" t="str">
            <v>Juntas de Educación, Ley 7509 y 7729</v>
          </cell>
        </row>
        <row r="32">
          <cell r="B32" t="str">
            <v xml:space="preserve">Comité Cantonal Deportes y Recreación </v>
          </cell>
          <cell r="E32">
            <v>776371075.87889993</v>
          </cell>
        </row>
        <row r="33">
          <cell r="E33">
            <v>77637107.587889999</v>
          </cell>
        </row>
        <row r="34">
          <cell r="B34" t="str">
            <v>Unión Nacional de Gobiernos Locales</v>
          </cell>
          <cell r="E34">
            <v>35000000</v>
          </cell>
        </row>
        <row r="38">
          <cell r="B38" t="str">
            <v>Otras Transferencias a Personas</v>
          </cell>
        </row>
        <row r="45">
          <cell r="B45" t="str">
            <v>Asociación para la Atención Integral de Pacientes con Cancer</v>
          </cell>
        </row>
        <row r="49">
          <cell r="B49" t="str">
            <v>Reintegros o devoluciones</v>
          </cell>
          <cell r="E49">
            <v>30000000</v>
          </cell>
        </row>
      </sheetData>
      <sheetData sheetId="4"/>
      <sheetData sheetId="5">
        <row r="29">
          <cell r="B29" t="str">
            <v>Transferencias de Capital al Gobierno Central</v>
          </cell>
        </row>
        <row r="33">
          <cell r="B33" t="str">
            <v>IFAM Ley 7509</v>
          </cell>
        </row>
        <row r="36">
          <cell r="B36" t="str">
            <v>Fondo de Desarrollo Municipal Ley 7509</v>
          </cell>
        </row>
      </sheetData>
      <sheetData sheetId="6">
        <row r="8">
          <cell r="E8">
            <v>7296349868.3084526</v>
          </cell>
        </row>
        <row r="10">
          <cell r="E10">
            <v>386240144.77843732</v>
          </cell>
        </row>
        <row r="12">
          <cell r="E12">
            <v>266725000</v>
          </cell>
        </row>
        <row r="16">
          <cell r="E16">
            <v>10144878496.796829</v>
          </cell>
        </row>
      </sheetData>
      <sheetData sheetId="7">
        <row r="11">
          <cell r="B11" t="str">
            <v>Aseo de Vías y Sitios Públicos</v>
          </cell>
          <cell r="C11">
            <v>724368117.56290317</v>
          </cell>
        </row>
        <row r="13">
          <cell r="B13" t="str">
            <v>Recolección de Basuras</v>
          </cell>
          <cell r="C13">
            <v>3715778663.0411916</v>
          </cell>
        </row>
        <row r="15">
          <cell r="B15" t="str">
            <v>Parques Obras de Ornato</v>
          </cell>
          <cell r="C15">
            <v>247033991.92247096</v>
          </cell>
        </row>
        <row r="17">
          <cell r="C17">
            <v>2367101892.0641389</v>
          </cell>
        </row>
        <row r="19">
          <cell r="B19" t="str">
            <v>Mercados, Plazas y Ferias</v>
          </cell>
          <cell r="C19">
            <v>332100364.26608586</v>
          </cell>
        </row>
        <row r="21">
          <cell r="B21" t="str">
            <v>Educativos, Culturales y Deportivos</v>
          </cell>
        </row>
        <row r="23">
          <cell r="B23" t="str">
            <v>Servicios Sociales Complementarios</v>
          </cell>
        </row>
        <row r="25">
          <cell r="B25" t="str">
            <v>Estacionamientos y Terminales</v>
          </cell>
          <cell r="C25">
            <v>231531281.22513998</v>
          </cell>
        </row>
        <row r="27">
          <cell r="B27" t="str">
            <v>Alcantarillados Sanitarios</v>
          </cell>
          <cell r="C27">
            <v>564650713.45130992</v>
          </cell>
        </row>
        <row r="29">
          <cell r="B29" t="str">
            <v>Reparaciones Menores de Maquinaria y Equipo</v>
          </cell>
        </row>
        <row r="31">
          <cell r="B31" t="str">
            <v>Seguridad Vial</v>
          </cell>
        </row>
        <row r="33">
          <cell r="B33" t="str">
            <v>Seguridad y Vigilancia en la Comunidad</v>
          </cell>
        </row>
        <row r="35">
          <cell r="B35" t="str">
            <v>Protección del Medio Ambiente</v>
          </cell>
          <cell r="C35">
            <v>190530604.96229029</v>
          </cell>
        </row>
        <row r="39">
          <cell r="B39" t="str">
            <v>Atención Emergencias Cantonales</v>
          </cell>
        </row>
        <row r="41">
          <cell r="B41" t="str">
            <v>Por incumplimiento de Deberes de los Propietarios BI</v>
          </cell>
          <cell r="C41">
            <v>126656697.64354214</v>
          </cell>
        </row>
        <row r="43">
          <cell r="B43" t="str">
            <v>Alcantarillado Pluvial</v>
          </cell>
          <cell r="C43">
            <v>1087500000.0014796</v>
          </cell>
        </row>
        <row r="45">
          <cell r="B45" t="str">
            <v>Aporte en Especie para Servicios Y Proyectos Comunitarios</v>
          </cell>
        </row>
        <row r="46">
          <cell r="C46">
            <v>11115637099.862577</v>
          </cell>
        </row>
      </sheetData>
      <sheetData sheetId="8">
        <row r="13">
          <cell r="B13" t="str">
            <v>Terminal FECOSA</v>
          </cell>
        </row>
        <row r="14">
          <cell r="B14" t="str">
            <v>Construcción de comedor Escuela Rafael Alberto Luna Herrera</v>
          </cell>
          <cell r="C14">
            <v>0</v>
          </cell>
        </row>
        <row r="15">
          <cell r="B15" t="str">
            <v>Mejoras en Cancha Multiusos Lote Murillo</v>
          </cell>
          <cell r="C15">
            <v>0</v>
          </cell>
        </row>
        <row r="16">
          <cell r="B16" t="str">
            <v>Construcción de gimnasio multiuso de Occidente, II Etapa</v>
          </cell>
          <cell r="C16">
            <v>0</v>
          </cell>
        </row>
        <row r="17">
          <cell r="B17" t="str">
            <v>Construcción de Salón Multiusos en Urbanización Las Abras</v>
          </cell>
          <cell r="C17">
            <v>0</v>
          </cell>
        </row>
        <row r="18">
          <cell r="B18" t="str">
            <v>Construcción salón comunal Urbanización San Gerardo, III Etapa</v>
          </cell>
          <cell r="C18">
            <v>0</v>
          </cell>
        </row>
        <row r="19">
          <cell r="B19" t="str">
            <v xml:space="preserve">Mejoras Infraestructura de la Escuela Luis Demetrio Tinoco </v>
          </cell>
          <cell r="C19">
            <v>0</v>
          </cell>
        </row>
        <row r="20">
          <cell r="B20" t="str">
            <v>Remodelación del Gimnasio Invu Las Cañas 2</v>
          </cell>
          <cell r="C20">
            <v>0</v>
          </cell>
        </row>
        <row r="21">
          <cell r="B21" t="str">
            <v xml:space="preserve"> Construcción de gimnasio multiuso de Occidente</v>
          </cell>
          <cell r="C21">
            <v>0</v>
          </cell>
        </row>
        <row r="22">
          <cell r="B22" t="str">
            <v>Salón Multiuso en Urbanización La Perla del Distrito de San Rafael</v>
          </cell>
          <cell r="C22">
            <v>0</v>
          </cell>
        </row>
        <row r="23">
          <cell r="B23" t="str">
            <v>Construcción Salón Comunal Urbanización Las Abras Distrito de San Rafael</v>
          </cell>
          <cell r="C23">
            <v>0</v>
          </cell>
        </row>
        <row r="24">
          <cell r="B24" t="str">
            <v>Construcción Salón multiuso Urbanización San Gerardo, Distrito de San Rafael</v>
          </cell>
          <cell r="C24">
            <v>0</v>
          </cell>
        </row>
        <row r="25">
          <cell r="B25" t="str">
            <v>Construcción Centro de Cuidados Paliativos de San Rafael de Alajuela</v>
          </cell>
          <cell r="C25">
            <v>0</v>
          </cell>
        </row>
        <row r="41">
          <cell r="C41">
            <v>957577911.70039237</v>
          </cell>
        </row>
        <row r="42">
          <cell r="B42" t="str">
            <v>Mantenimeiento Rutinario de la Red Vial Cantonal</v>
          </cell>
          <cell r="C42">
            <v>0</v>
          </cell>
        </row>
        <row r="43">
          <cell r="C43">
            <v>1303302108</v>
          </cell>
        </row>
        <row r="44">
          <cell r="B44" t="str">
            <v>Rampas de Accesibilidad Universales</v>
          </cell>
          <cell r="C44">
            <v>0</v>
          </cell>
        </row>
        <row r="45">
          <cell r="B45" t="str">
            <v>Mejoras y asfaltado de Comunidad Calle Rojas</v>
          </cell>
          <cell r="C45">
            <v>0</v>
          </cell>
        </row>
        <row r="46">
          <cell r="B46" t="str">
            <v>Carpeta Asfaltica en Urbanización las Melisas</v>
          </cell>
          <cell r="C46">
            <v>0</v>
          </cell>
        </row>
        <row r="69">
          <cell r="B69" t="str">
            <v>Ley 8316 Mejoras Pluviales Las Vueltas, Guacima</v>
          </cell>
          <cell r="C69">
            <v>0</v>
          </cell>
        </row>
        <row r="70">
          <cell r="B70" t="str">
            <v>Mejoras en la Infraestructura de la Calle Puente Negro a Pavas de Carrizal</v>
          </cell>
          <cell r="C70">
            <v>0</v>
          </cell>
        </row>
        <row r="71">
          <cell r="B71" t="str">
            <v>Mejoramiento Pluvial en San Rafael</v>
          </cell>
          <cell r="C71">
            <v>1200000000</v>
          </cell>
        </row>
        <row r="72">
          <cell r="B72" t="str">
            <v>Mejoras Pluviales la Guacima Centro-Las vueltas</v>
          </cell>
          <cell r="C72">
            <v>320656250</v>
          </cell>
        </row>
        <row r="73">
          <cell r="B73" t="str">
            <v>Mejoramiento Pluvial el Coyol</v>
          </cell>
          <cell r="C73">
            <v>0</v>
          </cell>
        </row>
        <row r="74">
          <cell r="B74" t="str">
            <v>Mejoramiento Pluvial Imas 2</v>
          </cell>
          <cell r="C74">
            <v>0</v>
          </cell>
        </row>
        <row r="76">
          <cell r="B76" t="str">
            <v>Plan Reforestación</v>
          </cell>
          <cell r="C76">
            <v>0</v>
          </cell>
        </row>
        <row r="77">
          <cell r="B77" t="str">
            <v>Protección de Nciemntes</v>
          </cell>
          <cell r="C77">
            <v>0</v>
          </cell>
        </row>
        <row r="78">
          <cell r="B78" t="str">
            <v>Mejoras Sistema Tuetal Norte Sur y Calle Loria</v>
          </cell>
          <cell r="C78">
            <v>0</v>
          </cell>
        </row>
        <row r="79">
          <cell r="B79" t="str">
            <v>Plan Operación Mantenimiento y Des.Sistema de Acueducto 2018-2022</v>
          </cell>
          <cell r="C79">
            <v>857898107.94000006</v>
          </cell>
        </row>
        <row r="80">
          <cell r="B80" t="str">
            <v>Plan Operación Mantenimiento y Desarrollo del Sistema de Recolección y Tratamiemto de Aguas Residuales</v>
          </cell>
          <cell r="C80">
            <v>191349286.55000001</v>
          </cell>
        </row>
        <row r="97">
          <cell r="B97" t="str">
            <v>Dierección Técnica y Estudio</v>
          </cell>
          <cell r="C97">
            <v>2057326894.0226581</v>
          </cell>
        </row>
        <row r="98">
          <cell r="B98" t="str">
            <v>Catastro Multifinalitario</v>
          </cell>
          <cell r="C98">
            <v>138132525.24617293</v>
          </cell>
        </row>
        <row r="99">
          <cell r="B99" t="str">
            <v>Plan Mercadeo Turistico de Alajuela</v>
          </cell>
          <cell r="C99">
            <v>0</v>
          </cell>
        </row>
        <row r="100">
          <cell r="B100" t="str">
            <v>Implementación del Plan Municipal para la Gestión Integral de Residuos Sólidos</v>
          </cell>
          <cell r="C100">
            <v>392221336.96000004</v>
          </cell>
        </row>
        <row r="101">
          <cell r="B101" t="str">
            <v>Alajuela Ciudad Segura</v>
          </cell>
          <cell r="C101">
            <v>236793600</v>
          </cell>
        </row>
        <row r="102">
          <cell r="B102" t="str">
            <v>Plan de Desarrollo Informático</v>
          </cell>
        </row>
        <row r="103">
          <cell r="B103" t="str">
            <v>Mejoras Parques de Urbanización Doña Rosa</v>
          </cell>
          <cell r="C103">
            <v>0</v>
          </cell>
        </row>
        <row r="104">
          <cell r="B104" t="str">
            <v>Mejoras Infraestructura Parque de la Garita</v>
          </cell>
          <cell r="C104">
            <v>0</v>
          </cell>
        </row>
        <row r="105">
          <cell r="B105" t="str">
            <v xml:space="preserve">Techado Areas de Juegos de la Escuela Luis Demetrio Tinoco </v>
          </cell>
        </row>
        <row r="106">
          <cell r="B106" t="str">
            <v>Mejora áreas recreativas Urbanización Silvia Eugenia</v>
          </cell>
          <cell r="C106">
            <v>0</v>
          </cell>
        </row>
        <row r="107">
          <cell r="B107" t="str">
            <v>Compra de Terreno para Salón Comunal Río Segundo</v>
          </cell>
          <cell r="C107">
            <v>0</v>
          </cell>
        </row>
        <row r="108">
          <cell r="B108" t="str">
            <v>Equipamiento parque infantil urbanización Sacramento</v>
          </cell>
          <cell r="C108">
            <v>0</v>
          </cell>
        </row>
        <row r="109">
          <cell r="B109" t="str">
            <v xml:space="preserve"> Mejoras en la cancha multiuso de la Urbanización María Auxiliadora, Distrito de San Rafael</v>
          </cell>
          <cell r="C109">
            <v>0</v>
          </cell>
        </row>
        <row r="110">
          <cell r="B110" t="str">
            <v xml:space="preserve"> Mejoramiento plaza de deportes INVU Las Cañas de Desamparado</v>
          </cell>
          <cell r="C110">
            <v>0</v>
          </cell>
        </row>
        <row r="111">
          <cell r="B111" t="str">
            <v>Mejoras infraestructura en cancha de futbol de la Urbanización Gregorio José Ramírez, Montecillos</v>
          </cell>
          <cell r="C111">
            <v>0</v>
          </cell>
        </row>
        <row r="112">
          <cell r="B112" t="str">
            <v>III-06-16</v>
          </cell>
          <cell r="C112">
            <v>0</v>
          </cell>
        </row>
        <row r="113">
          <cell r="B113" t="str">
            <v>III-06-17</v>
          </cell>
          <cell r="C113">
            <v>0</v>
          </cell>
        </row>
        <row r="114">
          <cell r="B114" t="str">
            <v>III-06-18</v>
          </cell>
        </row>
        <row r="124">
          <cell r="C124">
            <v>71357953.549999997</v>
          </cell>
        </row>
      </sheetData>
      <sheetData sheetId="9">
        <row r="13">
          <cell r="E13">
            <v>0</v>
          </cell>
        </row>
        <row r="16">
          <cell r="E16">
            <v>37306329.100000001</v>
          </cell>
        </row>
        <row r="17">
          <cell r="E17">
            <v>206392070.28</v>
          </cell>
        </row>
        <row r="18">
          <cell r="E18">
            <v>438954906.85999995</v>
          </cell>
        </row>
        <row r="19">
          <cell r="E19">
            <v>166731281.22999999</v>
          </cell>
        </row>
        <row r="21">
          <cell r="E21">
            <v>51617972.780000001</v>
          </cell>
        </row>
        <row r="22">
          <cell r="E22">
            <v>196487259.47999999</v>
          </cell>
        </row>
        <row r="23">
          <cell r="E23">
            <v>347605635.31999999</v>
          </cell>
        </row>
        <row r="24">
          <cell r="E24">
            <v>164070604.96000001</v>
          </cell>
        </row>
        <row r="26">
          <cell r="E26">
            <v>57126929.020000003</v>
          </cell>
        </row>
        <row r="27">
          <cell r="E27">
            <v>17331645.09</v>
          </cell>
        </row>
        <row r="28">
          <cell r="E28">
            <v>0</v>
          </cell>
        </row>
        <row r="63">
          <cell r="H63">
            <v>18000000</v>
          </cell>
        </row>
        <row r="124">
          <cell r="H124">
            <v>12000000</v>
          </cell>
        </row>
        <row r="132">
          <cell r="H132">
            <v>3791703736.8699999</v>
          </cell>
        </row>
      </sheetData>
      <sheetData sheetId="10">
        <row r="15">
          <cell r="I15">
            <v>780000000</v>
          </cell>
        </row>
        <row r="18">
          <cell r="I18">
            <v>117000000</v>
          </cell>
        </row>
        <row r="21">
          <cell r="I21">
            <v>39000000</v>
          </cell>
        </row>
        <row r="140">
          <cell r="I140">
            <v>9800000</v>
          </cell>
        </row>
        <row r="144">
          <cell r="I144">
            <v>61740000</v>
          </cell>
        </row>
      </sheetData>
      <sheetData sheetId="11">
        <row r="10">
          <cell r="D10">
            <v>780000000</v>
          </cell>
        </row>
        <row r="12">
          <cell r="D12">
            <v>117000000</v>
          </cell>
        </row>
        <row r="14">
          <cell r="D14">
            <v>39000000</v>
          </cell>
        </row>
        <row r="46">
          <cell r="D46">
            <v>129395179.31314999</v>
          </cell>
        </row>
        <row r="48">
          <cell r="D48">
            <v>776371075.87889993</v>
          </cell>
        </row>
        <row r="49">
          <cell r="D49">
            <v>77637107.587889999</v>
          </cell>
        </row>
        <row r="50">
          <cell r="D50">
            <v>35000000</v>
          </cell>
        </row>
      </sheetData>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ON"/>
      <sheetName val="JUSTIFICACION"/>
    </sheetNames>
    <sheetDataSet>
      <sheetData sheetId="0"/>
      <sheetData sheetId="1">
        <row r="146">
          <cell r="H14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economico"/>
      <sheetName val="general"/>
      <sheetName val="PRG1"/>
      <sheetName val="Auditoría"/>
      <sheetName val="PRG2"/>
      <sheetName val="PROG3"/>
      <sheetName val="PRG2-1"/>
      <sheetName val="PRG2-2"/>
      <sheetName val="PRG2-5"/>
      <sheetName val="PRG2-6"/>
      <sheetName val="PRG2-7"/>
      <sheetName val="PRG2-9"/>
      <sheetName val="PRG2-10"/>
      <sheetName val="PRG2-11"/>
      <sheetName val="PRG2-13"/>
      <sheetName val="PRG2-18"/>
      <sheetName val="PGR2-22"/>
      <sheetName val="PRG2-23"/>
      <sheetName val="PRG2-25"/>
      <sheetName val="PRG2-27"/>
      <sheetName val="PRG2-28"/>
      <sheetName val="PRG2-29"/>
      <sheetName val="PRG2-30"/>
      <sheetName val="PRG2-31"/>
      <sheetName val="PRG3-"/>
      <sheetName val="III-02-01"/>
      <sheetName val="III-06-01"/>
      <sheetName val="III-06-02"/>
    </sheetNames>
    <sheetDataSet>
      <sheetData sheetId="0">
        <row r="2">
          <cell r="C2">
            <v>22336670542.058632</v>
          </cell>
        </row>
        <row r="16">
          <cell r="C16">
            <v>8467955163.3700008</v>
          </cell>
        </row>
      </sheetData>
      <sheetData sheetId="1">
        <row r="13">
          <cell r="F13">
            <v>5186589065.4541979</v>
          </cell>
          <cell r="G13">
            <v>4101970690.6438794</v>
          </cell>
          <cell r="H13">
            <v>1586286407.3968234</v>
          </cell>
        </row>
        <row r="45">
          <cell r="F45">
            <v>1859349527.5020001</v>
          </cell>
          <cell r="G45">
            <v>5319823637.4487</v>
          </cell>
          <cell r="H45">
            <v>1477356023.3824</v>
          </cell>
        </row>
        <row r="102">
          <cell r="F102">
            <v>176630400</v>
          </cell>
          <cell r="G102">
            <v>229526157.94999999</v>
          </cell>
          <cell r="H102">
            <v>846737013.46000004</v>
          </cell>
        </row>
        <row r="132">
          <cell r="F132">
            <v>0</v>
          </cell>
          <cell r="G132">
            <v>279705157.72000003</v>
          </cell>
          <cell r="H132">
            <v>0</v>
          </cell>
        </row>
        <row r="137">
          <cell r="F137">
            <v>274725000</v>
          </cell>
          <cell r="G137">
            <v>420887783.38999999</v>
          </cell>
          <cell r="H137">
            <v>6198025384.6700001</v>
          </cell>
        </row>
        <row r="162">
          <cell r="F162">
            <v>2552964382.9106302</v>
          </cell>
          <cell r="G162">
            <v>251488855.31999999</v>
          </cell>
          <cell r="H162">
            <v>42560218.18</v>
          </cell>
        </row>
        <row r="172">
          <cell r="F172">
            <v>0</v>
          </cell>
        </row>
        <row r="174">
          <cell r="F174">
            <v>26710826.25</v>
          </cell>
        </row>
        <row r="175">
          <cell r="F175">
            <v>0</v>
          </cell>
        </row>
        <row r="177">
          <cell r="F177">
            <v>235357647.01999998</v>
          </cell>
          <cell r="G177">
            <v>88264242.710000008</v>
          </cell>
          <cell r="H177">
            <v>12460218.18</v>
          </cell>
        </row>
        <row r="179">
          <cell r="F179">
            <v>2725428.71</v>
          </cell>
        </row>
        <row r="180">
          <cell r="F180">
            <v>227118.15069042996</v>
          </cell>
        </row>
        <row r="181">
          <cell r="F181">
            <v>80000000</v>
          </cell>
          <cell r="G181">
            <v>98800000</v>
          </cell>
          <cell r="H181">
            <v>23100000</v>
          </cell>
        </row>
        <row r="190">
          <cell r="F190">
            <v>107000000</v>
          </cell>
          <cell r="G190">
            <v>52000000</v>
          </cell>
          <cell r="H190">
            <v>7000000</v>
          </cell>
        </row>
        <row r="191">
          <cell r="G191">
            <v>12424612.609999999</v>
          </cell>
          <cell r="H191">
            <v>0</v>
          </cell>
        </row>
        <row r="193">
          <cell r="F193">
            <v>0</v>
          </cell>
          <cell r="G193">
            <v>0</v>
          </cell>
          <cell r="H193">
            <v>0</v>
          </cell>
        </row>
        <row r="195">
          <cell r="H195">
            <v>0</v>
          </cell>
        </row>
        <row r="197">
          <cell r="H197">
            <v>0</v>
          </cell>
        </row>
        <row r="198">
          <cell r="H198">
            <v>0</v>
          </cell>
        </row>
        <row r="203">
          <cell r="H203">
            <v>0</v>
          </cell>
        </row>
        <row r="204">
          <cell r="H204">
            <v>0</v>
          </cell>
        </row>
        <row r="207">
          <cell r="H207">
            <v>0</v>
          </cell>
        </row>
        <row r="209">
          <cell r="F209">
            <v>0</v>
          </cell>
          <cell r="G209">
            <v>452358635.42000002</v>
          </cell>
          <cell r="H209">
            <v>0</v>
          </cell>
        </row>
        <row r="215">
          <cell r="F215">
            <v>94620120.929999992</v>
          </cell>
          <cell r="G215">
            <v>59876181.969999999</v>
          </cell>
          <cell r="H215">
            <v>71357953.549999997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02FE-0A38-4852-B105-5BD8EF464398}">
  <dimension ref="A1:H169"/>
  <sheetViews>
    <sheetView view="pageBreakPreview" topLeftCell="A126" zoomScaleNormal="75" zoomScaleSheetLayoutView="100" workbookViewId="0">
      <selection activeCell="K348" sqref="K348"/>
    </sheetView>
  </sheetViews>
  <sheetFormatPr baseColWidth="10" defaultRowHeight="12.75" x14ac:dyDescent="0.2"/>
  <cols>
    <col min="1" max="1" width="26.28515625" style="602" bestFit="1" customWidth="1"/>
    <col min="2" max="2" width="52.7109375" style="602" customWidth="1"/>
    <col min="3" max="3" width="23.7109375" style="602" bestFit="1" customWidth="1"/>
    <col min="4" max="4" width="24" style="602" bestFit="1" customWidth="1"/>
    <col min="5" max="5" width="9.85546875" style="602" bestFit="1" customWidth="1"/>
    <col min="6" max="256" width="11.42578125" style="602"/>
    <col min="257" max="257" width="26.28515625" style="602" bestFit="1" customWidth="1"/>
    <col min="258" max="258" width="52.7109375" style="602" customWidth="1"/>
    <col min="259" max="259" width="23.7109375" style="602" bestFit="1" customWidth="1"/>
    <col min="260" max="260" width="24" style="602" bestFit="1" customWidth="1"/>
    <col min="261" max="261" width="9.85546875" style="602" bestFit="1" customWidth="1"/>
    <col min="262" max="512" width="11.42578125" style="602"/>
    <col min="513" max="513" width="26.28515625" style="602" bestFit="1" customWidth="1"/>
    <col min="514" max="514" width="52.7109375" style="602" customWidth="1"/>
    <col min="515" max="515" width="23.7109375" style="602" bestFit="1" customWidth="1"/>
    <col min="516" max="516" width="24" style="602" bestFit="1" customWidth="1"/>
    <col min="517" max="517" width="9.85546875" style="602" bestFit="1" customWidth="1"/>
    <col min="518" max="768" width="11.42578125" style="602"/>
    <col min="769" max="769" width="26.28515625" style="602" bestFit="1" customWidth="1"/>
    <col min="770" max="770" width="52.7109375" style="602" customWidth="1"/>
    <col min="771" max="771" width="23.7109375" style="602" bestFit="1" customWidth="1"/>
    <col min="772" max="772" width="24" style="602" bestFit="1" customWidth="1"/>
    <col min="773" max="773" width="9.85546875" style="602" bestFit="1" customWidth="1"/>
    <col min="774" max="1024" width="11.42578125" style="602"/>
    <col min="1025" max="1025" width="26.28515625" style="602" bestFit="1" customWidth="1"/>
    <col min="1026" max="1026" width="52.7109375" style="602" customWidth="1"/>
    <col min="1027" max="1027" width="23.7109375" style="602" bestFit="1" customWidth="1"/>
    <col min="1028" max="1028" width="24" style="602" bestFit="1" customWidth="1"/>
    <col min="1029" max="1029" width="9.85546875" style="602" bestFit="1" customWidth="1"/>
    <col min="1030" max="1280" width="11.42578125" style="602"/>
    <col min="1281" max="1281" width="26.28515625" style="602" bestFit="1" customWidth="1"/>
    <col min="1282" max="1282" width="52.7109375" style="602" customWidth="1"/>
    <col min="1283" max="1283" width="23.7109375" style="602" bestFit="1" customWidth="1"/>
    <col min="1284" max="1284" width="24" style="602" bestFit="1" customWidth="1"/>
    <col min="1285" max="1285" width="9.85546875" style="602" bestFit="1" customWidth="1"/>
    <col min="1286" max="1536" width="11.42578125" style="602"/>
    <col min="1537" max="1537" width="26.28515625" style="602" bestFit="1" customWidth="1"/>
    <col min="1538" max="1538" width="52.7109375" style="602" customWidth="1"/>
    <col min="1539" max="1539" width="23.7109375" style="602" bestFit="1" customWidth="1"/>
    <col min="1540" max="1540" width="24" style="602" bestFit="1" customWidth="1"/>
    <col min="1541" max="1541" width="9.85546875" style="602" bestFit="1" customWidth="1"/>
    <col min="1542" max="1792" width="11.42578125" style="602"/>
    <col min="1793" max="1793" width="26.28515625" style="602" bestFit="1" customWidth="1"/>
    <col min="1794" max="1794" width="52.7109375" style="602" customWidth="1"/>
    <col min="1795" max="1795" width="23.7109375" style="602" bestFit="1" customWidth="1"/>
    <col min="1796" max="1796" width="24" style="602" bestFit="1" customWidth="1"/>
    <col min="1797" max="1797" width="9.85546875" style="602" bestFit="1" customWidth="1"/>
    <col min="1798" max="2048" width="11.42578125" style="602"/>
    <col min="2049" max="2049" width="26.28515625" style="602" bestFit="1" customWidth="1"/>
    <col min="2050" max="2050" width="52.7109375" style="602" customWidth="1"/>
    <col min="2051" max="2051" width="23.7109375" style="602" bestFit="1" customWidth="1"/>
    <col min="2052" max="2052" width="24" style="602" bestFit="1" customWidth="1"/>
    <col min="2053" max="2053" width="9.85546875" style="602" bestFit="1" customWidth="1"/>
    <col min="2054" max="2304" width="11.42578125" style="602"/>
    <col min="2305" max="2305" width="26.28515625" style="602" bestFit="1" customWidth="1"/>
    <col min="2306" max="2306" width="52.7109375" style="602" customWidth="1"/>
    <col min="2307" max="2307" width="23.7109375" style="602" bestFit="1" customWidth="1"/>
    <col min="2308" max="2308" width="24" style="602" bestFit="1" customWidth="1"/>
    <col min="2309" max="2309" width="9.85546875" style="602" bestFit="1" customWidth="1"/>
    <col min="2310" max="2560" width="11.42578125" style="602"/>
    <col min="2561" max="2561" width="26.28515625" style="602" bestFit="1" customWidth="1"/>
    <col min="2562" max="2562" width="52.7109375" style="602" customWidth="1"/>
    <col min="2563" max="2563" width="23.7109375" style="602" bestFit="1" customWidth="1"/>
    <col min="2564" max="2564" width="24" style="602" bestFit="1" customWidth="1"/>
    <col min="2565" max="2565" width="9.85546875" style="602" bestFit="1" customWidth="1"/>
    <col min="2566" max="2816" width="11.42578125" style="602"/>
    <col min="2817" max="2817" width="26.28515625" style="602" bestFit="1" customWidth="1"/>
    <col min="2818" max="2818" width="52.7109375" style="602" customWidth="1"/>
    <col min="2819" max="2819" width="23.7109375" style="602" bestFit="1" customWidth="1"/>
    <col min="2820" max="2820" width="24" style="602" bestFit="1" customWidth="1"/>
    <col min="2821" max="2821" width="9.85546875" style="602" bestFit="1" customWidth="1"/>
    <col min="2822" max="3072" width="11.42578125" style="602"/>
    <col min="3073" max="3073" width="26.28515625" style="602" bestFit="1" customWidth="1"/>
    <col min="3074" max="3074" width="52.7109375" style="602" customWidth="1"/>
    <col min="3075" max="3075" width="23.7109375" style="602" bestFit="1" customWidth="1"/>
    <col min="3076" max="3076" width="24" style="602" bestFit="1" customWidth="1"/>
    <col min="3077" max="3077" width="9.85546875" style="602" bestFit="1" customWidth="1"/>
    <col min="3078" max="3328" width="11.42578125" style="602"/>
    <col min="3329" max="3329" width="26.28515625" style="602" bestFit="1" customWidth="1"/>
    <col min="3330" max="3330" width="52.7109375" style="602" customWidth="1"/>
    <col min="3331" max="3331" width="23.7109375" style="602" bestFit="1" customWidth="1"/>
    <col min="3332" max="3332" width="24" style="602" bestFit="1" customWidth="1"/>
    <col min="3333" max="3333" width="9.85546875" style="602" bestFit="1" customWidth="1"/>
    <col min="3334" max="3584" width="11.42578125" style="602"/>
    <col min="3585" max="3585" width="26.28515625" style="602" bestFit="1" customWidth="1"/>
    <col min="3586" max="3586" width="52.7109375" style="602" customWidth="1"/>
    <col min="3587" max="3587" width="23.7109375" style="602" bestFit="1" customWidth="1"/>
    <col min="3588" max="3588" width="24" style="602" bestFit="1" customWidth="1"/>
    <col min="3589" max="3589" width="9.85546875" style="602" bestFit="1" customWidth="1"/>
    <col min="3590" max="3840" width="11.42578125" style="602"/>
    <col min="3841" max="3841" width="26.28515625" style="602" bestFit="1" customWidth="1"/>
    <col min="3842" max="3842" width="52.7109375" style="602" customWidth="1"/>
    <col min="3843" max="3843" width="23.7109375" style="602" bestFit="1" customWidth="1"/>
    <col min="3844" max="3844" width="24" style="602" bestFit="1" customWidth="1"/>
    <col min="3845" max="3845" width="9.85546875" style="602" bestFit="1" customWidth="1"/>
    <col min="3846" max="4096" width="11.42578125" style="602"/>
    <col min="4097" max="4097" width="26.28515625" style="602" bestFit="1" customWidth="1"/>
    <col min="4098" max="4098" width="52.7109375" style="602" customWidth="1"/>
    <col min="4099" max="4099" width="23.7109375" style="602" bestFit="1" customWidth="1"/>
    <col min="4100" max="4100" width="24" style="602" bestFit="1" customWidth="1"/>
    <col min="4101" max="4101" width="9.85546875" style="602" bestFit="1" customWidth="1"/>
    <col min="4102" max="4352" width="11.42578125" style="602"/>
    <col min="4353" max="4353" width="26.28515625" style="602" bestFit="1" customWidth="1"/>
    <col min="4354" max="4354" width="52.7109375" style="602" customWidth="1"/>
    <col min="4355" max="4355" width="23.7109375" style="602" bestFit="1" customWidth="1"/>
    <col min="4356" max="4356" width="24" style="602" bestFit="1" customWidth="1"/>
    <col min="4357" max="4357" width="9.85546875" style="602" bestFit="1" customWidth="1"/>
    <col min="4358" max="4608" width="11.42578125" style="602"/>
    <col min="4609" max="4609" width="26.28515625" style="602" bestFit="1" customWidth="1"/>
    <col min="4610" max="4610" width="52.7109375" style="602" customWidth="1"/>
    <col min="4611" max="4611" width="23.7109375" style="602" bestFit="1" customWidth="1"/>
    <col min="4612" max="4612" width="24" style="602" bestFit="1" customWidth="1"/>
    <col min="4613" max="4613" width="9.85546875" style="602" bestFit="1" customWidth="1"/>
    <col min="4614" max="4864" width="11.42578125" style="602"/>
    <col min="4865" max="4865" width="26.28515625" style="602" bestFit="1" customWidth="1"/>
    <col min="4866" max="4866" width="52.7109375" style="602" customWidth="1"/>
    <col min="4867" max="4867" width="23.7109375" style="602" bestFit="1" customWidth="1"/>
    <col min="4868" max="4868" width="24" style="602" bestFit="1" customWidth="1"/>
    <col min="4869" max="4869" width="9.85546875" style="602" bestFit="1" customWidth="1"/>
    <col min="4870" max="5120" width="11.42578125" style="602"/>
    <col min="5121" max="5121" width="26.28515625" style="602" bestFit="1" customWidth="1"/>
    <col min="5122" max="5122" width="52.7109375" style="602" customWidth="1"/>
    <col min="5123" max="5123" width="23.7109375" style="602" bestFit="1" customWidth="1"/>
    <col min="5124" max="5124" width="24" style="602" bestFit="1" customWidth="1"/>
    <col min="5125" max="5125" width="9.85546875" style="602" bestFit="1" customWidth="1"/>
    <col min="5126" max="5376" width="11.42578125" style="602"/>
    <col min="5377" max="5377" width="26.28515625" style="602" bestFit="1" customWidth="1"/>
    <col min="5378" max="5378" width="52.7109375" style="602" customWidth="1"/>
    <col min="5379" max="5379" width="23.7109375" style="602" bestFit="1" customWidth="1"/>
    <col min="5380" max="5380" width="24" style="602" bestFit="1" customWidth="1"/>
    <col min="5381" max="5381" width="9.85546875" style="602" bestFit="1" customWidth="1"/>
    <col min="5382" max="5632" width="11.42578125" style="602"/>
    <col min="5633" max="5633" width="26.28515625" style="602" bestFit="1" customWidth="1"/>
    <col min="5634" max="5634" width="52.7109375" style="602" customWidth="1"/>
    <col min="5635" max="5635" width="23.7109375" style="602" bestFit="1" customWidth="1"/>
    <col min="5636" max="5636" width="24" style="602" bestFit="1" customWidth="1"/>
    <col min="5637" max="5637" width="9.85546875" style="602" bestFit="1" customWidth="1"/>
    <col min="5638" max="5888" width="11.42578125" style="602"/>
    <col min="5889" max="5889" width="26.28515625" style="602" bestFit="1" customWidth="1"/>
    <col min="5890" max="5890" width="52.7109375" style="602" customWidth="1"/>
    <col min="5891" max="5891" width="23.7109375" style="602" bestFit="1" customWidth="1"/>
    <col min="5892" max="5892" width="24" style="602" bestFit="1" customWidth="1"/>
    <col min="5893" max="5893" width="9.85546875" style="602" bestFit="1" customWidth="1"/>
    <col min="5894" max="6144" width="11.42578125" style="602"/>
    <col min="6145" max="6145" width="26.28515625" style="602" bestFit="1" customWidth="1"/>
    <col min="6146" max="6146" width="52.7109375" style="602" customWidth="1"/>
    <col min="6147" max="6147" width="23.7109375" style="602" bestFit="1" customWidth="1"/>
    <col min="6148" max="6148" width="24" style="602" bestFit="1" customWidth="1"/>
    <col min="6149" max="6149" width="9.85546875" style="602" bestFit="1" customWidth="1"/>
    <col min="6150" max="6400" width="11.42578125" style="602"/>
    <col min="6401" max="6401" width="26.28515625" style="602" bestFit="1" customWidth="1"/>
    <col min="6402" max="6402" width="52.7109375" style="602" customWidth="1"/>
    <col min="6403" max="6403" width="23.7109375" style="602" bestFit="1" customWidth="1"/>
    <col min="6404" max="6404" width="24" style="602" bestFit="1" customWidth="1"/>
    <col min="6405" max="6405" width="9.85546875" style="602" bestFit="1" customWidth="1"/>
    <col min="6406" max="6656" width="11.42578125" style="602"/>
    <col min="6657" max="6657" width="26.28515625" style="602" bestFit="1" customWidth="1"/>
    <col min="6658" max="6658" width="52.7109375" style="602" customWidth="1"/>
    <col min="6659" max="6659" width="23.7109375" style="602" bestFit="1" customWidth="1"/>
    <col min="6660" max="6660" width="24" style="602" bestFit="1" customWidth="1"/>
    <col min="6661" max="6661" width="9.85546875" style="602" bestFit="1" customWidth="1"/>
    <col min="6662" max="6912" width="11.42578125" style="602"/>
    <col min="6913" max="6913" width="26.28515625" style="602" bestFit="1" customWidth="1"/>
    <col min="6914" max="6914" width="52.7109375" style="602" customWidth="1"/>
    <col min="6915" max="6915" width="23.7109375" style="602" bestFit="1" customWidth="1"/>
    <col min="6916" max="6916" width="24" style="602" bestFit="1" customWidth="1"/>
    <col min="6917" max="6917" width="9.85546875" style="602" bestFit="1" customWidth="1"/>
    <col min="6918" max="7168" width="11.42578125" style="602"/>
    <col min="7169" max="7169" width="26.28515625" style="602" bestFit="1" customWidth="1"/>
    <col min="7170" max="7170" width="52.7109375" style="602" customWidth="1"/>
    <col min="7171" max="7171" width="23.7109375" style="602" bestFit="1" customWidth="1"/>
    <col min="7172" max="7172" width="24" style="602" bestFit="1" customWidth="1"/>
    <col min="7173" max="7173" width="9.85546875" style="602" bestFit="1" customWidth="1"/>
    <col min="7174" max="7424" width="11.42578125" style="602"/>
    <col min="7425" max="7425" width="26.28515625" style="602" bestFit="1" customWidth="1"/>
    <col min="7426" max="7426" width="52.7109375" style="602" customWidth="1"/>
    <col min="7427" max="7427" width="23.7109375" style="602" bestFit="1" customWidth="1"/>
    <col min="7428" max="7428" width="24" style="602" bestFit="1" customWidth="1"/>
    <col min="7429" max="7429" width="9.85546875" style="602" bestFit="1" customWidth="1"/>
    <col min="7430" max="7680" width="11.42578125" style="602"/>
    <col min="7681" max="7681" width="26.28515625" style="602" bestFit="1" customWidth="1"/>
    <col min="7682" max="7682" width="52.7109375" style="602" customWidth="1"/>
    <col min="7683" max="7683" width="23.7109375" style="602" bestFit="1" customWidth="1"/>
    <col min="7684" max="7684" width="24" style="602" bestFit="1" customWidth="1"/>
    <col min="7685" max="7685" width="9.85546875" style="602" bestFit="1" customWidth="1"/>
    <col min="7686" max="7936" width="11.42578125" style="602"/>
    <col min="7937" max="7937" width="26.28515625" style="602" bestFit="1" customWidth="1"/>
    <col min="7938" max="7938" width="52.7109375" style="602" customWidth="1"/>
    <col min="7939" max="7939" width="23.7109375" style="602" bestFit="1" customWidth="1"/>
    <col min="7940" max="7940" width="24" style="602" bestFit="1" customWidth="1"/>
    <col min="7941" max="7941" width="9.85546875" style="602" bestFit="1" customWidth="1"/>
    <col min="7942" max="8192" width="11.42578125" style="602"/>
    <col min="8193" max="8193" width="26.28515625" style="602" bestFit="1" customWidth="1"/>
    <col min="8194" max="8194" width="52.7109375" style="602" customWidth="1"/>
    <col min="8195" max="8195" width="23.7109375" style="602" bestFit="1" customWidth="1"/>
    <col min="8196" max="8196" width="24" style="602" bestFit="1" customWidth="1"/>
    <col min="8197" max="8197" width="9.85546875" style="602" bestFit="1" customWidth="1"/>
    <col min="8198" max="8448" width="11.42578125" style="602"/>
    <col min="8449" max="8449" width="26.28515625" style="602" bestFit="1" customWidth="1"/>
    <col min="8450" max="8450" width="52.7109375" style="602" customWidth="1"/>
    <col min="8451" max="8451" width="23.7109375" style="602" bestFit="1" customWidth="1"/>
    <col min="8452" max="8452" width="24" style="602" bestFit="1" customWidth="1"/>
    <col min="8453" max="8453" width="9.85546875" style="602" bestFit="1" customWidth="1"/>
    <col min="8454" max="8704" width="11.42578125" style="602"/>
    <col min="8705" max="8705" width="26.28515625" style="602" bestFit="1" customWidth="1"/>
    <col min="8706" max="8706" width="52.7109375" style="602" customWidth="1"/>
    <col min="8707" max="8707" width="23.7109375" style="602" bestFit="1" customWidth="1"/>
    <col min="8708" max="8708" width="24" style="602" bestFit="1" customWidth="1"/>
    <col min="8709" max="8709" width="9.85546875" style="602" bestFit="1" customWidth="1"/>
    <col min="8710" max="8960" width="11.42578125" style="602"/>
    <col min="8961" max="8961" width="26.28515625" style="602" bestFit="1" customWidth="1"/>
    <col min="8962" max="8962" width="52.7109375" style="602" customWidth="1"/>
    <col min="8963" max="8963" width="23.7109375" style="602" bestFit="1" customWidth="1"/>
    <col min="8964" max="8964" width="24" style="602" bestFit="1" customWidth="1"/>
    <col min="8965" max="8965" width="9.85546875" style="602" bestFit="1" customWidth="1"/>
    <col min="8966" max="9216" width="11.42578125" style="602"/>
    <col min="9217" max="9217" width="26.28515625" style="602" bestFit="1" customWidth="1"/>
    <col min="9218" max="9218" width="52.7109375" style="602" customWidth="1"/>
    <col min="9219" max="9219" width="23.7109375" style="602" bestFit="1" customWidth="1"/>
    <col min="9220" max="9220" width="24" style="602" bestFit="1" customWidth="1"/>
    <col min="9221" max="9221" width="9.85546875" style="602" bestFit="1" customWidth="1"/>
    <col min="9222" max="9472" width="11.42578125" style="602"/>
    <col min="9473" max="9473" width="26.28515625" style="602" bestFit="1" customWidth="1"/>
    <col min="9474" max="9474" width="52.7109375" style="602" customWidth="1"/>
    <col min="9475" max="9475" width="23.7109375" style="602" bestFit="1" customWidth="1"/>
    <col min="9476" max="9476" width="24" style="602" bestFit="1" customWidth="1"/>
    <col min="9477" max="9477" width="9.85546875" style="602" bestFit="1" customWidth="1"/>
    <col min="9478" max="9728" width="11.42578125" style="602"/>
    <col min="9729" max="9729" width="26.28515625" style="602" bestFit="1" customWidth="1"/>
    <col min="9730" max="9730" width="52.7109375" style="602" customWidth="1"/>
    <col min="9731" max="9731" width="23.7109375" style="602" bestFit="1" customWidth="1"/>
    <col min="9732" max="9732" width="24" style="602" bestFit="1" customWidth="1"/>
    <col min="9733" max="9733" width="9.85546875" style="602" bestFit="1" customWidth="1"/>
    <col min="9734" max="9984" width="11.42578125" style="602"/>
    <col min="9985" max="9985" width="26.28515625" style="602" bestFit="1" customWidth="1"/>
    <col min="9986" max="9986" width="52.7109375" style="602" customWidth="1"/>
    <col min="9987" max="9987" width="23.7109375" style="602" bestFit="1" customWidth="1"/>
    <col min="9988" max="9988" width="24" style="602" bestFit="1" customWidth="1"/>
    <col min="9989" max="9989" width="9.85546875" style="602" bestFit="1" customWidth="1"/>
    <col min="9990" max="10240" width="11.42578125" style="602"/>
    <col min="10241" max="10241" width="26.28515625" style="602" bestFit="1" customWidth="1"/>
    <col min="10242" max="10242" width="52.7109375" style="602" customWidth="1"/>
    <col min="10243" max="10243" width="23.7109375" style="602" bestFit="1" customWidth="1"/>
    <col min="10244" max="10244" width="24" style="602" bestFit="1" customWidth="1"/>
    <col min="10245" max="10245" width="9.85546875" style="602" bestFit="1" customWidth="1"/>
    <col min="10246" max="10496" width="11.42578125" style="602"/>
    <col min="10497" max="10497" width="26.28515625" style="602" bestFit="1" customWidth="1"/>
    <col min="10498" max="10498" width="52.7109375" style="602" customWidth="1"/>
    <col min="10499" max="10499" width="23.7109375" style="602" bestFit="1" customWidth="1"/>
    <col min="10500" max="10500" width="24" style="602" bestFit="1" customWidth="1"/>
    <col min="10501" max="10501" width="9.85546875" style="602" bestFit="1" customWidth="1"/>
    <col min="10502" max="10752" width="11.42578125" style="602"/>
    <col min="10753" max="10753" width="26.28515625" style="602" bestFit="1" customWidth="1"/>
    <col min="10754" max="10754" width="52.7109375" style="602" customWidth="1"/>
    <col min="10755" max="10755" width="23.7109375" style="602" bestFit="1" customWidth="1"/>
    <col min="10756" max="10756" width="24" style="602" bestFit="1" customWidth="1"/>
    <col min="10757" max="10757" width="9.85546875" style="602" bestFit="1" customWidth="1"/>
    <col min="10758" max="11008" width="11.42578125" style="602"/>
    <col min="11009" max="11009" width="26.28515625" style="602" bestFit="1" customWidth="1"/>
    <col min="11010" max="11010" width="52.7109375" style="602" customWidth="1"/>
    <col min="11011" max="11011" width="23.7109375" style="602" bestFit="1" customWidth="1"/>
    <col min="11012" max="11012" width="24" style="602" bestFit="1" customWidth="1"/>
    <col min="11013" max="11013" width="9.85546875" style="602" bestFit="1" customWidth="1"/>
    <col min="11014" max="11264" width="11.42578125" style="602"/>
    <col min="11265" max="11265" width="26.28515625" style="602" bestFit="1" customWidth="1"/>
    <col min="11266" max="11266" width="52.7109375" style="602" customWidth="1"/>
    <col min="11267" max="11267" width="23.7109375" style="602" bestFit="1" customWidth="1"/>
    <col min="11268" max="11268" width="24" style="602" bestFit="1" customWidth="1"/>
    <col min="11269" max="11269" width="9.85546875" style="602" bestFit="1" customWidth="1"/>
    <col min="11270" max="11520" width="11.42578125" style="602"/>
    <col min="11521" max="11521" width="26.28515625" style="602" bestFit="1" customWidth="1"/>
    <col min="11522" max="11522" width="52.7109375" style="602" customWidth="1"/>
    <col min="11523" max="11523" width="23.7109375" style="602" bestFit="1" customWidth="1"/>
    <col min="11524" max="11524" width="24" style="602" bestFit="1" customWidth="1"/>
    <col min="11525" max="11525" width="9.85546875" style="602" bestFit="1" customWidth="1"/>
    <col min="11526" max="11776" width="11.42578125" style="602"/>
    <col min="11777" max="11777" width="26.28515625" style="602" bestFit="1" customWidth="1"/>
    <col min="11778" max="11778" width="52.7109375" style="602" customWidth="1"/>
    <col min="11779" max="11779" width="23.7109375" style="602" bestFit="1" customWidth="1"/>
    <col min="11780" max="11780" width="24" style="602" bestFit="1" customWidth="1"/>
    <col min="11781" max="11781" width="9.85546875" style="602" bestFit="1" customWidth="1"/>
    <col min="11782" max="12032" width="11.42578125" style="602"/>
    <col min="12033" max="12033" width="26.28515625" style="602" bestFit="1" customWidth="1"/>
    <col min="12034" max="12034" width="52.7109375" style="602" customWidth="1"/>
    <col min="12035" max="12035" width="23.7109375" style="602" bestFit="1" customWidth="1"/>
    <col min="12036" max="12036" width="24" style="602" bestFit="1" customWidth="1"/>
    <col min="12037" max="12037" width="9.85546875" style="602" bestFit="1" customWidth="1"/>
    <col min="12038" max="12288" width="11.42578125" style="602"/>
    <col min="12289" max="12289" width="26.28515625" style="602" bestFit="1" customWidth="1"/>
    <col min="12290" max="12290" width="52.7109375" style="602" customWidth="1"/>
    <col min="12291" max="12291" width="23.7109375" style="602" bestFit="1" customWidth="1"/>
    <col min="12292" max="12292" width="24" style="602" bestFit="1" customWidth="1"/>
    <col min="12293" max="12293" width="9.85546875" style="602" bestFit="1" customWidth="1"/>
    <col min="12294" max="12544" width="11.42578125" style="602"/>
    <col min="12545" max="12545" width="26.28515625" style="602" bestFit="1" customWidth="1"/>
    <col min="12546" max="12546" width="52.7109375" style="602" customWidth="1"/>
    <col min="12547" max="12547" width="23.7109375" style="602" bestFit="1" customWidth="1"/>
    <col min="12548" max="12548" width="24" style="602" bestFit="1" customWidth="1"/>
    <col min="12549" max="12549" width="9.85546875" style="602" bestFit="1" customWidth="1"/>
    <col min="12550" max="12800" width="11.42578125" style="602"/>
    <col min="12801" max="12801" width="26.28515625" style="602" bestFit="1" customWidth="1"/>
    <col min="12802" max="12802" width="52.7109375" style="602" customWidth="1"/>
    <col min="12803" max="12803" width="23.7109375" style="602" bestFit="1" customWidth="1"/>
    <col min="12804" max="12804" width="24" style="602" bestFit="1" customWidth="1"/>
    <col min="12805" max="12805" width="9.85546875" style="602" bestFit="1" customWidth="1"/>
    <col min="12806" max="13056" width="11.42578125" style="602"/>
    <col min="13057" max="13057" width="26.28515625" style="602" bestFit="1" customWidth="1"/>
    <col min="13058" max="13058" width="52.7109375" style="602" customWidth="1"/>
    <col min="13059" max="13059" width="23.7109375" style="602" bestFit="1" customWidth="1"/>
    <col min="13060" max="13060" width="24" style="602" bestFit="1" customWidth="1"/>
    <col min="13061" max="13061" width="9.85546875" style="602" bestFit="1" customWidth="1"/>
    <col min="13062" max="13312" width="11.42578125" style="602"/>
    <col min="13313" max="13313" width="26.28515625" style="602" bestFit="1" customWidth="1"/>
    <col min="13314" max="13314" width="52.7109375" style="602" customWidth="1"/>
    <col min="13315" max="13315" width="23.7109375" style="602" bestFit="1" customWidth="1"/>
    <col min="13316" max="13316" width="24" style="602" bestFit="1" customWidth="1"/>
    <col min="13317" max="13317" width="9.85546875" style="602" bestFit="1" customWidth="1"/>
    <col min="13318" max="13568" width="11.42578125" style="602"/>
    <col min="13569" max="13569" width="26.28515625" style="602" bestFit="1" customWidth="1"/>
    <col min="13570" max="13570" width="52.7109375" style="602" customWidth="1"/>
    <col min="13571" max="13571" width="23.7109375" style="602" bestFit="1" customWidth="1"/>
    <col min="13572" max="13572" width="24" style="602" bestFit="1" customWidth="1"/>
    <col min="13573" max="13573" width="9.85546875" style="602" bestFit="1" customWidth="1"/>
    <col min="13574" max="13824" width="11.42578125" style="602"/>
    <col min="13825" max="13825" width="26.28515625" style="602" bestFit="1" customWidth="1"/>
    <col min="13826" max="13826" width="52.7109375" style="602" customWidth="1"/>
    <col min="13827" max="13827" width="23.7109375" style="602" bestFit="1" customWidth="1"/>
    <col min="13828" max="13828" width="24" style="602" bestFit="1" customWidth="1"/>
    <col min="13829" max="13829" width="9.85546875" style="602" bestFit="1" customWidth="1"/>
    <col min="13830" max="14080" width="11.42578125" style="602"/>
    <col min="14081" max="14081" width="26.28515625" style="602" bestFit="1" customWidth="1"/>
    <col min="14082" max="14082" width="52.7109375" style="602" customWidth="1"/>
    <col min="14083" max="14083" width="23.7109375" style="602" bestFit="1" customWidth="1"/>
    <col min="14084" max="14084" width="24" style="602" bestFit="1" customWidth="1"/>
    <col min="14085" max="14085" width="9.85546875" style="602" bestFit="1" customWidth="1"/>
    <col min="14086" max="14336" width="11.42578125" style="602"/>
    <col min="14337" max="14337" width="26.28515625" style="602" bestFit="1" customWidth="1"/>
    <col min="14338" max="14338" width="52.7109375" style="602" customWidth="1"/>
    <col min="14339" max="14339" width="23.7109375" style="602" bestFit="1" customWidth="1"/>
    <col min="14340" max="14340" width="24" style="602" bestFit="1" customWidth="1"/>
    <col min="14341" max="14341" width="9.85546875" style="602" bestFit="1" customWidth="1"/>
    <col min="14342" max="14592" width="11.42578125" style="602"/>
    <col min="14593" max="14593" width="26.28515625" style="602" bestFit="1" customWidth="1"/>
    <col min="14594" max="14594" width="52.7109375" style="602" customWidth="1"/>
    <col min="14595" max="14595" width="23.7109375" style="602" bestFit="1" customWidth="1"/>
    <col min="14596" max="14596" width="24" style="602" bestFit="1" customWidth="1"/>
    <col min="14597" max="14597" width="9.85546875" style="602" bestFit="1" customWidth="1"/>
    <col min="14598" max="14848" width="11.42578125" style="602"/>
    <col min="14849" max="14849" width="26.28515625" style="602" bestFit="1" customWidth="1"/>
    <col min="14850" max="14850" width="52.7109375" style="602" customWidth="1"/>
    <col min="14851" max="14851" width="23.7109375" style="602" bestFit="1" customWidth="1"/>
    <col min="14852" max="14852" width="24" style="602" bestFit="1" customWidth="1"/>
    <col min="14853" max="14853" width="9.85546875" style="602" bestFit="1" customWidth="1"/>
    <col min="14854" max="15104" width="11.42578125" style="602"/>
    <col min="15105" max="15105" width="26.28515625" style="602" bestFit="1" customWidth="1"/>
    <col min="15106" max="15106" width="52.7109375" style="602" customWidth="1"/>
    <col min="15107" max="15107" width="23.7109375" style="602" bestFit="1" customWidth="1"/>
    <col min="15108" max="15108" width="24" style="602" bestFit="1" customWidth="1"/>
    <col min="15109" max="15109" width="9.85546875" style="602" bestFit="1" customWidth="1"/>
    <col min="15110" max="15360" width="11.42578125" style="602"/>
    <col min="15361" max="15361" width="26.28515625" style="602" bestFit="1" customWidth="1"/>
    <col min="15362" max="15362" width="52.7109375" style="602" customWidth="1"/>
    <col min="15363" max="15363" width="23.7109375" style="602" bestFit="1" customWidth="1"/>
    <col min="15364" max="15364" width="24" style="602" bestFit="1" customWidth="1"/>
    <col min="15365" max="15365" width="9.85546875" style="602" bestFit="1" customWidth="1"/>
    <col min="15366" max="15616" width="11.42578125" style="602"/>
    <col min="15617" max="15617" width="26.28515625" style="602" bestFit="1" customWidth="1"/>
    <col min="15618" max="15618" width="52.7109375" style="602" customWidth="1"/>
    <col min="15619" max="15619" width="23.7109375" style="602" bestFit="1" customWidth="1"/>
    <col min="15620" max="15620" width="24" style="602" bestFit="1" customWidth="1"/>
    <col min="15621" max="15621" width="9.85546875" style="602" bestFit="1" customWidth="1"/>
    <col min="15622" max="15872" width="11.42578125" style="602"/>
    <col min="15873" max="15873" width="26.28515625" style="602" bestFit="1" customWidth="1"/>
    <col min="15874" max="15874" width="52.7109375" style="602" customWidth="1"/>
    <col min="15875" max="15875" width="23.7109375" style="602" bestFit="1" customWidth="1"/>
    <col min="15876" max="15876" width="24" style="602" bestFit="1" customWidth="1"/>
    <col min="15877" max="15877" width="9.85546875" style="602" bestFit="1" customWidth="1"/>
    <col min="15878" max="16128" width="11.42578125" style="602"/>
    <col min="16129" max="16129" width="26.28515625" style="602" bestFit="1" customWidth="1"/>
    <col min="16130" max="16130" width="52.7109375" style="602" customWidth="1"/>
    <col min="16131" max="16131" width="23.7109375" style="602" bestFit="1" customWidth="1"/>
    <col min="16132" max="16132" width="24" style="602" bestFit="1" customWidth="1"/>
    <col min="16133" max="16133" width="9.85546875" style="602" bestFit="1" customWidth="1"/>
    <col min="16134" max="16384" width="11.42578125" style="602"/>
  </cols>
  <sheetData>
    <row r="1" spans="1:6" x14ac:dyDescent="0.2">
      <c r="A1" s="615" t="s">
        <v>295</v>
      </c>
      <c r="B1" s="616"/>
      <c r="C1" s="616"/>
      <c r="D1" s="616"/>
      <c r="E1" s="710"/>
    </row>
    <row r="2" spans="1:6" x14ac:dyDescent="0.2">
      <c r="A2" s="617" t="s">
        <v>373</v>
      </c>
      <c r="B2" s="618"/>
      <c r="C2" s="618"/>
      <c r="D2" s="618"/>
      <c r="E2" s="711"/>
      <c r="F2" s="601"/>
    </row>
    <row r="3" spans="1:6" x14ac:dyDescent="0.2">
      <c r="A3" s="617" t="s">
        <v>374</v>
      </c>
      <c r="B3" s="618"/>
      <c r="C3" s="618"/>
      <c r="D3" s="618"/>
      <c r="E3" s="712"/>
      <c r="F3" s="601"/>
    </row>
    <row r="4" spans="1:6" x14ac:dyDescent="0.2">
      <c r="A4" s="617"/>
      <c r="B4" s="713"/>
      <c r="C4" s="713"/>
      <c r="D4" s="713"/>
      <c r="E4" s="711"/>
      <c r="F4" s="601"/>
    </row>
    <row r="5" spans="1:6" x14ac:dyDescent="0.2">
      <c r="A5" s="617" t="s">
        <v>375</v>
      </c>
      <c r="B5" s="618"/>
      <c r="C5" s="618"/>
      <c r="D5" s="618"/>
      <c r="E5" s="712"/>
      <c r="F5" s="601"/>
    </row>
    <row r="6" spans="1:6" ht="13.5" thickBot="1" x14ac:dyDescent="0.25">
      <c r="A6" s="320"/>
      <c r="B6" s="321"/>
      <c r="C6" s="321"/>
      <c r="D6" s="321"/>
      <c r="E6" s="714"/>
    </row>
    <row r="7" spans="1:6" ht="13.5" thickBot="1" x14ac:dyDescent="0.25">
      <c r="A7" s="715" t="s">
        <v>291</v>
      </c>
      <c r="B7" s="405" t="s">
        <v>376</v>
      </c>
      <c r="C7" s="405" t="s">
        <v>377</v>
      </c>
      <c r="D7" s="405" t="s">
        <v>115</v>
      </c>
      <c r="E7" s="716" t="s">
        <v>378</v>
      </c>
    </row>
    <row r="8" spans="1:6" x14ac:dyDescent="0.2">
      <c r="A8" s="336"/>
      <c r="B8" s="230"/>
      <c r="C8" s="230"/>
      <c r="D8" s="230"/>
      <c r="E8" s="717"/>
    </row>
    <row r="9" spans="1:6" x14ac:dyDescent="0.2">
      <c r="A9" s="718" t="s">
        <v>379</v>
      </c>
      <c r="B9" s="719" t="s">
        <v>380</v>
      </c>
      <c r="C9" s="544"/>
      <c r="D9" s="382">
        <f>SUM(D11+D44+D105)</f>
        <v>25552055957.109997</v>
      </c>
      <c r="E9" s="364">
        <f>SUM(D9*100)/$D$163</f>
        <v>81.16185546020418</v>
      </c>
    </row>
    <row r="10" spans="1:6" x14ac:dyDescent="0.2">
      <c r="A10" s="298"/>
      <c r="B10" s="602" t="s">
        <v>381</v>
      </c>
      <c r="E10" s="603"/>
    </row>
    <row r="11" spans="1:6" x14ac:dyDescent="0.2">
      <c r="A11" s="718" t="s">
        <v>382</v>
      </c>
      <c r="B11" s="719" t="s">
        <v>383</v>
      </c>
      <c r="C11" s="544"/>
      <c r="D11" s="382">
        <f>SUM(D13+D37+D19)</f>
        <v>12991494000</v>
      </c>
      <c r="E11" s="364">
        <f>SUM(D11*100)/$D$163</f>
        <v>41.265319706953505</v>
      </c>
    </row>
    <row r="12" spans="1:6" x14ac:dyDescent="0.2">
      <c r="A12" s="298"/>
      <c r="E12" s="603"/>
    </row>
    <row r="13" spans="1:6" x14ac:dyDescent="0.2">
      <c r="A13" s="718" t="s">
        <v>384</v>
      </c>
      <c r="B13" s="544" t="s">
        <v>385</v>
      </c>
      <c r="C13" s="544"/>
      <c r="D13" s="382">
        <f>+C15</f>
        <v>7800000000</v>
      </c>
      <c r="E13" s="364">
        <f>SUM(D13*100)/$D$163</f>
        <v>24.775402560647557</v>
      </c>
    </row>
    <row r="14" spans="1:6" x14ac:dyDescent="0.2">
      <c r="A14" s="298"/>
      <c r="E14" s="603"/>
    </row>
    <row r="15" spans="1:6" s="239" customFormat="1" ht="12" customHeight="1" x14ac:dyDescent="0.2">
      <c r="A15" s="238" t="s">
        <v>386</v>
      </c>
      <c r="B15" s="720" t="s">
        <v>387</v>
      </c>
      <c r="C15" s="400">
        <f>+C16+C17</f>
        <v>7800000000</v>
      </c>
      <c r="E15" s="312">
        <f>SUM(C15*100)/$D$163</f>
        <v>24.775402560647557</v>
      </c>
    </row>
    <row r="16" spans="1:6" s="722" customFormat="1" x14ac:dyDescent="0.2">
      <c r="A16" s="721" t="s">
        <v>388</v>
      </c>
      <c r="B16" s="722" t="s">
        <v>389</v>
      </c>
      <c r="C16" s="723">
        <f>+[7]JUSTIFICACION!H17</f>
        <v>7800000000</v>
      </c>
      <c r="E16" s="724">
        <f>SUM(C16*100)/$D$163</f>
        <v>24.775402560647557</v>
      </c>
    </row>
    <row r="17" spans="1:5" s="722" customFormat="1" hidden="1" x14ac:dyDescent="0.2">
      <c r="A17" s="721" t="s">
        <v>390</v>
      </c>
      <c r="B17" s="722" t="s">
        <v>391</v>
      </c>
      <c r="C17" s="723">
        <v>0</v>
      </c>
      <c r="E17" s="724">
        <f>SUM(C17*100)/$D$163</f>
        <v>0</v>
      </c>
    </row>
    <row r="18" spans="1:5" x14ac:dyDescent="0.2">
      <c r="A18" s="298"/>
      <c r="E18" s="603"/>
    </row>
    <row r="19" spans="1:5" x14ac:dyDescent="0.2">
      <c r="A19" s="718" t="s">
        <v>392</v>
      </c>
      <c r="B19" s="544" t="s">
        <v>393</v>
      </c>
      <c r="C19" s="544"/>
      <c r="D19" s="382">
        <f>+C21+C31</f>
        <v>4693494000</v>
      </c>
      <c r="E19" s="364">
        <f>SUM(D19*100)/$D$163</f>
        <v>14.908102982818454</v>
      </c>
    </row>
    <row r="20" spans="1:5" x14ac:dyDescent="0.2">
      <c r="A20" s="298"/>
      <c r="E20" s="603"/>
    </row>
    <row r="21" spans="1:5" ht="35.25" customHeight="1" x14ac:dyDescent="0.2">
      <c r="A21" s="238" t="s">
        <v>394</v>
      </c>
      <c r="B21" s="720" t="s">
        <v>395</v>
      </c>
      <c r="C21" s="725">
        <f>+C22+C28</f>
        <v>893244000</v>
      </c>
      <c r="E21" s="312">
        <f t="shared" ref="E21:E26" si="0">SUM(C21*100)/$D$163</f>
        <v>2.8372409852414187</v>
      </c>
    </row>
    <row r="22" spans="1:5" ht="25.5" x14ac:dyDescent="0.2">
      <c r="A22" s="238" t="s">
        <v>396</v>
      </c>
      <c r="B22" s="720" t="s">
        <v>397</v>
      </c>
      <c r="C22" s="725">
        <f>+C23+C24+C26</f>
        <v>881244000</v>
      </c>
      <c r="E22" s="312">
        <f t="shared" si="0"/>
        <v>2.799124981301961</v>
      </c>
    </row>
    <row r="23" spans="1:5" ht="25.5" x14ac:dyDescent="0.2">
      <c r="A23" s="238" t="s">
        <v>398</v>
      </c>
      <c r="B23" s="726" t="s">
        <v>399</v>
      </c>
      <c r="C23" s="240">
        <f>+[7]JUSTIFICACION!H25</f>
        <v>81244000</v>
      </c>
      <c r="E23" s="237">
        <f t="shared" si="0"/>
        <v>0.25805805200477566</v>
      </c>
    </row>
    <row r="24" spans="1:5" ht="10.5" hidden="1" customHeight="1" x14ac:dyDescent="0.2">
      <c r="A24" s="238" t="s">
        <v>400</v>
      </c>
      <c r="B24" s="726" t="s">
        <v>401</v>
      </c>
      <c r="C24" s="240">
        <f>+C25</f>
        <v>0</v>
      </c>
      <c r="E24" s="237">
        <f t="shared" si="0"/>
        <v>0</v>
      </c>
    </row>
    <row r="25" spans="1:5" s="722" customFormat="1" hidden="1" x14ac:dyDescent="0.2">
      <c r="A25" s="721" t="s">
        <v>400</v>
      </c>
      <c r="B25" s="722" t="s">
        <v>402</v>
      </c>
      <c r="C25" s="723">
        <f>+[7]JUSTIFICACION!H32</f>
        <v>0</v>
      </c>
      <c r="E25" s="724">
        <f t="shared" si="0"/>
        <v>0</v>
      </c>
    </row>
    <row r="26" spans="1:5" x14ac:dyDescent="0.2">
      <c r="A26" s="238" t="s">
        <v>403</v>
      </c>
      <c r="B26" s="602" t="s">
        <v>404</v>
      </c>
      <c r="C26" s="240">
        <f>+[7]JUSTIFICACION!H39</f>
        <v>800000000</v>
      </c>
      <c r="E26" s="237">
        <f t="shared" si="0"/>
        <v>2.5410669292971853</v>
      </c>
    </row>
    <row r="27" spans="1:5" x14ac:dyDescent="0.2">
      <c r="A27" s="298"/>
      <c r="E27" s="603"/>
    </row>
    <row r="28" spans="1:5" ht="25.5" x14ac:dyDescent="0.2">
      <c r="A28" s="238" t="s">
        <v>405</v>
      </c>
      <c r="B28" s="720" t="s">
        <v>406</v>
      </c>
      <c r="C28" s="400">
        <f>+C29</f>
        <v>12000000</v>
      </c>
      <c r="E28" s="312">
        <f>SUM(C28*100)/$D$163</f>
        <v>3.8116003939457778E-2</v>
      </c>
    </row>
    <row r="29" spans="1:5" ht="25.5" x14ac:dyDescent="0.2">
      <c r="A29" s="238" t="s">
        <v>407</v>
      </c>
      <c r="B29" s="726" t="s">
        <v>408</v>
      </c>
      <c r="C29" s="240">
        <f>+[7]JUSTIFICACION!H46</f>
        <v>12000000</v>
      </c>
      <c r="E29" s="237">
        <f>SUM(C29*100)/$D$163</f>
        <v>3.8116003939457778E-2</v>
      </c>
    </row>
    <row r="30" spans="1:5" x14ac:dyDescent="0.2">
      <c r="A30" s="238"/>
      <c r="B30" s="726"/>
      <c r="C30" s="240"/>
      <c r="E30" s="237"/>
    </row>
    <row r="31" spans="1:5" ht="35.25" customHeight="1" x14ac:dyDescent="0.2">
      <c r="A31" s="238" t="s">
        <v>409</v>
      </c>
      <c r="B31" s="720" t="s">
        <v>410</v>
      </c>
      <c r="C31" s="725">
        <f>+C32</f>
        <v>3800250000</v>
      </c>
      <c r="E31" s="312">
        <f>SUM(C31*100)/$D$163</f>
        <v>12.070861997577035</v>
      </c>
    </row>
    <row r="32" spans="1:5" ht="35.25" customHeight="1" x14ac:dyDescent="0.2">
      <c r="A32" s="238" t="s">
        <v>411</v>
      </c>
      <c r="B32" s="720" t="s">
        <v>412</v>
      </c>
      <c r="C32" s="725">
        <f>+C33+C34</f>
        <v>3800250000</v>
      </c>
      <c r="E32" s="312">
        <f>SUM(C32*100)/$D$163</f>
        <v>12.070861997577035</v>
      </c>
    </row>
    <row r="33" spans="1:5" s="722" customFormat="1" x14ac:dyDescent="0.2">
      <c r="A33" s="721" t="s">
        <v>413</v>
      </c>
      <c r="B33" s="722" t="s">
        <v>414</v>
      </c>
      <c r="C33" s="723">
        <f>+[7]JUSTIFICACION!H53</f>
        <v>250000</v>
      </c>
      <c r="E33" s="724">
        <f>SUM(C33*100)/$D$163</f>
        <v>7.9408341540537037E-4</v>
      </c>
    </row>
    <row r="34" spans="1:5" s="722" customFormat="1" x14ac:dyDescent="0.2">
      <c r="A34" s="721" t="s">
        <v>415</v>
      </c>
      <c r="B34" s="722" t="s">
        <v>416</v>
      </c>
      <c r="C34" s="723">
        <f>+[7]JUSTIFICACION!H60</f>
        <v>3800000000</v>
      </c>
      <c r="E34" s="724">
        <f>SUM(C34*100)/$D$163</f>
        <v>12.07006791416163</v>
      </c>
    </row>
    <row r="35" spans="1:5" x14ac:dyDescent="0.2">
      <c r="A35" s="298"/>
      <c r="E35" s="603"/>
    </row>
    <row r="36" spans="1:5" x14ac:dyDescent="0.2">
      <c r="A36" s="298"/>
      <c r="E36" s="603"/>
    </row>
    <row r="37" spans="1:5" x14ac:dyDescent="0.2">
      <c r="A37" s="718" t="s">
        <v>417</v>
      </c>
      <c r="B37" s="544" t="s">
        <v>418</v>
      </c>
      <c r="C37" s="544"/>
      <c r="D37" s="382">
        <f>+C39</f>
        <v>498000000</v>
      </c>
      <c r="E37" s="364">
        <f>SUM(D37*100)/$D$163</f>
        <v>1.5818141634874978</v>
      </c>
    </row>
    <row r="38" spans="1:5" x14ac:dyDescent="0.2">
      <c r="A38" s="298"/>
      <c r="E38" s="603"/>
    </row>
    <row r="39" spans="1:5" s="239" customFormat="1" x14ac:dyDescent="0.2">
      <c r="A39" s="238" t="s">
        <v>419</v>
      </c>
      <c r="B39" s="239" t="s">
        <v>420</v>
      </c>
      <c r="C39" s="400">
        <f>SUM(C40:C41)</f>
        <v>498000000</v>
      </c>
      <c r="E39" s="312">
        <f>SUM(C39*100)/$D$163</f>
        <v>1.5818141634874978</v>
      </c>
    </row>
    <row r="40" spans="1:5" s="722" customFormat="1" x14ac:dyDescent="0.2">
      <c r="A40" s="238" t="s">
        <v>421</v>
      </c>
      <c r="B40" s="722" t="s">
        <v>422</v>
      </c>
      <c r="C40" s="723">
        <f>+[7]JUSTIFICACION!H67</f>
        <v>400000000</v>
      </c>
      <c r="E40" s="724">
        <f>SUM(C40*100)/$D$163</f>
        <v>1.2705334646485926</v>
      </c>
    </row>
    <row r="41" spans="1:5" s="722" customFormat="1" x14ac:dyDescent="0.2">
      <c r="A41" s="238" t="s">
        <v>423</v>
      </c>
      <c r="B41" s="722" t="s">
        <v>424</v>
      </c>
      <c r="C41" s="723">
        <f>+[7]JUSTIFICACION!H74</f>
        <v>98000000</v>
      </c>
      <c r="E41" s="724">
        <f>SUM(C41*100)/$D$163</f>
        <v>0.31128069883890519</v>
      </c>
    </row>
    <row r="42" spans="1:5" x14ac:dyDescent="0.2">
      <c r="A42" s="298"/>
      <c r="E42" s="603"/>
    </row>
    <row r="43" spans="1:5" x14ac:dyDescent="0.2">
      <c r="A43" s="298"/>
      <c r="E43" s="603"/>
    </row>
    <row r="44" spans="1:5" x14ac:dyDescent="0.2">
      <c r="A44" s="718" t="s">
        <v>425</v>
      </c>
      <c r="B44" s="719" t="s">
        <v>426</v>
      </c>
      <c r="C44" s="544"/>
      <c r="D44" s="382">
        <f>+D46+D83+D90+D101</f>
        <v>12388797181.379999</v>
      </c>
      <c r="E44" s="364">
        <f>SUM(D44*100)/$D$163</f>
        <v>39.350953514218624</v>
      </c>
    </row>
    <row r="45" spans="1:5" x14ac:dyDescent="0.2">
      <c r="A45" s="298"/>
      <c r="E45" s="603"/>
    </row>
    <row r="46" spans="1:5" x14ac:dyDescent="0.2">
      <c r="A46" s="718" t="s">
        <v>427</v>
      </c>
      <c r="B46" s="544" t="s">
        <v>428</v>
      </c>
      <c r="C46" s="544"/>
      <c r="D46" s="382">
        <f>+D48+D52+D75</f>
        <v>10703884605.16</v>
      </c>
      <c r="E46" s="364">
        <f>SUM(D46*100)/$D$163</f>
        <v>33.999108981481669</v>
      </c>
    </row>
    <row r="47" spans="1:5" x14ac:dyDescent="0.2">
      <c r="A47" s="298"/>
      <c r="E47" s="603"/>
    </row>
    <row r="48" spans="1:5" x14ac:dyDescent="0.2">
      <c r="A48" s="718" t="s">
        <v>429</v>
      </c>
      <c r="B48" s="544" t="s">
        <v>430</v>
      </c>
      <c r="C48" s="544"/>
      <c r="D48" s="382">
        <f>SUM(C50)</f>
        <v>3400000000</v>
      </c>
      <c r="E48" s="364">
        <f>SUM(D48*100)/$D$163</f>
        <v>10.799534449513038</v>
      </c>
    </row>
    <row r="49" spans="1:5" x14ac:dyDescent="0.2">
      <c r="A49" s="298"/>
      <c r="E49" s="603"/>
    </row>
    <row r="50" spans="1:5" x14ac:dyDescent="0.2">
      <c r="A50" s="238" t="s">
        <v>431</v>
      </c>
      <c r="B50" s="239" t="s">
        <v>432</v>
      </c>
      <c r="C50" s="400">
        <f>+[7]JUSTIFICACION!H81</f>
        <v>3400000000</v>
      </c>
      <c r="E50" s="312">
        <f>SUM(C50*100)/$D$163</f>
        <v>10.799534449513038</v>
      </c>
    </row>
    <row r="51" spans="1:5" x14ac:dyDescent="0.2">
      <c r="A51" s="298"/>
      <c r="E51" s="603"/>
    </row>
    <row r="52" spans="1:5" x14ac:dyDescent="0.2">
      <c r="A52" s="718" t="s">
        <v>433</v>
      </c>
      <c r="B52" s="544" t="s">
        <v>434</v>
      </c>
      <c r="C52" s="544"/>
      <c r="D52" s="382">
        <f>+C54+C59+C72</f>
        <v>7226884605.1599998</v>
      </c>
      <c r="E52" s="364">
        <f>SUM(D52*100)/$D$163</f>
        <v>22.954996840023778</v>
      </c>
    </row>
    <row r="53" spans="1:5" x14ac:dyDescent="0.2">
      <c r="A53" s="298"/>
      <c r="E53" s="603"/>
    </row>
    <row r="54" spans="1:5" s="239" customFormat="1" x14ac:dyDescent="0.2">
      <c r="A54" s="238" t="s">
        <v>435</v>
      </c>
      <c r="B54" s="239" t="s">
        <v>436</v>
      </c>
      <c r="C54" s="725">
        <f>+C55+C58</f>
        <v>322548927.95999998</v>
      </c>
      <c r="E54" s="312">
        <f t="shared" ref="E54:E73" si="1">SUM(C54*100)/$D$163</f>
        <v>1.0245230173992701</v>
      </c>
    </row>
    <row r="55" spans="1:5" s="604" customFormat="1" x14ac:dyDescent="0.2">
      <c r="A55" s="238" t="s">
        <v>437</v>
      </c>
      <c r="B55" s="604" t="s">
        <v>438</v>
      </c>
      <c r="C55" s="727">
        <f>+C56+C57</f>
        <v>321848927.95999998</v>
      </c>
      <c r="E55" s="247">
        <f t="shared" si="1"/>
        <v>1.0222995838361351</v>
      </c>
    </row>
    <row r="56" spans="1:5" s="722" customFormat="1" x14ac:dyDescent="0.2">
      <c r="A56" s="721" t="s">
        <v>439</v>
      </c>
      <c r="B56" s="722" t="s">
        <v>440</v>
      </c>
      <c r="C56" s="723">
        <f>+[7]JUSTIFICACION!H88</f>
        <v>321848927.95999998</v>
      </c>
      <c r="E56" s="724">
        <f t="shared" si="1"/>
        <v>1.0222995838361351</v>
      </c>
    </row>
    <row r="57" spans="1:5" s="722" customFormat="1" hidden="1" x14ac:dyDescent="0.2">
      <c r="A57" s="721" t="s">
        <v>441</v>
      </c>
      <c r="B57" s="722" t="s">
        <v>442</v>
      </c>
      <c r="C57" s="723">
        <f>+[8]JUSTIFICACION!$H$146</f>
        <v>0</v>
      </c>
      <c r="E57" s="724">
        <f t="shared" si="1"/>
        <v>0</v>
      </c>
    </row>
    <row r="58" spans="1:5" s="604" customFormat="1" x14ac:dyDescent="0.2">
      <c r="A58" s="238" t="s">
        <v>443</v>
      </c>
      <c r="B58" s="604" t="s">
        <v>249</v>
      </c>
      <c r="C58" s="559">
        <f>+[7]JUSTIFICACION!H95</f>
        <v>700000</v>
      </c>
      <c r="E58" s="247">
        <f t="shared" si="1"/>
        <v>2.2234335631350372E-3</v>
      </c>
    </row>
    <row r="59" spans="1:5" s="239" customFormat="1" x14ac:dyDescent="0.2">
      <c r="A59" s="238" t="s">
        <v>444</v>
      </c>
      <c r="B59" s="239" t="s">
        <v>445</v>
      </c>
      <c r="C59" s="400">
        <f>+C60+C63+C66+C71</f>
        <v>6894335677.1999998</v>
      </c>
      <c r="E59" s="312">
        <f t="shared" si="1"/>
        <v>21.898710486008291</v>
      </c>
    </row>
    <row r="60" spans="1:5" s="604" customFormat="1" x14ac:dyDescent="0.2">
      <c r="A60" s="238" t="s">
        <v>446</v>
      </c>
      <c r="B60" s="604" t="s">
        <v>447</v>
      </c>
      <c r="C60" s="559">
        <f>SUM(C61:C62)</f>
        <v>1715000000</v>
      </c>
      <c r="E60" s="247">
        <f t="shared" si="1"/>
        <v>5.4474122296808405</v>
      </c>
    </row>
    <row r="61" spans="1:5" s="722" customFormat="1" x14ac:dyDescent="0.2">
      <c r="A61" s="728" t="s">
        <v>448</v>
      </c>
      <c r="B61" s="722" t="s">
        <v>449</v>
      </c>
      <c r="C61" s="723">
        <f>+[7]JUSTIFICACION!H102</f>
        <v>840000000</v>
      </c>
      <c r="E61" s="724">
        <f t="shared" si="1"/>
        <v>2.6681202757620444</v>
      </c>
    </row>
    <row r="62" spans="1:5" s="722" customFormat="1" x14ac:dyDescent="0.2">
      <c r="A62" s="728" t="s">
        <v>450</v>
      </c>
      <c r="B62" s="722" t="s">
        <v>451</v>
      </c>
      <c r="C62" s="723">
        <f>+[7]JUSTIFICACION!H109</f>
        <v>875000000</v>
      </c>
      <c r="E62" s="724"/>
    </row>
    <row r="63" spans="1:5" ht="11.25" customHeight="1" x14ac:dyDescent="0.2">
      <c r="A63" s="238" t="s">
        <v>452</v>
      </c>
      <c r="B63" s="602" t="s">
        <v>453</v>
      </c>
      <c r="C63" s="240">
        <f>SUM(C64:C65)</f>
        <v>180000000</v>
      </c>
      <c r="E63" s="237">
        <f t="shared" si="1"/>
        <v>0.57174005909186665</v>
      </c>
    </row>
    <row r="64" spans="1:5" s="722" customFormat="1" x14ac:dyDescent="0.2">
      <c r="A64" s="728" t="s">
        <v>454</v>
      </c>
      <c r="B64" s="722" t="s">
        <v>455</v>
      </c>
      <c r="C64" s="723">
        <f>+[7]JUSTIFICACION!H116</f>
        <v>180000000</v>
      </c>
      <c r="E64" s="237">
        <f t="shared" si="1"/>
        <v>0.57174005909186665</v>
      </c>
    </row>
    <row r="65" spans="1:5" s="722" customFormat="1" hidden="1" x14ac:dyDescent="0.2">
      <c r="A65" s="728" t="s">
        <v>456</v>
      </c>
      <c r="B65" s="722" t="s">
        <v>457</v>
      </c>
      <c r="C65" s="723">
        <v>0</v>
      </c>
      <c r="E65" s="237">
        <f t="shared" si="1"/>
        <v>0</v>
      </c>
    </row>
    <row r="66" spans="1:5" x14ac:dyDescent="0.2">
      <c r="A66" s="238" t="s">
        <v>458</v>
      </c>
      <c r="B66" s="602" t="s">
        <v>459</v>
      </c>
      <c r="C66" s="559">
        <f>SUM(C67:C70)</f>
        <v>4999335677.1999998</v>
      </c>
      <c r="E66" s="247">
        <f t="shared" si="1"/>
        <v>15.879558197235585</v>
      </c>
    </row>
    <row r="67" spans="1:5" s="722" customFormat="1" x14ac:dyDescent="0.2">
      <c r="A67" s="728" t="s">
        <v>460</v>
      </c>
      <c r="B67" s="722" t="s">
        <v>245</v>
      </c>
      <c r="C67" s="723">
        <f>+[7]JUSTIFICACION!H130</f>
        <v>3900000000</v>
      </c>
      <c r="E67" s="724">
        <f t="shared" si="1"/>
        <v>12.387701280323778</v>
      </c>
    </row>
    <row r="68" spans="1:5" s="722" customFormat="1" x14ac:dyDescent="0.2">
      <c r="A68" s="728" t="s">
        <v>461</v>
      </c>
      <c r="B68" s="722" t="s">
        <v>244</v>
      </c>
      <c r="C68" s="723">
        <f>+[7]JUSTIFICACION!H137</f>
        <v>804853463.96000004</v>
      </c>
      <c r="E68" s="724">
        <f t="shared" si="1"/>
        <v>2.5564831502487997</v>
      </c>
    </row>
    <row r="69" spans="1:5" s="722" customFormat="1" x14ac:dyDescent="0.2">
      <c r="A69" s="728" t="s">
        <v>462</v>
      </c>
      <c r="B69" s="722" t="s">
        <v>463</v>
      </c>
      <c r="C69" s="723">
        <f>+[7]JUSTIFICACION!H144</f>
        <v>274482213.24000001</v>
      </c>
      <c r="E69" s="724">
        <f t="shared" si="1"/>
        <v>0.87184709343057754</v>
      </c>
    </row>
    <row r="70" spans="1:5" x14ac:dyDescent="0.2">
      <c r="A70" s="728" t="s">
        <v>464</v>
      </c>
      <c r="B70" s="722" t="s">
        <v>240</v>
      </c>
      <c r="C70" s="723">
        <f>+[7]JUSTIFICACION!H151</f>
        <v>20000000</v>
      </c>
      <c r="E70" s="237">
        <f>SUM(C70*100)/$D$163</f>
        <v>6.3526673232429623E-2</v>
      </c>
    </row>
    <row r="71" spans="1:5" hidden="1" x14ac:dyDescent="0.2">
      <c r="A71" s="721" t="s">
        <v>465</v>
      </c>
      <c r="B71" s="602" t="s">
        <v>466</v>
      </c>
      <c r="C71" s="723">
        <f>+[7]JUSTIFICACION!H158</f>
        <v>0</v>
      </c>
      <c r="E71" s="237">
        <f>SUM(C71*100)/$D$163</f>
        <v>0</v>
      </c>
    </row>
    <row r="72" spans="1:5" s="722" customFormat="1" x14ac:dyDescent="0.2">
      <c r="A72" s="238" t="s">
        <v>467</v>
      </c>
      <c r="B72" s="239" t="s">
        <v>468</v>
      </c>
      <c r="C72" s="400">
        <f>+C73</f>
        <v>10000000</v>
      </c>
      <c r="E72" s="312">
        <f t="shared" si="1"/>
        <v>3.1763336616214811E-2</v>
      </c>
    </row>
    <row r="73" spans="1:5" x14ac:dyDescent="0.2">
      <c r="A73" s="238" t="s">
        <v>469</v>
      </c>
      <c r="B73" s="602" t="s">
        <v>470</v>
      </c>
      <c r="C73" s="240">
        <f>+[7]JUSTIFICACION!H166</f>
        <v>10000000</v>
      </c>
      <c r="E73" s="237">
        <f t="shared" si="1"/>
        <v>3.1763336616214811E-2</v>
      </c>
    </row>
    <row r="74" spans="1:5" x14ac:dyDescent="0.2">
      <c r="A74" s="298"/>
      <c r="E74" s="603"/>
    </row>
    <row r="75" spans="1:5" x14ac:dyDescent="0.2">
      <c r="A75" s="718" t="s">
        <v>471</v>
      </c>
      <c r="B75" s="544" t="s">
        <v>472</v>
      </c>
      <c r="C75" s="544"/>
      <c r="D75" s="382">
        <f>+C76+C79</f>
        <v>77000000</v>
      </c>
      <c r="E75" s="364">
        <f>SUM(D75*100)/$D$163</f>
        <v>0.24457769194485407</v>
      </c>
    </row>
    <row r="76" spans="1:5" ht="24.75" customHeight="1" x14ac:dyDescent="0.2">
      <c r="A76" s="238" t="s">
        <v>473</v>
      </c>
      <c r="B76" s="720" t="s">
        <v>474</v>
      </c>
      <c r="C76" s="400">
        <f>+C77</f>
        <v>72000000</v>
      </c>
      <c r="E76" s="603"/>
    </row>
    <row r="77" spans="1:5" ht="25.5" x14ac:dyDescent="0.2">
      <c r="A77" s="238" t="s">
        <v>475</v>
      </c>
      <c r="B77" s="729" t="s">
        <v>476</v>
      </c>
      <c r="C77" s="240">
        <f>+C78</f>
        <v>72000000</v>
      </c>
      <c r="E77" s="247">
        <f>SUM(C77*100)/$D$163</f>
        <v>0.22869602363674665</v>
      </c>
    </row>
    <row r="78" spans="1:5" s="722" customFormat="1" x14ac:dyDescent="0.2">
      <c r="A78" s="728" t="s">
        <v>477</v>
      </c>
      <c r="B78" s="722" t="s">
        <v>478</v>
      </c>
      <c r="C78" s="723">
        <f>+[7]JUSTIFICACION!H173</f>
        <v>72000000</v>
      </c>
      <c r="E78" s="724">
        <f>SUM(C78*100)/$D$163</f>
        <v>0.22869602363674665</v>
      </c>
    </row>
    <row r="79" spans="1:5" ht="27.75" customHeight="1" thickBot="1" x14ac:dyDescent="0.25">
      <c r="A79" s="452" t="s">
        <v>479</v>
      </c>
      <c r="B79" s="730" t="s">
        <v>480</v>
      </c>
      <c r="C79" s="454">
        <f>+C80</f>
        <v>5000000</v>
      </c>
      <c r="D79" s="321"/>
      <c r="E79" s="731">
        <f>SUM(C79*100)/$D$163</f>
        <v>1.5881668308107406E-2</v>
      </c>
    </row>
    <row r="80" spans="1:5" s="722" customFormat="1" ht="29.25" customHeight="1" x14ac:dyDescent="0.2">
      <c r="A80" s="238" t="s">
        <v>481</v>
      </c>
      <c r="B80" s="729" t="s">
        <v>482</v>
      </c>
      <c r="C80" s="559">
        <f>+C81</f>
        <v>5000000</v>
      </c>
      <c r="E80" s="237">
        <f>SUM(C80*100)/$D$163</f>
        <v>1.5881668308107406E-2</v>
      </c>
    </row>
    <row r="81" spans="1:5" s="722" customFormat="1" x14ac:dyDescent="0.2">
      <c r="A81" s="728" t="s">
        <v>483</v>
      </c>
      <c r="B81" s="722" t="s">
        <v>484</v>
      </c>
      <c r="C81" s="723">
        <f>+[7]JUSTIFICACION!H180</f>
        <v>5000000</v>
      </c>
      <c r="E81" s="724">
        <f>SUM(C81*100)/$D$163</f>
        <v>1.5881668308107406E-2</v>
      </c>
    </row>
    <row r="82" spans="1:5" s="722" customFormat="1" x14ac:dyDescent="0.2">
      <c r="A82" s="728"/>
      <c r="C82" s="723"/>
      <c r="E82" s="724"/>
    </row>
    <row r="83" spans="1:5" x14ac:dyDescent="0.2">
      <c r="A83" s="718" t="s">
        <v>485</v>
      </c>
      <c r="B83" s="544" t="s">
        <v>486</v>
      </c>
      <c r="C83" s="544"/>
      <c r="D83" s="382">
        <f>+D85</f>
        <v>750000000</v>
      </c>
      <c r="E83" s="364">
        <f>SUM(D83*100)/$D$163</f>
        <v>2.382250246216111</v>
      </c>
    </row>
    <row r="84" spans="1:5" x14ac:dyDescent="0.2">
      <c r="A84" s="298"/>
      <c r="E84" s="603"/>
    </row>
    <row r="85" spans="1:5" ht="11.25" customHeight="1" x14ac:dyDescent="0.2">
      <c r="A85" s="718" t="s">
        <v>487</v>
      </c>
      <c r="B85" s="544" t="s">
        <v>488</v>
      </c>
      <c r="C85" s="544"/>
      <c r="D85" s="382">
        <f>+C87</f>
        <v>750000000</v>
      </c>
      <c r="E85" s="364">
        <f>SUM(D85*100)/$D$163</f>
        <v>2.382250246216111</v>
      </c>
    </row>
    <row r="86" spans="1:5" x14ac:dyDescent="0.2">
      <c r="A86" s="238"/>
      <c r="B86" s="729"/>
      <c r="C86" s="240"/>
      <c r="E86" s="603"/>
    </row>
    <row r="87" spans="1:5" x14ac:dyDescent="0.2">
      <c r="A87" s="238" t="s">
        <v>489</v>
      </c>
      <c r="B87" s="729" t="s">
        <v>490</v>
      </c>
      <c r="C87" s="240">
        <f>+C88</f>
        <v>750000000</v>
      </c>
      <c r="E87" s="237">
        <f>SUM(C87*100)/$D$163</f>
        <v>2.382250246216111</v>
      </c>
    </row>
    <row r="88" spans="1:5" ht="25.5" x14ac:dyDescent="0.2">
      <c r="A88" s="238" t="s">
        <v>491</v>
      </c>
      <c r="B88" s="729" t="s">
        <v>492</v>
      </c>
      <c r="C88" s="240">
        <f>+[7]JUSTIFICACION!H189</f>
        <v>750000000</v>
      </c>
      <c r="E88" s="237">
        <f>SUM(C88*100)/$D$163</f>
        <v>2.382250246216111</v>
      </c>
    </row>
    <row r="89" spans="1:5" x14ac:dyDescent="0.2">
      <c r="A89" s="298"/>
      <c r="E89" s="603"/>
    </row>
    <row r="90" spans="1:5" x14ac:dyDescent="0.2">
      <c r="A90" s="718" t="s">
        <v>493</v>
      </c>
      <c r="B90" s="544" t="s">
        <v>494</v>
      </c>
      <c r="C90" s="544"/>
      <c r="D90" s="382">
        <f>+D92</f>
        <v>459912576.22000003</v>
      </c>
      <c r="E90" s="364">
        <f>SUM(D90*100)/$D$163</f>
        <v>1.4608357972506414</v>
      </c>
    </row>
    <row r="91" spans="1:5" x14ac:dyDescent="0.2">
      <c r="A91" s="298"/>
      <c r="E91" s="603"/>
    </row>
    <row r="92" spans="1:5" x14ac:dyDescent="0.2">
      <c r="A92" s="718" t="s">
        <v>495</v>
      </c>
      <c r="B92" s="544" t="s">
        <v>496</v>
      </c>
      <c r="C92" s="544"/>
      <c r="D92" s="382">
        <f>+C94+C96+C98</f>
        <v>459912576.22000003</v>
      </c>
      <c r="E92" s="364">
        <f>SUM(D92*100)/$D$163</f>
        <v>1.4608357972506414</v>
      </c>
    </row>
    <row r="93" spans="1:5" x14ac:dyDescent="0.2">
      <c r="A93" s="298"/>
      <c r="E93" s="603"/>
    </row>
    <row r="94" spans="1:5" x14ac:dyDescent="0.2">
      <c r="A94" s="238" t="s">
        <v>497</v>
      </c>
      <c r="B94" s="239" t="s">
        <v>498</v>
      </c>
      <c r="C94" s="400">
        <f>+C95</f>
        <v>127000000</v>
      </c>
      <c r="E94" s="312">
        <f>SUM(C94*100)/$D$163</f>
        <v>0.40339437502592812</v>
      </c>
    </row>
    <row r="95" spans="1:5" s="722" customFormat="1" x14ac:dyDescent="0.2">
      <c r="A95" s="721" t="s">
        <v>499</v>
      </c>
      <c r="B95" s="722" t="s">
        <v>500</v>
      </c>
      <c r="C95" s="723">
        <f>+[7]JUSTIFICACION!H196</f>
        <v>127000000</v>
      </c>
      <c r="E95" s="724">
        <f>SUM(C95*100)/$D$163</f>
        <v>0.40339437502592812</v>
      </c>
    </row>
    <row r="96" spans="1:5" x14ac:dyDescent="0.2">
      <c r="A96" s="238" t="s">
        <v>501</v>
      </c>
      <c r="B96" s="239" t="s">
        <v>502</v>
      </c>
      <c r="C96" s="400">
        <f>+C97</f>
        <v>191100000</v>
      </c>
      <c r="E96" s="312">
        <f>SUM(C96*100)/$D$163</f>
        <v>0.60699736273586513</v>
      </c>
    </row>
    <row r="97" spans="1:5" s="722" customFormat="1" x14ac:dyDescent="0.2">
      <c r="A97" s="721" t="s">
        <v>503</v>
      </c>
      <c r="B97" s="722" t="s">
        <v>504</v>
      </c>
      <c r="C97" s="723">
        <f>+[7]JUSTIFICACION!H202</f>
        <v>191100000</v>
      </c>
      <c r="E97" s="724">
        <f>SUM(C97*100)/$D$163</f>
        <v>0.60699736273586513</v>
      </c>
    </row>
    <row r="98" spans="1:5" x14ac:dyDescent="0.2">
      <c r="A98" s="238" t="s">
        <v>505</v>
      </c>
      <c r="B98" s="239" t="s">
        <v>506</v>
      </c>
      <c r="C98" s="400">
        <f>SUM(C99)</f>
        <v>141812576.22</v>
      </c>
      <c r="E98" s="312">
        <f>SUM(C98*100)/$D$163</f>
        <v>0.45044405948884803</v>
      </c>
    </row>
    <row r="99" spans="1:5" s="722" customFormat="1" x14ac:dyDescent="0.2">
      <c r="A99" s="721" t="s">
        <v>507</v>
      </c>
      <c r="B99" s="722" t="s">
        <v>508</v>
      </c>
      <c r="C99" s="723">
        <f>+[7]JUSTIFICACION!H209</f>
        <v>141812576.22</v>
      </c>
      <c r="E99" s="732"/>
    </row>
    <row r="100" spans="1:5" x14ac:dyDescent="0.2">
      <c r="A100" s="238"/>
      <c r="B100" s="239"/>
      <c r="C100" s="400"/>
      <c r="E100" s="237"/>
    </row>
    <row r="101" spans="1:5" x14ac:dyDescent="0.2">
      <c r="A101" s="718" t="s">
        <v>509</v>
      </c>
      <c r="B101" s="544" t="s">
        <v>510</v>
      </c>
      <c r="C101" s="544"/>
      <c r="D101" s="382">
        <f>+C103</f>
        <v>475000000</v>
      </c>
      <c r="E101" s="364">
        <f>SUM(D101*100)/$D$163</f>
        <v>1.5087584892702037</v>
      </c>
    </row>
    <row r="102" spans="1:5" x14ac:dyDescent="0.2">
      <c r="A102" s="298"/>
      <c r="C102" s="240"/>
      <c r="E102" s="237"/>
    </row>
    <row r="103" spans="1:5" x14ac:dyDescent="0.2">
      <c r="A103" s="238" t="s">
        <v>511</v>
      </c>
      <c r="B103" s="239" t="s">
        <v>512</v>
      </c>
      <c r="C103" s="400">
        <f>+[7]JUSTIFICACION!H216</f>
        <v>475000000</v>
      </c>
      <c r="E103" s="237">
        <f>SUM(C103*100)/$D$163</f>
        <v>1.5087584892702037</v>
      </c>
    </row>
    <row r="104" spans="1:5" x14ac:dyDescent="0.2">
      <c r="A104" s="298"/>
      <c r="E104" s="603"/>
    </row>
    <row r="105" spans="1:5" x14ac:dyDescent="0.2">
      <c r="A105" s="718" t="s">
        <v>513</v>
      </c>
      <c r="B105" s="719" t="s">
        <v>207</v>
      </c>
      <c r="C105" s="544"/>
      <c r="D105" s="382">
        <f>SUM(D107)</f>
        <v>171764775.73000002</v>
      </c>
      <c r="E105" s="364">
        <f>SUM(D105*100)/$D$163</f>
        <v>0.54558223903206349</v>
      </c>
    </row>
    <row r="106" spans="1:5" x14ac:dyDescent="0.2">
      <c r="A106" s="298"/>
      <c r="E106" s="603"/>
    </row>
    <row r="107" spans="1:5" x14ac:dyDescent="0.2">
      <c r="A107" s="718" t="s">
        <v>514</v>
      </c>
      <c r="B107" s="544" t="s">
        <v>515</v>
      </c>
      <c r="C107" s="544"/>
      <c r="D107" s="382">
        <f>+C109+C112</f>
        <v>171764775.73000002</v>
      </c>
      <c r="E107" s="364">
        <f>SUM(D107*100)/$D$163</f>
        <v>0.54558223903206349</v>
      </c>
    </row>
    <row r="108" spans="1:5" x14ac:dyDescent="0.2">
      <c r="A108" s="298"/>
      <c r="E108" s="603"/>
    </row>
    <row r="109" spans="1:5" ht="27.75" customHeight="1" x14ac:dyDescent="0.2">
      <c r="A109" s="238" t="s">
        <v>516</v>
      </c>
      <c r="B109" s="720" t="s">
        <v>517</v>
      </c>
      <c r="C109" s="400">
        <f>SUM(C110:C111)</f>
        <v>103200000</v>
      </c>
      <c r="E109" s="312">
        <f>SUM(C109*100)/$D$163</f>
        <v>0.32779763387933691</v>
      </c>
    </row>
    <row r="110" spans="1:5" s="722" customFormat="1" ht="14.25" customHeight="1" x14ac:dyDescent="0.2">
      <c r="A110" s="728" t="s">
        <v>518</v>
      </c>
      <c r="B110" s="722" t="s">
        <v>519</v>
      </c>
      <c r="C110" s="723">
        <f>+[7]JUSTIFICACION!H223</f>
        <v>103200000</v>
      </c>
      <c r="D110" s="722" t="s">
        <v>15</v>
      </c>
      <c r="E110" s="724">
        <f>SUM(C110*100)/$D$163</f>
        <v>0.32779763387933691</v>
      </c>
    </row>
    <row r="111" spans="1:5" s="722" customFormat="1" hidden="1" x14ac:dyDescent="0.2">
      <c r="A111" s="728" t="s">
        <v>520</v>
      </c>
      <c r="B111" s="733" t="s">
        <v>521</v>
      </c>
      <c r="C111" s="734">
        <f>+[7]JUSTIFICACION!H230</f>
        <v>0</v>
      </c>
      <c r="E111" s="724"/>
    </row>
    <row r="112" spans="1:5" ht="25.5" x14ac:dyDescent="0.2">
      <c r="A112" s="238" t="s">
        <v>522</v>
      </c>
      <c r="B112" s="720" t="s">
        <v>523</v>
      </c>
      <c r="C112" s="400">
        <f>+C113</f>
        <v>68564775.730000004</v>
      </c>
      <c r="E112" s="312">
        <f>SUM(C112*100)/$D$163</f>
        <v>0.21778460515272657</v>
      </c>
    </row>
    <row r="113" spans="1:5" x14ac:dyDescent="0.2">
      <c r="A113" s="728" t="s">
        <v>524</v>
      </c>
      <c r="B113" s="602" t="s">
        <v>525</v>
      </c>
      <c r="C113" s="240">
        <f>+[7]JUSTIFICACION!H237</f>
        <v>68564775.730000004</v>
      </c>
      <c r="E113" s="237">
        <f>SUM(C113*100)/$D$163</f>
        <v>0.21778460515272657</v>
      </c>
    </row>
    <row r="114" spans="1:5" x14ac:dyDescent="0.2">
      <c r="A114" s="298"/>
      <c r="E114" s="603"/>
    </row>
    <row r="115" spans="1:5" x14ac:dyDescent="0.2">
      <c r="A115" s="718" t="s">
        <v>526</v>
      </c>
      <c r="B115" s="719" t="s">
        <v>527</v>
      </c>
      <c r="C115" s="544"/>
      <c r="D115" s="382">
        <f>+D128+D125+D117</f>
        <v>1400282013.52</v>
      </c>
      <c r="E115" s="364">
        <f>SUM(D115*100)/$D$163</f>
        <v>4.4477628953066821</v>
      </c>
    </row>
    <row r="116" spans="1:5" x14ac:dyDescent="0.2">
      <c r="A116" s="298"/>
      <c r="C116" s="240"/>
      <c r="E116" s="603"/>
    </row>
    <row r="117" spans="1:5" hidden="1" x14ac:dyDescent="0.2">
      <c r="A117" s="718" t="s">
        <v>528</v>
      </c>
      <c r="B117" s="544" t="s">
        <v>529</v>
      </c>
      <c r="C117" s="544"/>
      <c r="D117" s="382">
        <f>+D119</f>
        <v>0</v>
      </c>
      <c r="E117" s="364">
        <f>SUM(D117*100)/$D$163</f>
        <v>0</v>
      </c>
    </row>
    <row r="118" spans="1:5" hidden="1" x14ac:dyDescent="0.2">
      <c r="A118" s="298"/>
      <c r="E118" s="603"/>
    </row>
    <row r="119" spans="1:5" hidden="1" x14ac:dyDescent="0.2">
      <c r="A119" s="718" t="s">
        <v>530</v>
      </c>
      <c r="B119" s="544" t="s">
        <v>531</v>
      </c>
      <c r="C119" s="544"/>
      <c r="D119" s="382">
        <f>+C120</f>
        <v>0</v>
      </c>
      <c r="E119" s="364">
        <f>SUM(D119*100)/$D$163</f>
        <v>0</v>
      </c>
    </row>
    <row r="120" spans="1:5" s="239" customFormat="1" ht="10.5" hidden="1" customHeight="1" x14ac:dyDescent="0.2">
      <c r="A120" s="238" t="s">
        <v>532</v>
      </c>
      <c r="B120" s="239" t="s">
        <v>533</v>
      </c>
      <c r="C120" s="400">
        <f>+C121</f>
        <v>0</v>
      </c>
      <c r="E120" s="312">
        <f>SUM(C120*100)/$D$163</f>
        <v>0</v>
      </c>
    </row>
    <row r="121" spans="1:5" s="722" customFormat="1" hidden="1" x14ac:dyDescent="0.2">
      <c r="A121" s="721" t="s">
        <v>534</v>
      </c>
      <c r="B121" s="722" t="s">
        <v>535</v>
      </c>
      <c r="C121" s="723">
        <v>0</v>
      </c>
      <c r="E121" s="724">
        <f>SUM(C121*100)/$D$163</f>
        <v>0</v>
      </c>
    </row>
    <row r="122" spans="1:5" s="722" customFormat="1" hidden="1" x14ac:dyDescent="0.2">
      <c r="A122" s="721"/>
      <c r="C122" s="723"/>
      <c r="E122" s="724"/>
    </row>
    <row r="123" spans="1:5" ht="29.25" customHeight="1" x14ac:dyDescent="0.2">
      <c r="A123" s="718" t="s">
        <v>536</v>
      </c>
      <c r="B123" s="735" t="s">
        <v>537</v>
      </c>
      <c r="C123" s="544"/>
      <c r="D123" s="382">
        <f>+D125</f>
        <v>3000000</v>
      </c>
      <c r="E123" s="364">
        <f>SUM(D123*100)/$D$163</f>
        <v>9.5290009848644445E-3</v>
      </c>
    </row>
    <row r="124" spans="1:5" s="722" customFormat="1" x14ac:dyDescent="0.2">
      <c r="A124" s="721"/>
      <c r="C124" s="723"/>
      <c r="E124" s="724"/>
    </row>
    <row r="125" spans="1:5" ht="10.5" customHeight="1" x14ac:dyDescent="0.2">
      <c r="A125" s="718" t="s">
        <v>538</v>
      </c>
      <c r="B125" s="427" t="s">
        <v>539</v>
      </c>
      <c r="C125" s="361" t="s">
        <v>15</v>
      </c>
      <c r="D125" s="382">
        <f>SUM(C126)</f>
        <v>3000000</v>
      </c>
      <c r="E125" s="364">
        <f>SUM(D125*100)/$D$163</f>
        <v>9.5290009848644445E-3</v>
      </c>
    </row>
    <row r="126" spans="1:5" s="722" customFormat="1" x14ac:dyDescent="0.2">
      <c r="A126" s="728" t="s">
        <v>540</v>
      </c>
      <c r="B126" s="722" t="s">
        <v>210</v>
      </c>
      <c r="C126" s="723">
        <f>+[7]JUSTIFICACION!H244</f>
        <v>3000000</v>
      </c>
      <c r="E126" s="724">
        <f>SUM(C126*100)/$D$163</f>
        <v>9.5290009848644445E-3</v>
      </c>
    </row>
    <row r="127" spans="1:5" x14ac:dyDescent="0.2">
      <c r="A127" s="298"/>
      <c r="E127" s="603"/>
    </row>
    <row r="128" spans="1:5" x14ac:dyDescent="0.2">
      <c r="A128" s="718" t="s">
        <v>541</v>
      </c>
      <c r="B128" s="719" t="s">
        <v>542</v>
      </c>
      <c r="C128" s="544"/>
      <c r="D128" s="382">
        <f>SUM(D130)+D145</f>
        <v>1397282013.52</v>
      </c>
      <c r="E128" s="364">
        <f>SUM(D128*100)/$D$163</f>
        <v>4.4382338943218178</v>
      </c>
    </row>
    <row r="129" spans="1:5" x14ac:dyDescent="0.2">
      <c r="A129" s="298"/>
      <c r="E129" s="603"/>
    </row>
    <row r="130" spans="1:5" x14ac:dyDescent="0.2">
      <c r="A130" s="718" t="s">
        <v>543</v>
      </c>
      <c r="B130" s="544" t="s">
        <v>544</v>
      </c>
      <c r="C130" s="544"/>
      <c r="D130" s="382">
        <f>SUM(C132+C140)+C136</f>
        <v>1397282013.52</v>
      </c>
      <c r="E130" s="364">
        <f>SUM(D130*100)/$D$163</f>
        <v>4.4382338943218178</v>
      </c>
    </row>
    <row r="131" spans="1:5" x14ac:dyDescent="0.2">
      <c r="A131" s="298"/>
      <c r="E131" s="603"/>
    </row>
    <row r="132" spans="1:5" s="239" customFormat="1" x14ac:dyDescent="0.2">
      <c r="A132" s="238" t="s">
        <v>545</v>
      </c>
      <c r="B132" s="239" t="s">
        <v>546</v>
      </c>
      <c r="C132" s="335">
        <f>SUM(C133:C134)</f>
        <v>1373302108</v>
      </c>
      <c r="E132" s="312">
        <f>SUM(C132*100)/$D$163</f>
        <v>4.3620657132161389</v>
      </c>
    </row>
    <row r="133" spans="1:5" s="722" customFormat="1" x14ac:dyDescent="0.2">
      <c r="A133" s="728" t="s">
        <v>547</v>
      </c>
      <c r="B133" s="733" t="s">
        <v>548</v>
      </c>
      <c r="C133" s="734">
        <f>+[7]JUSTIFICACION!H251</f>
        <v>1073302108</v>
      </c>
      <c r="D133" s="736"/>
      <c r="E133" s="737">
        <f>SUM(C133*100)/$D$163</f>
        <v>3.4091656147296949</v>
      </c>
    </row>
    <row r="134" spans="1:5" s="722" customFormat="1" x14ac:dyDescent="0.2">
      <c r="A134" s="728" t="s">
        <v>549</v>
      </c>
      <c r="B134" s="733" t="s">
        <v>550</v>
      </c>
      <c r="C134" s="734">
        <f>+[7]JUSTIFICACION!H258</f>
        <v>300000000</v>
      </c>
      <c r="D134" s="736"/>
      <c r="E134" s="737"/>
    </row>
    <row r="135" spans="1:5" x14ac:dyDescent="0.2">
      <c r="A135" s="298"/>
      <c r="E135" s="603"/>
    </row>
    <row r="136" spans="1:5" s="239" customFormat="1" hidden="1" x14ac:dyDescent="0.2">
      <c r="A136" s="238" t="s">
        <v>551</v>
      </c>
      <c r="B136" s="720" t="s">
        <v>552</v>
      </c>
      <c r="C136" s="335">
        <f>+C137</f>
        <v>0</v>
      </c>
      <c r="E136" s="312">
        <f>SUM(C136*100)/$D$163</f>
        <v>0</v>
      </c>
    </row>
    <row r="137" spans="1:5" s="722" customFormat="1" hidden="1" x14ac:dyDescent="0.2">
      <c r="A137" s="728" t="s">
        <v>553</v>
      </c>
      <c r="B137" s="722" t="s">
        <v>554</v>
      </c>
      <c r="C137" s="723">
        <v>0</v>
      </c>
      <c r="E137" s="724">
        <f>SUM(C137*100)/$D$163</f>
        <v>0</v>
      </c>
    </row>
    <row r="138" spans="1:5" hidden="1" x14ac:dyDescent="0.2">
      <c r="A138" s="298"/>
      <c r="B138" s="722"/>
      <c r="E138" s="603"/>
    </row>
    <row r="139" spans="1:5" hidden="1" x14ac:dyDescent="0.2">
      <c r="A139" s="298"/>
      <c r="B139" s="722"/>
      <c r="E139" s="603"/>
    </row>
    <row r="140" spans="1:5" s="239" customFormat="1" ht="25.5" x14ac:dyDescent="0.2">
      <c r="A140" s="238" t="s">
        <v>555</v>
      </c>
      <c r="B140" s="720" t="s">
        <v>556</v>
      </c>
      <c r="C140" s="335">
        <f>+C141</f>
        <v>23979905.52</v>
      </c>
      <c r="E140" s="312">
        <f>SUM(C140*100)/$D$163</f>
        <v>7.6168181105678773E-2</v>
      </c>
    </row>
    <row r="141" spans="1:5" s="722" customFormat="1" x14ac:dyDescent="0.2">
      <c r="A141" s="728" t="s">
        <v>557</v>
      </c>
      <c r="B141" s="722" t="s">
        <v>558</v>
      </c>
      <c r="C141" s="723">
        <f>+[7]JUSTIFICACION!H265</f>
        <v>23979905.52</v>
      </c>
      <c r="E141" s="724">
        <f>SUM(C141*100)/$D$163</f>
        <v>7.6168181105678773E-2</v>
      </c>
    </row>
    <row r="142" spans="1:5" x14ac:dyDescent="0.2">
      <c r="A142" s="298"/>
      <c r="B142" s="722" t="s">
        <v>559</v>
      </c>
      <c r="E142" s="603"/>
    </row>
    <row r="143" spans="1:5" x14ac:dyDescent="0.2">
      <c r="A143" s="298"/>
      <c r="B143" s="722"/>
      <c r="E143" s="603"/>
    </row>
    <row r="144" spans="1:5" x14ac:dyDescent="0.2">
      <c r="A144" s="298"/>
      <c r="B144" s="722"/>
      <c r="E144" s="603"/>
    </row>
    <row r="145" spans="1:8" x14ac:dyDescent="0.2">
      <c r="A145" s="718" t="s">
        <v>560</v>
      </c>
      <c r="B145" s="544" t="s">
        <v>561</v>
      </c>
      <c r="C145" s="544"/>
      <c r="D145" s="382">
        <f>+D146</f>
        <v>0</v>
      </c>
      <c r="E145" s="364"/>
    </row>
    <row r="146" spans="1:8" x14ac:dyDescent="0.2">
      <c r="A146" s="738" t="s">
        <v>562</v>
      </c>
      <c r="B146" s="544" t="s">
        <v>563</v>
      </c>
      <c r="C146" s="544"/>
      <c r="D146" s="382">
        <f>+C147</f>
        <v>0</v>
      </c>
      <c r="E146" s="364"/>
    </row>
    <row r="147" spans="1:8" x14ac:dyDescent="0.2">
      <c r="A147" s="738" t="s">
        <v>564</v>
      </c>
      <c r="B147" s="722" t="s">
        <v>565</v>
      </c>
      <c r="C147" s="723">
        <v>0</v>
      </c>
      <c r="E147" s="724">
        <f>SUM(C147*100)/$D$163</f>
        <v>0</v>
      </c>
    </row>
    <row r="148" spans="1:8" x14ac:dyDescent="0.2">
      <c r="A148" s="738"/>
      <c r="B148" s="739"/>
      <c r="E148" s="603"/>
    </row>
    <row r="149" spans="1:8" x14ac:dyDescent="0.2">
      <c r="A149" s="718" t="s">
        <v>566</v>
      </c>
      <c r="B149" s="544" t="s">
        <v>567</v>
      </c>
      <c r="C149" s="544"/>
      <c r="D149" s="382">
        <f>+D151+D154</f>
        <v>4530500626.6700001</v>
      </c>
      <c r="E149" s="364"/>
    </row>
    <row r="150" spans="1:8" x14ac:dyDescent="0.2">
      <c r="A150" s="298"/>
      <c r="E150" s="603"/>
    </row>
    <row r="151" spans="1:8" x14ac:dyDescent="0.2">
      <c r="A151" s="718" t="s">
        <v>568</v>
      </c>
      <c r="B151" s="719" t="s">
        <v>569</v>
      </c>
      <c r="C151" s="544"/>
      <c r="D151" s="382">
        <f>+C152</f>
        <v>0</v>
      </c>
      <c r="E151" s="364"/>
    </row>
    <row r="152" spans="1:8" x14ac:dyDescent="0.2">
      <c r="A152" s="718" t="s">
        <v>570</v>
      </c>
      <c r="B152" s="544" t="s">
        <v>571</v>
      </c>
      <c r="C152" s="382">
        <f>+C153</f>
        <v>0</v>
      </c>
      <c r="D152" s="382"/>
      <c r="E152" s="364"/>
    </row>
    <row r="153" spans="1:8" x14ac:dyDescent="0.2">
      <c r="A153" s="738" t="s">
        <v>572</v>
      </c>
      <c r="B153" s="722" t="s">
        <v>573</v>
      </c>
      <c r="C153" s="723">
        <v>0</v>
      </c>
      <c r="E153" s="724">
        <f>SUM(C153*100)/$D$163</f>
        <v>0</v>
      </c>
    </row>
    <row r="154" spans="1:8" x14ac:dyDescent="0.2">
      <c r="A154" s="740" t="s">
        <v>574</v>
      </c>
      <c r="B154" s="741" t="s">
        <v>575</v>
      </c>
      <c r="C154" s="742"/>
      <c r="D154" s="743">
        <f>+C156+C158</f>
        <v>4530500626.6700001</v>
      </c>
      <c r="E154" s="744"/>
    </row>
    <row r="155" spans="1:8" x14ac:dyDescent="0.2">
      <c r="A155" s="298"/>
      <c r="C155" s="745"/>
      <c r="E155" s="603"/>
    </row>
    <row r="156" spans="1:8" x14ac:dyDescent="0.2">
      <c r="A156" s="238" t="s">
        <v>576</v>
      </c>
      <c r="B156" s="239" t="s">
        <v>577</v>
      </c>
      <c r="C156" s="746">
        <f>+[7]JUSTIFICACION!H272</f>
        <v>1672200626.6700001</v>
      </c>
      <c r="D156" s="239"/>
      <c r="E156" s="724">
        <f>SUM(C156*100)/$D$163</f>
        <v>5.3114671394764574</v>
      </c>
      <c r="F156" s="239"/>
      <c r="G156" s="239"/>
      <c r="H156" s="239"/>
    </row>
    <row r="157" spans="1:8" x14ac:dyDescent="0.2">
      <c r="A157" s="238"/>
      <c r="B157" s="722"/>
      <c r="C157" s="723"/>
      <c r="E157" s="603"/>
    </row>
    <row r="158" spans="1:8" x14ac:dyDescent="0.2">
      <c r="A158" s="238" t="s">
        <v>578</v>
      </c>
      <c r="B158" s="722" t="s">
        <v>579</v>
      </c>
      <c r="C158" s="747">
        <f>+[7]JUSTIFICACION!H279</f>
        <v>2858300000</v>
      </c>
      <c r="E158" s="603"/>
    </row>
    <row r="159" spans="1:8" x14ac:dyDescent="0.2">
      <c r="A159" s="238" t="s">
        <v>580</v>
      </c>
      <c r="B159" s="722" t="s">
        <v>245</v>
      </c>
      <c r="C159" s="723">
        <v>598000000</v>
      </c>
      <c r="E159" s="603"/>
    </row>
    <row r="160" spans="1:8" x14ac:dyDescent="0.2">
      <c r="A160" s="238" t="s">
        <v>581</v>
      </c>
      <c r="B160" s="722" t="s">
        <v>582</v>
      </c>
      <c r="C160" s="723">
        <f>1910300000+350000000</f>
        <v>2260300000</v>
      </c>
      <c r="E160" s="603"/>
    </row>
    <row r="161" spans="1:5" x14ac:dyDescent="0.2">
      <c r="A161" s="298"/>
      <c r="B161" s="722"/>
      <c r="E161" s="603"/>
    </row>
    <row r="162" spans="1:5" ht="13.5" thickBot="1" x14ac:dyDescent="0.25">
      <c r="A162" s="320"/>
      <c r="B162" s="321"/>
      <c r="C162" s="321"/>
      <c r="D162" s="321"/>
      <c r="E162" s="714"/>
    </row>
    <row r="163" spans="1:5" ht="13.5" thickBot="1" x14ac:dyDescent="0.25">
      <c r="A163" s="748"/>
      <c r="B163" s="749" t="s">
        <v>583</v>
      </c>
      <c r="C163" s="749"/>
      <c r="D163" s="483">
        <f>SUM(D9+D115+D149)</f>
        <v>31482838597.299995</v>
      </c>
      <c r="E163" s="428">
        <f>SUM(D163*100)/$D$163</f>
        <v>100</v>
      </c>
    </row>
    <row r="167" spans="1:5" x14ac:dyDescent="0.2">
      <c r="D167" s="750">
        <f>+D163-D149</f>
        <v>26952337970.629997</v>
      </c>
    </row>
    <row r="168" spans="1:5" x14ac:dyDescent="0.2">
      <c r="C168" s="602">
        <v>2019</v>
      </c>
      <c r="D168" s="211">
        <v>30351472370.369999</v>
      </c>
    </row>
    <row r="169" spans="1:5" x14ac:dyDescent="0.2">
      <c r="D169" s="211">
        <f>+D167-D168</f>
        <v>-3399134399.7400017</v>
      </c>
      <c r="E169" s="602">
        <f>+D169/D168</f>
        <v>-0.11199240545108897</v>
      </c>
    </row>
  </sheetData>
  <mergeCells count="5">
    <mergeCell ref="A1:E1"/>
    <mergeCell ref="A2:E2"/>
    <mergeCell ref="A3:E3"/>
    <mergeCell ref="A4:E4"/>
    <mergeCell ref="A5:E5"/>
  </mergeCells>
  <printOptions horizontalCentered="1" verticalCentered="1"/>
  <pageMargins left="0.74803149606299213" right="0.74803149606299213" top="0.98425196850393704" bottom="0.98425196850393704" header="0" footer="0"/>
  <pageSetup scale="55" orientation="portrait" horizontalDpi="4294967295" r:id="rId1"/>
  <headerFooter alignWithMargins="0"/>
  <rowBreaks count="1" manualBreakCount="1">
    <brk id="7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view="pageBreakPreview" zoomScaleNormal="100" zoomScaleSheetLayoutView="100" workbookViewId="0">
      <selection activeCell="B53" sqref="B53"/>
    </sheetView>
  </sheetViews>
  <sheetFormatPr baseColWidth="10" defaultColWidth="14.42578125" defaultRowHeight="15" customHeight="1" x14ac:dyDescent="0.2"/>
  <cols>
    <col min="1" max="1" width="38.85546875" customWidth="1"/>
    <col min="2" max="2" width="16.28515625" customWidth="1"/>
    <col min="3" max="3" width="17.28515625" customWidth="1"/>
    <col min="4" max="4" width="18" customWidth="1"/>
    <col min="5" max="5" width="17.42578125" customWidth="1"/>
    <col min="6" max="6" width="32.42578125" customWidth="1"/>
    <col min="7" max="7" width="21" customWidth="1"/>
    <col min="8" max="26" width="10" customWidth="1"/>
  </cols>
  <sheetData>
    <row r="1" spans="1:7" ht="12.75" customHeight="1" x14ac:dyDescent="0.2">
      <c r="A1" s="13"/>
    </row>
    <row r="2" spans="1:7" ht="12.75" customHeight="1" x14ac:dyDescent="0.2">
      <c r="A2" s="13"/>
    </row>
    <row r="3" spans="1:7" ht="15.75" customHeight="1" x14ac:dyDescent="0.2">
      <c r="A3" s="677" t="s">
        <v>295</v>
      </c>
      <c r="B3" s="642"/>
      <c r="C3" s="642"/>
      <c r="D3" s="642"/>
      <c r="E3" s="642"/>
      <c r="F3" s="642"/>
    </row>
    <row r="4" spans="1:7" ht="15.75" customHeight="1" x14ac:dyDescent="0.2">
      <c r="A4" s="677" t="s">
        <v>106</v>
      </c>
      <c r="B4" s="642"/>
      <c r="C4" s="642"/>
      <c r="D4" s="642"/>
      <c r="E4" s="642"/>
      <c r="F4" s="642"/>
    </row>
    <row r="5" spans="1:7" ht="15.75" customHeight="1" x14ac:dyDescent="0.2">
      <c r="A5" s="677" t="s">
        <v>107</v>
      </c>
      <c r="B5" s="642"/>
      <c r="C5" s="642"/>
      <c r="D5" s="642"/>
      <c r="E5" s="642"/>
      <c r="F5" s="642"/>
    </row>
    <row r="6" spans="1:7" ht="12.75" customHeight="1" x14ac:dyDescent="0.2">
      <c r="A6" s="13"/>
      <c r="B6" s="1"/>
      <c r="C6" s="1"/>
      <c r="D6" s="1"/>
      <c r="E6" s="1"/>
    </row>
    <row r="7" spans="1:7" ht="12.75" customHeight="1" x14ac:dyDescent="0.2">
      <c r="A7" s="99"/>
      <c r="B7" s="1"/>
      <c r="C7" s="1"/>
      <c r="D7" s="1"/>
      <c r="E7" s="1"/>
    </row>
    <row r="8" spans="1:7" ht="13.5" customHeight="1" x14ac:dyDescent="0.2">
      <c r="A8" s="13"/>
    </row>
    <row r="9" spans="1:7" ht="26.25" customHeight="1" x14ac:dyDescent="0.25">
      <c r="A9" s="678" t="s">
        <v>108</v>
      </c>
      <c r="B9" s="652"/>
      <c r="C9" s="652"/>
      <c r="D9" s="652"/>
      <c r="E9" s="652"/>
      <c r="F9" s="652"/>
      <c r="G9" s="660"/>
    </row>
    <row r="10" spans="1:7" ht="12.75" customHeight="1" x14ac:dyDescent="0.2">
      <c r="A10" s="100" t="s">
        <v>109</v>
      </c>
      <c r="B10" s="101"/>
      <c r="C10" s="20"/>
      <c r="D10" s="101"/>
      <c r="E10" s="101"/>
      <c r="F10" s="102" t="s">
        <v>110</v>
      </c>
      <c r="G10" s="102"/>
    </row>
    <row r="11" spans="1:7" ht="12.75" customHeight="1" thickBot="1" x14ac:dyDescent="0.25">
      <c r="A11" s="100" t="s">
        <v>111</v>
      </c>
      <c r="B11" s="103" t="s">
        <v>112</v>
      </c>
      <c r="C11" s="103" t="s">
        <v>113</v>
      </c>
      <c r="D11" s="104" t="s">
        <v>114</v>
      </c>
      <c r="E11" s="103" t="s">
        <v>115</v>
      </c>
      <c r="F11" s="102" t="s">
        <v>116</v>
      </c>
      <c r="G11" s="102" t="s">
        <v>117</v>
      </c>
    </row>
    <row r="12" spans="1:7" ht="25.5" customHeight="1" thickBot="1" x14ac:dyDescent="0.25">
      <c r="A12" s="177" t="s">
        <v>298</v>
      </c>
      <c r="B12" s="178" t="s">
        <v>302</v>
      </c>
      <c r="C12" s="180">
        <v>139000000</v>
      </c>
      <c r="D12" s="180">
        <v>111916182.90000001</v>
      </c>
      <c r="E12" s="105">
        <f t="shared" ref="E12:E20" si="0">SUM(C12:D12)</f>
        <v>250916182.90000001</v>
      </c>
      <c r="F12" s="182" t="s">
        <v>306</v>
      </c>
      <c r="G12" s="183">
        <v>2225109326.29</v>
      </c>
    </row>
    <row r="13" spans="1:7" ht="26.25" customHeight="1" thickBot="1" x14ac:dyDescent="0.25">
      <c r="A13" s="177" t="s">
        <v>299</v>
      </c>
      <c r="B13" s="178" t="s">
        <v>303</v>
      </c>
      <c r="C13" s="180">
        <v>31714703.859999999</v>
      </c>
      <c r="D13" s="180">
        <v>257996698.34</v>
      </c>
      <c r="E13" s="105">
        <f t="shared" si="0"/>
        <v>289711402.19999999</v>
      </c>
      <c r="F13" s="182" t="s">
        <v>307</v>
      </c>
      <c r="G13" s="183">
        <v>687251315.65999997</v>
      </c>
    </row>
    <row r="14" spans="1:7" ht="12.75" customHeight="1" thickBot="1" x14ac:dyDescent="0.25">
      <c r="A14" s="177" t="s">
        <v>300</v>
      </c>
      <c r="B14" s="178" t="s">
        <v>304</v>
      </c>
      <c r="C14" s="180">
        <v>4618134.1100000003</v>
      </c>
      <c r="D14" s="180">
        <v>25818073.93</v>
      </c>
      <c r="E14" s="105">
        <f t="shared" si="0"/>
        <v>30436208.039999999</v>
      </c>
      <c r="F14" s="184" t="s">
        <v>308</v>
      </c>
      <c r="G14" s="183">
        <v>90995244.700000003</v>
      </c>
    </row>
    <row r="15" spans="1:7" ht="43.5" customHeight="1" thickBot="1" x14ac:dyDescent="0.25">
      <c r="A15" s="177" t="s">
        <v>301</v>
      </c>
      <c r="B15" s="179" t="s">
        <v>305</v>
      </c>
      <c r="C15" s="181">
        <v>104372319.75</v>
      </c>
      <c r="D15" s="181">
        <v>56627680.25</v>
      </c>
      <c r="E15" s="105">
        <f t="shared" si="0"/>
        <v>161000000</v>
      </c>
      <c r="F15" s="184" t="s">
        <v>309</v>
      </c>
      <c r="G15" s="183">
        <v>1650000000</v>
      </c>
    </row>
    <row r="16" spans="1:7" ht="12.75" customHeight="1" x14ac:dyDescent="0.2">
      <c r="A16" s="9"/>
      <c r="B16" s="8"/>
      <c r="C16" s="8">
        <v>0</v>
      </c>
      <c r="D16" s="8">
        <v>0</v>
      </c>
      <c r="E16" s="105">
        <f t="shared" si="0"/>
        <v>0</v>
      </c>
      <c r="F16" s="21"/>
      <c r="G16" s="21"/>
    </row>
    <row r="17" spans="1:7" ht="12.75" customHeight="1" x14ac:dyDescent="0.2">
      <c r="A17" s="9"/>
      <c r="B17" s="8"/>
      <c r="C17" s="8">
        <v>0</v>
      </c>
      <c r="D17" s="8">
        <v>0</v>
      </c>
      <c r="E17" s="105">
        <f t="shared" si="0"/>
        <v>0</v>
      </c>
      <c r="F17" s="21"/>
      <c r="G17" s="21"/>
    </row>
    <row r="18" spans="1:7" ht="12.75" customHeight="1" x14ac:dyDescent="0.2">
      <c r="A18" s="9"/>
      <c r="B18" s="8"/>
      <c r="C18" s="8">
        <v>0</v>
      </c>
      <c r="D18" s="8">
        <v>0</v>
      </c>
      <c r="E18" s="105">
        <f t="shared" si="0"/>
        <v>0</v>
      </c>
      <c r="F18" s="21"/>
      <c r="G18" s="21"/>
    </row>
    <row r="19" spans="1:7" ht="12.75" customHeight="1" x14ac:dyDescent="0.2">
      <c r="A19" s="9"/>
      <c r="B19" s="8"/>
      <c r="C19" s="8">
        <v>0</v>
      </c>
      <c r="D19" s="8">
        <v>0</v>
      </c>
      <c r="E19" s="105">
        <f t="shared" si="0"/>
        <v>0</v>
      </c>
      <c r="F19" s="21"/>
      <c r="G19" s="21"/>
    </row>
    <row r="20" spans="1:7" ht="12.75" customHeight="1" x14ac:dyDescent="0.2">
      <c r="A20" s="9"/>
      <c r="B20" s="8"/>
      <c r="C20" s="8">
        <v>0</v>
      </c>
      <c r="D20" s="8">
        <v>0</v>
      </c>
      <c r="E20" s="105">
        <f t="shared" si="0"/>
        <v>0</v>
      </c>
      <c r="F20" s="8"/>
      <c r="G20" s="8"/>
    </row>
    <row r="21" spans="1:7" ht="13.5" customHeight="1" x14ac:dyDescent="0.2">
      <c r="A21" s="106" t="s">
        <v>118</v>
      </c>
      <c r="B21" s="107"/>
      <c r="C21" s="107">
        <f t="shared" ref="C21:E21" si="1">SUM(C12:C20)</f>
        <v>279705157.72000003</v>
      </c>
      <c r="D21" s="107">
        <f t="shared" si="1"/>
        <v>452358635.42000002</v>
      </c>
      <c r="E21" s="107">
        <f t="shared" si="1"/>
        <v>732063793.13999999</v>
      </c>
      <c r="F21" s="108"/>
      <c r="G21" s="185">
        <f>SUM(G12:G20)</f>
        <v>4653355886.6499996</v>
      </c>
    </row>
    <row r="22" spans="1:7" ht="13.5" customHeight="1" thickBot="1" x14ac:dyDescent="0.25">
      <c r="A22" s="13"/>
    </row>
    <row r="23" spans="1:7" ht="13.5" customHeight="1" thickBot="1" x14ac:dyDescent="0.25">
      <c r="A23" s="109" t="s">
        <v>356</v>
      </c>
      <c r="B23" s="110"/>
      <c r="C23" s="107">
        <f>+C21</f>
        <v>279705157.72000003</v>
      </c>
      <c r="D23" s="107">
        <f>+D21</f>
        <v>452358635.42000002</v>
      </c>
      <c r="E23" s="111">
        <f>+'[2]Detalle General de Egresos'!$E$15+'[2]Detalle General de Egresos'!$E$23</f>
        <v>732063793.1400001</v>
      </c>
      <c r="F23" s="26"/>
    </row>
    <row r="24" spans="1:7" ht="13.5" customHeight="1" thickBot="1" x14ac:dyDescent="0.25">
      <c r="A24" s="13"/>
      <c r="F24" s="1"/>
    </row>
    <row r="25" spans="1:7" ht="13.5" customHeight="1" x14ac:dyDescent="0.2">
      <c r="A25" s="109" t="s">
        <v>119</v>
      </c>
      <c r="B25" s="110"/>
      <c r="C25" s="110">
        <f t="shared" ref="C25:E25" si="2">C21-C23</f>
        <v>0</v>
      </c>
      <c r="D25" s="112">
        <f t="shared" si="2"/>
        <v>0</v>
      </c>
      <c r="E25" s="111">
        <f t="shared" si="2"/>
        <v>0</v>
      </c>
      <c r="F25" s="26"/>
    </row>
    <row r="26" spans="1:7" ht="12.75" customHeight="1" x14ac:dyDescent="0.2">
      <c r="A26" s="13"/>
    </row>
    <row r="27" spans="1:7" ht="12.75" customHeight="1" x14ac:dyDescent="0.2">
      <c r="A27" s="13" t="s">
        <v>120</v>
      </c>
    </row>
    <row r="28" spans="1:7" ht="12.75" customHeight="1" x14ac:dyDescent="0.2">
      <c r="A28" s="13" t="s">
        <v>121</v>
      </c>
    </row>
    <row r="29" spans="1:7" ht="12.75" customHeight="1" x14ac:dyDescent="0.2">
      <c r="A29" s="13"/>
    </row>
    <row r="30" spans="1:7" ht="12.75" customHeight="1" x14ac:dyDescent="0.2">
      <c r="A30" s="186" t="s">
        <v>310</v>
      </c>
    </row>
    <row r="31" spans="1:7" ht="18" customHeight="1" x14ac:dyDescent="0.2">
      <c r="A31" s="186" t="s">
        <v>311</v>
      </c>
    </row>
    <row r="32" spans="1:7" ht="12.75" customHeight="1" x14ac:dyDescent="0.2">
      <c r="A32" s="13"/>
    </row>
    <row r="33" spans="1:4" ht="12.75" customHeight="1" x14ac:dyDescent="0.2">
      <c r="A33" s="13"/>
    </row>
    <row r="34" spans="1:4" ht="12.75" customHeight="1" x14ac:dyDescent="0.2">
      <c r="A34" s="13"/>
    </row>
    <row r="35" spans="1:4" ht="12.75" customHeight="1" x14ac:dyDescent="0.2">
      <c r="A35" s="13"/>
    </row>
    <row r="36" spans="1:4" ht="12.75" customHeight="1" x14ac:dyDescent="0.2">
      <c r="A36" s="13"/>
    </row>
    <row r="37" spans="1:4" ht="12.75" customHeight="1" x14ac:dyDescent="0.2">
      <c r="A37" s="13"/>
    </row>
    <row r="38" spans="1:4" ht="12.75" customHeight="1" x14ac:dyDescent="0.2">
      <c r="A38" s="13"/>
    </row>
    <row r="39" spans="1:4" ht="18" customHeight="1" x14ac:dyDescent="0.25">
      <c r="A39" s="40" t="s">
        <v>21</v>
      </c>
      <c r="B39" s="41"/>
      <c r="C39" s="2"/>
      <c r="D39" s="2"/>
    </row>
    <row r="40" spans="1:4" ht="12.75" customHeight="1" x14ac:dyDescent="0.2">
      <c r="A40" s="13"/>
    </row>
    <row r="41" spans="1:4" ht="12.75" customHeight="1" x14ac:dyDescent="0.2">
      <c r="A41" s="13"/>
    </row>
    <row r="42" spans="1:4" ht="12.75" customHeight="1" x14ac:dyDescent="0.2">
      <c r="A42" s="13"/>
    </row>
    <row r="43" spans="1:4" ht="12.75" customHeight="1" x14ac:dyDescent="0.2">
      <c r="A43" s="13"/>
    </row>
    <row r="44" spans="1:4" ht="12.75" customHeight="1" x14ac:dyDescent="0.2">
      <c r="A44" s="13"/>
    </row>
    <row r="45" spans="1:4" ht="12.75" customHeight="1" x14ac:dyDescent="0.2">
      <c r="A45" s="13"/>
    </row>
    <row r="46" spans="1:4" ht="12.75" customHeight="1" x14ac:dyDescent="0.2">
      <c r="A46" s="13"/>
    </row>
    <row r="47" spans="1:4" ht="12.75" customHeight="1" x14ac:dyDescent="0.2">
      <c r="A47" s="13"/>
    </row>
    <row r="48" spans="1:4" ht="12.75" customHeight="1" x14ac:dyDescent="0.2">
      <c r="A48" s="13"/>
    </row>
    <row r="49" spans="1:1" ht="12.75" customHeight="1" x14ac:dyDescent="0.2">
      <c r="A49" s="13"/>
    </row>
    <row r="50" spans="1:1" ht="12.75" customHeight="1" x14ac:dyDescent="0.2">
      <c r="A50" s="13"/>
    </row>
    <row r="51" spans="1:1" ht="12.75" customHeight="1" x14ac:dyDescent="0.2">
      <c r="A51" s="13"/>
    </row>
    <row r="52" spans="1:1" ht="12.75" customHeight="1" x14ac:dyDescent="0.2">
      <c r="A52" s="13"/>
    </row>
    <row r="53" spans="1:1" ht="12.75" customHeight="1" x14ac:dyDescent="0.2">
      <c r="A53" s="13"/>
    </row>
    <row r="54" spans="1:1" ht="12.75" customHeight="1" x14ac:dyDescent="0.2">
      <c r="A54" s="13"/>
    </row>
    <row r="55" spans="1:1" ht="12.75" customHeight="1" x14ac:dyDescent="0.2">
      <c r="A55" s="13"/>
    </row>
    <row r="56" spans="1:1" ht="12.75" customHeight="1" x14ac:dyDescent="0.2">
      <c r="A56" s="13"/>
    </row>
    <row r="57" spans="1:1" ht="12.75" customHeight="1" x14ac:dyDescent="0.2">
      <c r="A57" s="13"/>
    </row>
    <row r="58" spans="1:1" ht="12.75" customHeight="1" x14ac:dyDescent="0.2">
      <c r="A58" s="13"/>
    </row>
    <row r="59" spans="1:1" ht="12.75" customHeight="1" x14ac:dyDescent="0.2">
      <c r="A59" s="13"/>
    </row>
    <row r="60" spans="1:1" ht="12.75" customHeight="1" x14ac:dyDescent="0.2">
      <c r="A60" s="13"/>
    </row>
    <row r="61" spans="1:1" ht="12.75" customHeight="1" x14ac:dyDescent="0.2">
      <c r="A61" s="13"/>
    </row>
    <row r="62" spans="1:1" ht="12.75" customHeight="1" x14ac:dyDescent="0.2">
      <c r="A62" s="13"/>
    </row>
    <row r="63" spans="1:1" ht="12.75" customHeight="1" x14ac:dyDescent="0.2">
      <c r="A63" s="13"/>
    </row>
    <row r="64" spans="1:1" ht="12.75" customHeight="1" x14ac:dyDescent="0.2">
      <c r="A64" s="13"/>
    </row>
    <row r="65" spans="1:1" ht="12.75" customHeight="1" x14ac:dyDescent="0.2">
      <c r="A65" s="13"/>
    </row>
    <row r="66" spans="1:1" ht="12.75" customHeight="1" x14ac:dyDescent="0.2">
      <c r="A66" s="13"/>
    </row>
    <row r="67" spans="1:1" ht="12.75" customHeight="1" x14ac:dyDescent="0.2">
      <c r="A67" s="13"/>
    </row>
    <row r="68" spans="1:1" ht="12.75" customHeight="1" x14ac:dyDescent="0.2">
      <c r="A68" s="13"/>
    </row>
    <row r="69" spans="1:1" ht="12.75" customHeight="1" x14ac:dyDescent="0.2">
      <c r="A69" s="13"/>
    </row>
    <row r="70" spans="1:1" ht="12.75" customHeight="1" x14ac:dyDescent="0.2">
      <c r="A70" s="13"/>
    </row>
    <row r="71" spans="1:1" ht="12.75" customHeight="1" x14ac:dyDescent="0.2">
      <c r="A71" s="13"/>
    </row>
    <row r="72" spans="1:1" ht="12.75" customHeight="1" x14ac:dyDescent="0.2">
      <c r="A72" s="13"/>
    </row>
    <row r="73" spans="1:1" ht="12.75" customHeight="1" x14ac:dyDescent="0.2">
      <c r="A73" s="13"/>
    </row>
    <row r="74" spans="1:1" ht="12.75" customHeight="1" x14ac:dyDescent="0.2">
      <c r="A74" s="13"/>
    </row>
    <row r="75" spans="1:1" ht="12.75" customHeight="1" x14ac:dyDescent="0.2">
      <c r="A75" s="13"/>
    </row>
    <row r="76" spans="1:1" ht="12.75" customHeight="1" x14ac:dyDescent="0.2">
      <c r="A76" s="13"/>
    </row>
    <row r="77" spans="1:1" ht="12.75" customHeight="1" x14ac:dyDescent="0.2">
      <c r="A77" s="13"/>
    </row>
    <row r="78" spans="1:1" ht="12.75" customHeight="1" x14ac:dyDescent="0.2">
      <c r="A78" s="13"/>
    </row>
    <row r="79" spans="1:1" ht="12.75" customHeight="1" x14ac:dyDescent="0.2">
      <c r="A79" s="13"/>
    </row>
    <row r="80" spans="1:1" ht="12.75" customHeight="1" x14ac:dyDescent="0.2">
      <c r="A80" s="13"/>
    </row>
    <row r="81" spans="1:1" ht="12.75" customHeight="1" x14ac:dyDescent="0.2">
      <c r="A81" s="13"/>
    </row>
    <row r="82" spans="1:1" ht="12.75" customHeight="1" x14ac:dyDescent="0.2">
      <c r="A82" s="13"/>
    </row>
    <row r="83" spans="1:1" ht="12.75" customHeight="1" x14ac:dyDescent="0.2">
      <c r="A83" s="13"/>
    </row>
    <row r="84" spans="1:1" ht="12.75" customHeight="1" x14ac:dyDescent="0.2">
      <c r="A84" s="13"/>
    </row>
    <row r="85" spans="1:1" ht="12.75" customHeight="1" x14ac:dyDescent="0.2">
      <c r="A85" s="13"/>
    </row>
    <row r="86" spans="1:1" ht="12.75" customHeight="1" x14ac:dyDescent="0.2">
      <c r="A86" s="13"/>
    </row>
    <row r="87" spans="1:1" ht="12.75" customHeight="1" x14ac:dyDescent="0.2">
      <c r="A87" s="13"/>
    </row>
    <row r="88" spans="1:1" ht="12.75" customHeight="1" x14ac:dyDescent="0.2">
      <c r="A88" s="13"/>
    </row>
    <row r="89" spans="1:1" ht="12.75" customHeight="1" x14ac:dyDescent="0.2">
      <c r="A89" s="13"/>
    </row>
    <row r="90" spans="1:1" ht="12.75" customHeight="1" x14ac:dyDescent="0.2">
      <c r="A90" s="13"/>
    </row>
    <row r="91" spans="1:1" ht="12.75" customHeight="1" x14ac:dyDescent="0.2">
      <c r="A91" s="13"/>
    </row>
    <row r="92" spans="1:1" ht="12.75" customHeight="1" x14ac:dyDescent="0.2">
      <c r="A92" s="13"/>
    </row>
    <row r="93" spans="1:1" ht="12.75" customHeight="1" x14ac:dyDescent="0.2">
      <c r="A93" s="13"/>
    </row>
    <row r="94" spans="1:1" ht="12.75" customHeight="1" x14ac:dyDescent="0.2">
      <c r="A94" s="13"/>
    </row>
    <row r="95" spans="1:1" ht="12.75" customHeight="1" x14ac:dyDescent="0.2">
      <c r="A95" s="13"/>
    </row>
    <row r="96" spans="1:1" ht="12.75" customHeight="1" x14ac:dyDescent="0.2">
      <c r="A96" s="13"/>
    </row>
    <row r="97" spans="1:1" ht="12.75" customHeight="1" x14ac:dyDescent="0.2">
      <c r="A97" s="13"/>
    </row>
    <row r="98" spans="1:1" ht="12.75" customHeight="1" x14ac:dyDescent="0.2">
      <c r="A98" s="13"/>
    </row>
    <row r="99" spans="1:1" ht="12.75" customHeight="1" x14ac:dyDescent="0.2">
      <c r="A99" s="13"/>
    </row>
    <row r="100" spans="1:1" ht="12.75" customHeight="1" x14ac:dyDescent="0.2">
      <c r="A100" s="13"/>
    </row>
    <row r="101" spans="1:1" ht="12.75" customHeight="1" x14ac:dyDescent="0.2">
      <c r="A101" s="13"/>
    </row>
    <row r="102" spans="1:1" ht="12.75" customHeight="1" x14ac:dyDescent="0.2">
      <c r="A102" s="13"/>
    </row>
    <row r="103" spans="1:1" ht="12.75" customHeight="1" x14ac:dyDescent="0.2">
      <c r="A103" s="13"/>
    </row>
    <row r="104" spans="1:1" ht="12.75" customHeight="1" x14ac:dyDescent="0.2">
      <c r="A104" s="13"/>
    </row>
    <row r="105" spans="1:1" ht="12.75" customHeight="1" x14ac:dyDescent="0.2">
      <c r="A105" s="13"/>
    </row>
    <row r="106" spans="1:1" ht="12.75" customHeight="1" x14ac:dyDescent="0.2">
      <c r="A106" s="13"/>
    </row>
    <row r="107" spans="1:1" ht="12.75" customHeight="1" x14ac:dyDescent="0.2">
      <c r="A107" s="13"/>
    </row>
    <row r="108" spans="1:1" ht="12.75" customHeight="1" x14ac:dyDescent="0.2">
      <c r="A108" s="13"/>
    </row>
    <row r="109" spans="1:1" ht="12.75" customHeight="1" x14ac:dyDescent="0.2">
      <c r="A109" s="13"/>
    </row>
    <row r="110" spans="1:1" ht="12.75" customHeight="1" x14ac:dyDescent="0.2">
      <c r="A110" s="13"/>
    </row>
    <row r="111" spans="1:1" ht="12.75" customHeight="1" x14ac:dyDescent="0.2">
      <c r="A111" s="13"/>
    </row>
    <row r="112" spans="1:1" ht="12.75" customHeight="1" x14ac:dyDescent="0.2">
      <c r="A112" s="13"/>
    </row>
    <row r="113" spans="1:1" ht="12.75" customHeight="1" x14ac:dyDescent="0.2">
      <c r="A113" s="13"/>
    </row>
    <row r="114" spans="1:1" ht="12.75" customHeight="1" x14ac:dyDescent="0.2">
      <c r="A114" s="13"/>
    </row>
    <row r="115" spans="1:1" ht="12.75" customHeight="1" x14ac:dyDescent="0.2">
      <c r="A115" s="13"/>
    </row>
    <row r="116" spans="1:1" ht="12.75" customHeight="1" x14ac:dyDescent="0.2">
      <c r="A116" s="13"/>
    </row>
    <row r="117" spans="1:1" ht="12.75" customHeight="1" x14ac:dyDescent="0.2">
      <c r="A117" s="13"/>
    </row>
    <row r="118" spans="1:1" ht="12.75" customHeight="1" x14ac:dyDescent="0.2">
      <c r="A118" s="13"/>
    </row>
    <row r="119" spans="1:1" ht="12.75" customHeight="1" x14ac:dyDescent="0.2">
      <c r="A119" s="13"/>
    </row>
    <row r="120" spans="1:1" ht="12.75" customHeight="1" x14ac:dyDescent="0.2">
      <c r="A120" s="13"/>
    </row>
    <row r="121" spans="1:1" ht="12.75" customHeight="1" x14ac:dyDescent="0.2">
      <c r="A121" s="13"/>
    </row>
    <row r="122" spans="1:1" ht="12.75" customHeight="1" x14ac:dyDescent="0.2">
      <c r="A122" s="13"/>
    </row>
    <row r="123" spans="1:1" ht="12.75" customHeight="1" x14ac:dyDescent="0.2">
      <c r="A123" s="13"/>
    </row>
    <row r="124" spans="1:1" ht="12.75" customHeight="1" x14ac:dyDescent="0.2">
      <c r="A124" s="13"/>
    </row>
    <row r="125" spans="1:1" ht="12.75" customHeight="1" x14ac:dyDescent="0.2">
      <c r="A125" s="13"/>
    </row>
    <row r="126" spans="1:1" ht="12.75" customHeight="1" x14ac:dyDescent="0.2">
      <c r="A126" s="13"/>
    </row>
    <row r="127" spans="1:1" ht="12.75" customHeight="1" x14ac:dyDescent="0.2">
      <c r="A127" s="13"/>
    </row>
    <row r="128" spans="1:1" ht="12.75" customHeight="1" x14ac:dyDescent="0.2">
      <c r="A128" s="13"/>
    </row>
    <row r="129" spans="1:1" ht="12.75" customHeight="1" x14ac:dyDescent="0.2">
      <c r="A129" s="13"/>
    </row>
    <row r="130" spans="1:1" ht="12.75" customHeight="1" x14ac:dyDescent="0.2">
      <c r="A130" s="13"/>
    </row>
    <row r="131" spans="1:1" ht="12.75" customHeight="1" x14ac:dyDescent="0.2">
      <c r="A131" s="13"/>
    </row>
    <row r="132" spans="1:1" ht="12.75" customHeight="1" x14ac:dyDescent="0.2">
      <c r="A132" s="13"/>
    </row>
    <row r="133" spans="1:1" ht="12.75" customHeight="1" x14ac:dyDescent="0.2">
      <c r="A133" s="13"/>
    </row>
    <row r="134" spans="1:1" ht="12.75" customHeight="1" x14ac:dyDescent="0.2">
      <c r="A134" s="13"/>
    </row>
    <row r="135" spans="1:1" ht="12.75" customHeight="1" x14ac:dyDescent="0.2">
      <c r="A135" s="13"/>
    </row>
    <row r="136" spans="1:1" ht="12.75" customHeight="1" x14ac:dyDescent="0.2">
      <c r="A136" s="13"/>
    </row>
    <row r="137" spans="1:1" ht="12.75" customHeight="1" x14ac:dyDescent="0.2">
      <c r="A137" s="13"/>
    </row>
    <row r="138" spans="1:1" ht="12.75" customHeight="1" x14ac:dyDescent="0.2">
      <c r="A138" s="13"/>
    </row>
    <row r="139" spans="1:1" ht="12.75" customHeight="1" x14ac:dyDescent="0.2">
      <c r="A139" s="13"/>
    </row>
    <row r="140" spans="1:1" ht="12.75" customHeight="1" x14ac:dyDescent="0.2">
      <c r="A140" s="13"/>
    </row>
    <row r="141" spans="1:1" ht="12.75" customHeight="1" x14ac:dyDescent="0.2">
      <c r="A141" s="13"/>
    </row>
    <row r="142" spans="1:1" ht="12.75" customHeight="1" x14ac:dyDescent="0.2">
      <c r="A142" s="13"/>
    </row>
    <row r="143" spans="1:1" ht="12.75" customHeight="1" x14ac:dyDescent="0.2">
      <c r="A143" s="13"/>
    </row>
    <row r="144" spans="1:1" ht="12.75" customHeight="1" x14ac:dyDescent="0.2">
      <c r="A144" s="13"/>
    </row>
    <row r="145" spans="1:1" ht="12.75" customHeight="1" x14ac:dyDescent="0.2">
      <c r="A145" s="13"/>
    </row>
    <row r="146" spans="1:1" ht="12.75" customHeight="1" x14ac:dyDescent="0.2">
      <c r="A146" s="13"/>
    </row>
    <row r="147" spans="1:1" ht="12.75" customHeight="1" x14ac:dyDescent="0.2">
      <c r="A147" s="13"/>
    </row>
    <row r="148" spans="1:1" ht="12.75" customHeight="1" x14ac:dyDescent="0.2">
      <c r="A148" s="13"/>
    </row>
    <row r="149" spans="1:1" ht="12.75" customHeight="1" x14ac:dyDescent="0.2">
      <c r="A149" s="13"/>
    </row>
    <row r="150" spans="1:1" ht="12.75" customHeight="1" x14ac:dyDescent="0.2">
      <c r="A150" s="13"/>
    </row>
    <row r="151" spans="1:1" ht="12.75" customHeight="1" x14ac:dyDescent="0.2">
      <c r="A151" s="13"/>
    </row>
    <row r="152" spans="1:1" ht="12.75" customHeight="1" x14ac:dyDescent="0.2">
      <c r="A152" s="13"/>
    </row>
    <row r="153" spans="1:1" ht="12.75" customHeight="1" x14ac:dyDescent="0.2">
      <c r="A153" s="13"/>
    </row>
    <row r="154" spans="1:1" ht="12.75" customHeight="1" x14ac:dyDescent="0.2">
      <c r="A154" s="13"/>
    </row>
    <row r="155" spans="1:1" ht="12.75" customHeight="1" x14ac:dyDescent="0.2">
      <c r="A155" s="13"/>
    </row>
    <row r="156" spans="1:1" ht="12.75" customHeight="1" x14ac:dyDescent="0.2">
      <c r="A156" s="13"/>
    </row>
    <row r="157" spans="1:1" ht="12.75" customHeight="1" x14ac:dyDescent="0.2">
      <c r="A157" s="13"/>
    </row>
    <row r="158" spans="1:1" ht="12.75" customHeight="1" x14ac:dyDescent="0.2">
      <c r="A158" s="13"/>
    </row>
    <row r="159" spans="1:1" ht="12.75" customHeight="1" x14ac:dyDescent="0.2">
      <c r="A159" s="13"/>
    </row>
    <row r="160" spans="1:1" ht="12.75" customHeight="1" x14ac:dyDescent="0.2">
      <c r="A160" s="13"/>
    </row>
    <row r="161" spans="1:1" ht="12.75" customHeight="1" x14ac:dyDescent="0.2">
      <c r="A161" s="13"/>
    </row>
    <row r="162" spans="1:1" ht="12.75" customHeight="1" x14ac:dyDescent="0.2">
      <c r="A162" s="13"/>
    </row>
    <row r="163" spans="1:1" ht="12.75" customHeight="1" x14ac:dyDescent="0.2">
      <c r="A163" s="13"/>
    </row>
    <row r="164" spans="1:1" ht="12.75" customHeight="1" x14ac:dyDescent="0.2">
      <c r="A164" s="13"/>
    </row>
    <row r="165" spans="1:1" ht="12.75" customHeight="1" x14ac:dyDescent="0.2">
      <c r="A165" s="13"/>
    </row>
    <row r="166" spans="1:1" ht="12.75" customHeight="1" x14ac:dyDescent="0.2">
      <c r="A166" s="13"/>
    </row>
    <row r="167" spans="1:1" ht="12.75" customHeight="1" x14ac:dyDescent="0.2">
      <c r="A167" s="13"/>
    </row>
    <row r="168" spans="1:1" ht="12.75" customHeight="1" x14ac:dyDescent="0.2">
      <c r="A168" s="13"/>
    </row>
    <row r="169" spans="1:1" ht="12.75" customHeight="1" x14ac:dyDescent="0.2">
      <c r="A169" s="13"/>
    </row>
    <row r="170" spans="1:1" ht="12.75" customHeight="1" x14ac:dyDescent="0.2">
      <c r="A170" s="13"/>
    </row>
    <row r="171" spans="1:1" ht="12.75" customHeight="1" x14ac:dyDescent="0.2">
      <c r="A171" s="13"/>
    </row>
    <row r="172" spans="1:1" ht="12.75" customHeight="1" x14ac:dyDescent="0.2">
      <c r="A172" s="13"/>
    </row>
    <row r="173" spans="1:1" ht="12.75" customHeight="1" x14ac:dyDescent="0.2">
      <c r="A173" s="13"/>
    </row>
    <row r="174" spans="1:1" ht="12.75" customHeight="1" x14ac:dyDescent="0.2">
      <c r="A174" s="13"/>
    </row>
    <row r="175" spans="1:1" ht="12.75" customHeight="1" x14ac:dyDescent="0.2">
      <c r="A175" s="13"/>
    </row>
    <row r="176" spans="1:1" ht="12.75" customHeight="1" x14ac:dyDescent="0.2">
      <c r="A176" s="13"/>
    </row>
    <row r="177" spans="1:1" ht="12.75" customHeight="1" x14ac:dyDescent="0.2">
      <c r="A177" s="13"/>
    </row>
    <row r="178" spans="1:1" ht="12.75" customHeight="1" x14ac:dyDescent="0.2">
      <c r="A178" s="13"/>
    </row>
    <row r="179" spans="1:1" ht="12.75" customHeight="1" x14ac:dyDescent="0.2">
      <c r="A179" s="13"/>
    </row>
    <row r="180" spans="1:1" ht="12.75" customHeight="1" x14ac:dyDescent="0.2">
      <c r="A180" s="13"/>
    </row>
    <row r="181" spans="1:1" ht="12.75" customHeight="1" x14ac:dyDescent="0.2">
      <c r="A181" s="13"/>
    </row>
    <row r="182" spans="1:1" ht="12.75" customHeight="1" x14ac:dyDescent="0.2">
      <c r="A182" s="13"/>
    </row>
    <row r="183" spans="1:1" ht="12.75" customHeight="1" x14ac:dyDescent="0.2">
      <c r="A183" s="13"/>
    </row>
    <row r="184" spans="1:1" ht="12.75" customHeight="1" x14ac:dyDescent="0.2">
      <c r="A184" s="13"/>
    </row>
    <row r="185" spans="1:1" ht="12.75" customHeight="1" x14ac:dyDescent="0.2">
      <c r="A185" s="13"/>
    </row>
    <row r="186" spans="1:1" ht="12.75" customHeight="1" x14ac:dyDescent="0.2">
      <c r="A186" s="13"/>
    </row>
    <row r="187" spans="1:1" ht="12.75" customHeight="1" x14ac:dyDescent="0.2">
      <c r="A187" s="13"/>
    </row>
    <row r="188" spans="1:1" ht="12.75" customHeight="1" x14ac:dyDescent="0.2">
      <c r="A188" s="13"/>
    </row>
    <row r="189" spans="1:1" ht="12.75" customHeight="1" x14ac:dyDescent="0.2">
      <c r="A189" s="13"/>
    </row>
    <row r="190" spans="1:1" ht="12.75" customHeight="1" x14ac:dyDescent="0.2">
      <c r="A190" s="13"/>
    </row>
    <row r="191" spans="1:1" ht="12.75" customHeight="1" x14ac:dyDescent="0.2">
      <c r="A191" s="13"/>
    </row>
    <row r="192" spans="1:1" ht="12.75" customHeight="1" x14ac:dyDescent="0.2">
      <c r="A192" s="13"/>
    </row>
    <row r="193" spans="1:1" ht="12.75" customHeight="1" x14ac:dyDescent="0.2">
      <c r="A193" s="13"/>
    </row>
    <row r="194" spans="1:1" ht="12.75" customHeight="1" x14ac:dyDescent="0.2">
      <c r="A194" s="13"/>
    </row>
    <row r="195" spans="1:1" ht="12.75" customHeight="1" x14ac:dyDescent="0.2">
      <c r="A195" s="13"/>
    </row>
    <row r="196" spans="1:1" ht="12.75" customHeight="1" x14ac:dyDescent="0.2">
      <c r="A196" s="13"/>
    </row>
    <row r="197" spans="1:1" ht="12.75" customHeight="1" x14ac:dyDescent="0.2">
      <c r="A197" s="13"/>
    </row>
    <row r="198" spans="1:1" ht="12.75" customHeight="1" x14ac:dyDescent="0.2">
      <c r="A198" s="13"/>
    </row>
    <row r="199" spans="1:1" ht="12.75" customHeight="1" x14ac:dyDescent="0.2">
      <c r="A199" s="13"/>
    </row>
    <row r="200" spans="1:1" ht="12.75" customHeight="1" x14ac:dyDescent="0.2">
      <c r="A200" s="13"/>
    </row>
    <row r="201" spans="1:1" ht="12.75" customHeight="1" x14ac:dyDescent="0.2">
      <c r="A201" s="13"/>
    </row>
    <row r="202" spans="1:1" ht="12.75" customHeight="1" x14ac:dyDescent="0.2">
      <c r="A202" s="13"/>
    </row>
    <row r="203" spans="1:1" ht="12.75" customHeight="1" x14ac:dyDescent="0.2">
      <c r="A203" s="13"/>
    </row>
    <row r="204" spans="1:1" ht="12.75" customHeight="1" x14ac:dyDescent="0.2">
      <c r="A204" s="13"/>
    </row>
    <row r="205" spans="1:1" ht="12.75" customHeight="1" x14ac:dyDescent="0.2">
      <c r="A205" s="13"/>
    </row>
    <row r="206" spans="1:1" ht="12.75" customHeight="1" x14ac:dyDescent="0.2">
      <c r="A206" s="13"/>
    </row>
    <row r="207" spans="1:1" ht="12.75" customHeight="1" x14ac:dyDescent="0.2">
      <c r="A207" s="13"/>
    </row>
    <row r="208" spans="1:1" ht="12.75" customHeight="1" x14ac:dyDescent="0.2">
      <c r="A208" s="13"/>
    </row>
    <row r="209" spans="1:1" ht="12.75" customHeight="1" x14ac:dyDescent="0.2">
      <c r="A209" s="13"/>
    </row>
    <row r="210" spans="1:1" ht="12.75" customHeight="1" x14ac:dyDescent="0.2">
      <c r="A210" s="13"/>
    </row>
    <row r="211" spans="1:1" ht="12.75" customHeight="1" x14ac:dyDescent="0.2">
      <c r="A211" s="13"/>
    </row>
    <row r="212" spans="1:1" ht="12.75" customHeight="1" x14ac:dyDescent="0.2">
      <c r="A212" s="13"/>
    </row>
    <row r="213" spans="1:1" ht="12.75" customHeight="1" x14ac:dyDescent="0.2">
      <c r="A213" s="13"/>
    </row>
    <row r="214" spans="1:1" ht="12.75" customHeight="1" x14ac:dyDescent="0.2">
      <c r="A214" s="13"/>
    </row>
    <row r="215" spans="1:1" ht="12.75" customHeight="1" x14ac:dyDescent="0.2">
      <c r="A215" s="13"/>
    </row>
    <row r="216" spans="1:1" ht="12.75" customHeight="1" x14ac:dyDescent="0.2">
      <c r="A216" s="13"/>
    </row>
    <row r="217" spans="1:1" ht="12.75" customHeight="1" x14ac:dyDescent="0.2">
      <c r="A217" s="13"/>
    </row>
    <row r="218" spans="1:1" ht="12.75" customHeight="1" x14ac:dyDescent="0.2">
      <c r="A218" s="13"/>
    </row>
    <row r="219" spans="1:1" ht="12.75" customHeight="1" x14ac:dyDescent="0.2">
      <c r="A219" s="13"/>
    </row>
    <row r="220" spans="1:1" ht="12.75" customHeight="1" x14ac:dyDescent="0.2">
      <c r="A220" s="13"/>
    </row>
    <row r="221" spans="1:1" ht="12.75" customHeight="1" x14ac:dyDescent="0.2">
      <c r="A221" s="13"/>
    </row>
    <row r="222" spans="1:1" ht="12.75" customHeight="1" x14ac:dyDescent="0.2">
      <c r="A222" s="13"/>
    </row>
    <row r="223" spans="1:1" ht="12.75" customHeight="1" x14ac:dyDescent="0.2">
      <c r="A223" s="13"/>
    </row>
    <row r="224" spans="1:1" ht="12.75" customHeight="1" x14ac:dyDescent="0.2">
      <c r="A224" s="13"/>
    </row>
    <row r="225" spans="1:1" ht="12.75" customHeight="1" x14ac:dyDescent="0.2">
      <c r="A225" s="13"/>
    </row>
    <row r="226" spans="1:1" ht="12.75" customHeight="1" x14ac:dyDescent="0.2">
      <c r="A226" s="13"/>
    </row>
    <row r="227" spans="1:1" ht="12.75" customHeight="1" x14ac:dyDescent="0.2">
      <c r="A227" s="13"/>
    </row>
    <row r="228" spans="1:1" ht="12.75" customHeight="1" x14ac:dyDescent="0.2">
      <c r="A228" s="13"/>
    </row>
    <row r="229" spans="1:1" ht="12.75" customHeight="1" x14ac:dyDescent="0.2">
      <c r="A229" s="13"/>
    </row>
    <row r="230" spans="1:1" ht="12.75" customHeight="1" x14ac:dyDescent="0.2">
      <c r="A230" s="13"/>
    </row>
    <row r="231" spans="1:1" ht="12.75" customHeight="1" x14ac:dyDescent="0.2">
      <c r="A231" s="13"/>
    </row>
    <row r="232" spans="1:1" ht="12.75" customHeight="1" x14ac:dyDescent="0.2">
      <c r="A232" s="13"/>
    </row>
    <row r="233" spans="1:1" ht="12.75" customHeight="1" x14ac:dyDescent="0.2">
      <c r="A233" s="13"/>
    </row>
    <row r="234" spans="1:1" ht="12.75" customHeight="1" x14ac:dyDescent="0.2">
      <c r="A234" s="13"/>
    </row>
    <row r="235" spans="1:1" ht="12.75" customHeight="1" x14ac:dyDescent="0.2">
      <c r="A235" s="13"/>
    </row>
    <row r="236" spans="1:1" ht="12.75" customHeight="1" x14ac:dyDescent="0.2">
      <c r="A236" s="13"/>
    </row>
    <row r="237" spans="1:1" ht="12.75" customHeight="1" x14ac:dyDescent="0.2">
      <c r="A237" s="13"/>
    </row>
    <row r="238" spans="1:1" ht="12.75" customHeight="1" x14ac:dyDescent="0.2">
      <c r="A238" s="13"/>
    </row>
    <row r="239" spans="1:1" ht="12.75" customHeight="1" x14ac:dyDescent="0.2">
      <c r="A239" s="13"/>
    </row>
    <row r="240" spans="1:1" ht="12.75" customHeight="1" x14ac:dyDescent="0.2">
      <c r="A240" s="13"/>
    </row>
    <row r="241" spans="1:1" ht="12.75" customHeight="1" x14ac:dyDescent="0.2">
      <c r="A241" s="13"/>
    </row>
    <row r="242" spans="1:1" ht="12.75" customHeight="1" x14ac:dyDescent="0.2">
      <c r="A242" s="13"/>
    </row>
    <row r="243" spans="1:1" ht="12.75" customHeight="1" x14ac:dyDescent="0.2">
      <c r="A243" s="13"/>
    </row>
    <row r="244" spans="1:1" ht="12.75" customHeight="1" x14ac:dyDescent="0.2">
      <c r="A244" s="13"/>
    </row>
    <row r="245" spans="1:1" ht="12.75" customHeight="1" x14ac:dyDescent="0.2">
      <c r="A245" s="13"/>
    </row>
    <row r="246" spans="1:1" ht="12.75" customHeight="1" x14ac:dyDescent="0.2">
      <c r="A246" s="13"/>
    </row>
    <row r="247" spans="1:1" ht="12.75" customHeight="1" x14ac:dyDescent="0.2">
      <c r="A247" s="13"/>
    </row>
    <row r="248" spans="1:1" ht="12.75" customHeight="1" x14ac:dyDescent="0.2">
      <c r="A248" s="13"/>
    </row>
    <row r="249" spans="1:1" ht="12.75" customHeight="1" x14ac:dyDescent="0.2">
      <c r="A249" s="13"/>
    </row>
    <row r="250" spans="1:1" ht="12.75" customHeight="1" x14ac:dyDescent="0.2">
      <c r="A250" s="13"/>
    </row>
    <row r="251" spans="1:1" ht="12.75" customHeight="1" x14ac:dyDescent="0.2">
      <c r="A251" s="13"/>
    </row>
    <row r="252" spans="1:1" ht="12.75" customHeight="1" x14ac:dyDescent="0.2">
      <c r="A252" s="13"/>
    </row>
    <row r="253" spans="1:1" ht="12.75" customHeight="1" x14ac:dyDescent="0.2">
      <c r="A253" s="13"/>
    </row>
    <row r="254" spans="1:1" ht="12.75" customHeight="1" x14ac:dyDescent="0.2">
      <c r="A254" s="13"/>
    </row>
    <row r="255" spans="1:1" ht="12.75" customHeight="1" x14ac:dyDescent="0.2">
      <c r="A255" s="13"/>
    </row>
    <row r="256" spans="1:1" ht="12.75" customHeight="1" x14ac:dyDescent="0.2">
      <c r="A256" s="13"/>
    </row>
    <row r="257" spans="1:1" ht="12.75" customHeight="1" x14ac:dyDescent="0.2">
      <c r="A257" s="13"/>
    </row>
    <row r="258" spans="1:1" ht="12.75" customHeight="1" x14ac:dyDescent="0.2">
      <c r="A258" s="13"/>
    </row>
    <row r="259" spans="1:1" ht="12.75" customHeight="1" x14ac:dyDescent="0.2">
      <c r="A259" s="13"/>
    </row>
    <row r="260" spans="1:1" ht="12.75" customHeight="1" x14ac:dyDescent="0.2">
      <c r="A260" s="13"/>
    </row>
    <row r="261" spans="1:1" ht="12.75" customHeight="1" x14ac:dyDescent="0.2">
      <c r="A261" s="13"/>
    </row>
    <row r="262" spans="1:1" ht="12.75" customHeight="1" x14ac:dyDescent="0.2">
      <c r="A262" s="13"/>
    </row>
    <row r="263" spans="1:1" ht="12.75" customHeight="1" x14ac:dyDescent="0.2">
      <c r="A263" s="13"/>
    </row>
    <row r="264" spans="1:1" ht="12.75" customHeight="1" x14ac:dyDescent="0.2">
      <c r="A264" s="13"/>
    </row>
    <row r="265" spans="1:1" ht="12.75" customHeight="1" x14ac:dyDescent="0.2">
      <c r="A265" s="13"/>
    </row>
    <row r="266" spans="1:1" ht="12.75" customHeight="1" x14ac:dyDescent="0.2">
      <c r="A266" s="13"/>
    </row>
    <row r="267" spans="1:1" ht="12.75" customHeight="1" x14ac:dyDescent="0.2">
      <c r="A267" s="13"/>
    </row>
    <row r="268" spans="1:1" ht="12.75" customHeight="1" x14ac:dyDescent="0.2">
      <c r="A268" s="13"/>
    </row>
    <row r="269" spans="1:1" ht="12.75" customHeight="1" x14ac:dyDescent="0.2">
      <c r="A269" s="13"/>
    </row>
    <row r="270" spans="1:1" ht="12.75" customHeight="1" x14ac:dyDescent="0.2">
      <c r="A270" s="13"/>
    </row>
    <row r="271" spans="1:1" ht="12.75" customHeight="1" x14ac:dyDescent="0.2">
      <c r="A271" s="13"/>
    </row>
    <row r="272" spans="1:1" ht="12.75" customHeight="1" x14ac:dyDescent="0.2">
      <c r="A272" s="13"/>
    </row>
    <row r="273" spans="1:1" ht="12.75" customHeight="1" x14ac:dyDescent="0.2">
      <c r="A273" s="13"/>
    </row>
    <row r="274" spans="1:1" ht="12.75" customHeight="1" x14ac:dyDescent="0.2">
      <c r="A274" s="13"/>
    </row>
    <row r="275" spans="1:1" ht="12.75" customHeight="1" x14ac:dyDescent="0.2">
      <c r="A275" s="13"/>
    </row>
    <row r="276" spans="1:1" ht="12.75" customHeight="1" x14ac:dyDescent="0.2">
      <c r="A276" s="13"/>
    </row>
    <row r="277" spans="1:1" ht="12.75" customHeight="1" x14ac:dyDescent="0.2">
      <c r="A277" s="13"/>
    </row>
    <row r="278" spans="1:1" ht="12.75" customHeight="1" x14ac:dyDescent="0.2">
      <c r="A278" s="13"/>
    </row>
    <row r="279" spans="1:1" ht="12.75" customHeight="1" x14ac:dyDescent="0.2">
      <c r="A279" s="13"/>
    </row>
    <row r="280" spans="1:1" ht="12.75" customHeight="1" x14ac:dyDescent="0.2">
      <c r="A280" s="13"/>
    </row>
    <row r="281" spans="1:1" ht="12.75" customHeight="1" x14ac:dyDescent="0.2">
      <c r="A281" s="13"/>
    </row>
    <row r="282" spans="1:1" ht="12.75" customHeight="1" x14ac:dyDescent="0.2">
      <c r="A282" s="13"/>
    </row>
    <row r="283" spans="1:1" ht="12.75" customHeight="1" x14ac:dyDescent="0.2">
      <c r="A283" s="13"/>
    </row>
    <row r="284" spans="1:1" ht="12.75" customHeight="1" x14ac:dyDescent="0.2">
      <c r="A284" s="13"/>
    </row>
    <row r="285" spans="1:1" ht="12.75" customHeight="1" x14ac:dyDescent="0.2">
      <c r="A285" s="13"/>
    </row>
    <row r="286" spans="1:1" ht="12.75" customHeight="1" x14ac:dyDescent="0.2">
      <c r="A286" s="13"/>
    </row>
    <row r="287" spans="1:1" ht="12.75" customHeight="1" x14ac:dyDescent="0.2">
      <c r="A287" s="13"/>
    </row>
    <row r="288" spans="1:1" ht="12.75" customHeight="1" x14ac:dyDescent="0.2">
      <c r="A288" s="13"/>
    </row>
    <row r="289" spans="1:1" ht="12.75" customHeight="1" x14ac:dyDescent="0.2">
      <c r="A289" s="13"/>
    </row>
    <row r="290" spans="1:1" ht="12.75" customHeight="1" x14ac:dyDescent="0.2">
      <c r="A290" s="13"/>
    </row>
    <row r="291" spans="1:1" ht="12.75" customHeight="1" x14ac:dyDescent="0.2">
      <c r="A291" s="13"/>
    </row>
    <row r="292" spans="1:1" ht="12.75" customHeight="1" x14ac:dyDescent="0.2">
      <c r="A292" s="13"/>
    </row>
    <row r="293" spans="1:1" ht="12.75" customHeight="1" x14ac:dyDescent="0.2">
      <c r="A293" s="13"/>
    </row>
    <row r="294" spans="1:1" ht="12.75" customHeight="1" x14ac:dyDescent="0.2">
      <c r="A294" s="13"/>
    </row>
    <row r="295" spans="1:1" ht="12.75" customHeight="1" x14ac:dyDescent="0.2">
      <c r="A295" s="13"/>
    </row>
    <row r="296" spans="1:1" ht="12.75" customHeight="1" x14ac:dyDescent="0.2">
      <c r="A296" s="13"/>
    </row>
    <row r="297" spans="1:1" ht="12.75" customHeight="1" x14ac:dyDescent="0.2">
      <c r="A297" s="13"/>
    </row>
    <row r="298" spans="1:1" ht="12.75" customHeight="1" x14ac:dyDescent="0.2">
      <c r="A298" s="13"/>
    </row>
    <row r="299" spans="1:1" ht="12.75" customHeight="1" x14ac:dyDescent="0.2">
      <c r="A299" s="13"/>
    </row>
    <row r="300" spans="1:1" ht="12.75" customHeight="1" x14ac:dyDescent="0.2">
      <c r="A300" s="13"/>
    </row>
    <row r="301" spans="1:1" ht="12.75" customHeight="1" x14ac:dyDescent="0.2">
      <c r="A301" s="13"/>
    </row>
    <row r="302" spans="1:1" ht="12.75" customHeight="1" x14ac:dyDescent="0.2">
      <c r="A302" s="13"/>
    </row>
    <row r="303" spans="1:1" ht="12.75" customHeight="1" x14ac:dyDescent="0.2">
      <c r="A303" s="13"/>
    </row>
    <row r="304" spans="1:1" ht="12.75" customHeight="1" x14ac:dyDescent="0.2">
      <c r="A304" s="13"/>
    </row>
    <row r="305" spans="1:1" ht="12.75" customHeight="1" x14ac:dyDescent="0.2">
      <c r="A305" s="13"/>
    </row>
    <row r="306" spans="1:1" ht="12.75" customHeight="1" x14ac:dyDescent="0.2">
      <c r="A306" s="13"/>
    </row>
    <row r="307" spans="1:1" ht="12.75" customHeight="1" x14ac:dyDescent="0.2">
      <c r="A307" s="13"/>
    </row>
    <row r="308" spans="1:1" ht="12.75" customHeight="1" x14ac:dyDescent="0.2">
      <c r="A308" s="13"/>
    </row>
    <row r="309" spans="1:1" ht="12.75" customHeight="1" x14ac:dyDescent="0.2">
      <c r="A309" s="13"/>
    </row>
    <row r="310" spans="1:1" ht="12.75" customHeight="1" x14ac:dyDescent="0.2">
      <c r="A310" s="13"/>
    </row>
    <row r="311" spans="1:1" ht="12.75" customHeight="1" x14ac:dyDescent="0.2">
      <c r="A311" s="13"/>
    </row>
    <row r="312" spans="1:1" ht="12.75" customHeight="1" x14ac:dyDescent="0.2">
      <c r="A312" s="13"/>
    </row>
    <row r="313" spans="1:1" ht="12.75" customHeight="1" x14ac:dyDescent="0.2">
      <c r="A313" s="13"/>
    </row>
    <row r="314" spans="1:1" ht="12.75" customHeight="1" x14ac:dyDescent="0.2">
      <c r="A314" s="13"/>
    </row>
    <row r="315" spans="1:1" ht="12.75" customHeight="1" x14ac:dyDescent="0.2">
      <c r="A315" s="13"/>
    </row>
    <row r="316" spans="1:1" ht="12.75" customHeight="1" x14ac:dyDescent="0.2">
      <c r="A316" s="13"/>
    </row>
    <row r="317" spans="1:1" ht="12.75" customHeight="1" x14ac:dyDescent="0.2">
      <c r="A317" s="13"/>
    </row>
    <row r="318" spans="1:1" ht="12.75" customHeight="1" x14ac:dyDescent="0.2">
      <c r="A318" s="13"/>
    </row>
    <row r="319" spans="1:1" ht="12.75" customHeight="1" x14ac:dyDescent="0.2">
      <c r="A319" s="13"/>
    </row>
    <row r="320" spans="1:1" ht="12.75" customHeight="1" x14ac:dyDescent="0.2">
      <c r="A320" s="13"/>
    </row>
    <row r="321" spans="1:1" ht="12.75" customHeight="1" x14ac:dyDescent="0.2">
      <c r="A321" s="13"/>
    </row>
    <row r="322" spans="1:1" ht="12.75" customHeight="1" x14ac:dyDescent="0.2">
      <c r="A322" s="13"/>
    </row>
    <row r="323" spans="1:1" ht="12.75" customHeight="1" x14ac:dyDescent="0.2">
      <c r="A323" s="13"/>
    </row>
    <row r="324" spans="1:1" ht="12.75" customHeight="1" x14ac:dyDescent="0.2">
      <c r="A324" s="13"/>
    </row>
    <row r="325" spans="1:1" ht="12.75" customHeight="1" x14ac:dyDescent="0.2">
      <c r="A325" s="13"/>
    </row>
    <row r="326" spans="1:1" ht="12.75" customHeight="1" x14ac:dyDescent="0.2">
      <c r="A326" s="13"/>
    </row>
    <row r="327" spans="1:1" ht="12.75" customHeight="1" x14ac:dyDescent="0.2">
      <c r="A327" s="13"/>
    </row>
    <row r="328" spans="1:1" ht="12.75" customHeight="1" x14ac:dyDescent="0.2">
      <c r="A328" s="13"/>
    </row>
    <row r="329" spans="1:1" ht="12.75" customHeight="1" x14ac:dyDescent="0.2">
      <c r="A329" s="13"/>
    </row>
    <row r="330" spans="1:1" ht="12.75" customHeight="1" x14ac:dyDescent="0.2">
      <c r="A330" s="13"/>
    </row>
    <row r="331" spans="1:1" ht="12.75" customHeight="1" x14ac:dyDescent="0.2">
      <c r="A331" s="13"/>
    </row>
    <row r="332" spans="1:1" ht="12.75" customHeight="1" x14ac:dyDescent="0.2">
      <c r="A332" s="13"/>
    </row>
    <row r="333" spans="1:1" ht="12.75" customHeight="1" x14ac:dyDescent="0.2">
      <c r="A333" s="13"/>
    </row>
    <row r="334" spans="1:1" ht="12.75" customHeight="1" x14ac:dyDescent="0.2">
      <c r="A334" s="13"/>
    </row>
    <row r="335" spans="1:1" ht="12.75" customHeight="1" x14ac:dyDescent="0.2">
      <c r="A335" s="13"/>
    </row>
    <row r="336" spans="1:1" ht="12.75" customHeight="1" x14ac:dyDescent="0.2">
      <c r="A336" s="13"/>
    </row>
    <row r="337" spans="1:1" ht="12.75" customHeight="1" x14ac:dyDescent="0.2">
      <c r="A337" s="13"/>
    </row>
    <row r="338" spans="1:1" ht="12.75" customHeight="1" x14ac:dyDescent="0.2">
      <c r="A338" s="13"/>
    </row>
    <row r="339" spans="1:1" ht="12.75" customHeight="1" x14ac:dyDescent="0.2">
      <c r="A339" s="13"/>
    </row>
    <row r="340" spans="1:1" ht="12.75" customHeight="1" x14ac:dyDescent="0.2">
      <c r="A340" s="13"/>
    </row>
    <row r="341" spans="1:1" ht="12.75" customHeight="1" x14ac:dyDescent="0.2">
      <c r="A341" s="13"/>
    </row>
    <row r="342" spans="1:1" ht="12.75" customHeight="1" x14ac:dyDescent="0.2">
      <c r="A342" s="13"/>
    </row>
    <row r="343" spans="1:1" ht="12.75" customHeight="1" x14ac:dyDescent="0.2">
      <c r="A343" s="13"/>
    </row>
    <row r="344" spans="1:1" ht="12.75" customHeight="1" x14ac:dyDescent="0.2">
      <c r="A344" s="13"/>
    </row>
    <row r="345" spans="1:1" ht="12.75" customHeight="1" x14ac:dyDescent="0.2">
      <c r="A345" s="13"/>
    </row>
    <row r="346" spans="1:1" ht="12.75" customHeight="1" x14ac:dyDescent="0.2">
      <c r="A346" s="13"/>
    </row>
    <row r="347" spans="1:1" ht="12.75" customHeight="1" x14ac:dyDescent="0.2">
      <c r="A347" s="13"/>
    </row>
    <row r="348" spans="1:1" ht="12.75" customHeight="1" x14ac:dyDescent="0.2">
      <c r="A348" s="13"/>
    </row>
    <row r="349" spans="1:1" ht="12.75" customHeight="1" x14ac:dyDescent="0.2">
      <c r="A349" s="13"/>
    </row>
    <row r="350" spans="1:1" ht="12.75" customHeight="1" x14ac:dyDescent="0.2">
      <c r="A350" s="13"/>
    </row>
    <row r="351" spans="1:1" ht="12.75" customHeight="1" x14ac:dyDescent="0.2">
      <c r="A351" s="13"/>
    </row>
    <row r="352" spans="1:1" ht="12.75" customHeight="1" x14ac:dyDescent="0.2">
      <c r="A352" s="13"/>
    </row>
    <row r="353" spans="1:1" ht="12.75" customHeight="1" x14ac:dyDescent="0.2">
      <c r="A353" s="13"/>
    </row>
    <row r="354" spans="1:1" ht="12.75" customHeight="1" x14ac:dyDescent="0.2">
      <c r="A354" s="13"/>
    </row>
    <row r="355" spans="1:1" ht="12.75" customHeight="1" x14ac:dyDescent="0.2">
      <c r="A355" s="13"/>
    </row>
    <row r="356" spans="1:1" ht="12.75" customHeight="1" x14ac:dyDescent="0.2">
      <c r="A356" s="13"/>
    </row>
    <row r="357" spans="1:1" ht="12.75" customHeight="1" x14ac:dyDescent="0.2">
      <c r="A357" s="13"/>
    </row>
    <row r="358" spans="1:1" ht="12.75" customHeight="1" x14ac:dyDescent="0.2">
      <c r="A358" s="13"/>
    </row>
    <row r="359" spans="1:1" ht="12.75" customHeight="1" x14ac:dyDescent="0.2">
      <c r="A359" s="13"/>
    </row>
    <row r="360" spans="1:1" ht="12.75" customHeight="1" x14ac:dyDescent="0.2">
      <c r="A360" s="13"/>
    </row>
    <row r="361" spans="1:1" ht="12.75" customHeight="1" x14ac:dyDescent="0.2">
      <c r="A361" s="13"/>
    </row>
    <row r="362" spans="1:1" ht="12.75" customHeight="1" x14ac:dyDescent="0.2">
      <c r="A362" s="13"/>
    </row>
    <row r="363" spans="1:1" ht="12.75" customHeight="1" x14ac:dyDescent="0.2">
      <c r="A363" s="13"/>
    </row>
    <row r="364" spans="1:1" ht="12.75" customHeight="1" x14ac:dyDescent="0.2">
      <c r="A364" s="13"/>
    </row>
    <row r="365" spans="1:1" ht="12.75" customHeight="1" x14ac:dyDescent="0.2">
      <c r="A365" s="13"/>
    </row>
    <row r="366" spans="1:1" ht="12.75" customHeight="1" x14ac:dyDescent="0.2">
      <c r="A366" s="13"/>
    </row>
    <row r="367" spans="1:1" ht="12.75" customHeight="1" x14ac:dyDescent="0.2">
      <c r="A367" s="13"/>
    </row>
    <row r="368" spans="1:1" ht="12.75" customHeight="1" x14ac:dyDescent="0.2">
      <c r="A368" s="13"/>
    </row>
    <row r="369" spans="1:1" ht="12.75" customHeight="1" x14ac:dyDescent="0.2">
      <c r="A369" s="13"/>
    </row>
    <row r="370" spans="1:1" ht="12.75" customHeight="1" x14ac:dyDescent="0.2">
      <c r="A370" s="13"/>
    </row>
    <row r="371" spans="1:1" ht="12.75" customHeight="1" x14ac:dyDescent="0.2">
      <c r="A371" s="13"/>
    </row>
    <row r="372" spans="1:1" ht="12.75" customHeight="1" x14ac:dyDescent="0.2">
      <c r="A372" s="13"/>
    </row>
    <row r="373" spans="1:1" ht="12.75" customHeight="1" x14ac:dyDescent="0.2">
      <c r="A373" s="13"/>
    </row>
    <row r="374" spans="1:1" ht="12.75" customHeight="1" x14ac:dyDescent="0.2">
      <c r="A374" s="13"/>
    </row>
    <row r="375" spans="1:1" ht="12.75" customHeight="1" x14ac:dyDescent="0.2">
      <c r="A375" s="13"/>
    </row>
    <row r="376" spans="1:1" ht="12.75" customHeight="1" x14ac:dyDescent="0.2">
      <c r="A376" s="13"/>
    </row>
    <row r="377" spans="1:1" ht="12.75" customHeight="1" x14ac:dyDescent="0.2">
      <c r="A377" s="13"/>
    </row>
    <row r="378" spans="1:1" ht="12.75" customHeight="1" x14ac:dyDescent="0.2">
      <c r="A378" s="13"/>
    </row>
    <row r="379" spans="1:1" ht="12.75" customHeight="1" x14ac:dyDescent="0.2">
      <c r="A379" s="13"/>
    </row>
    <row r="380" spans="1:1" ht="12.75" customHeight="1" x14ac:dyDescent="0.2">
      <c r="A380" s="13"/>
    </row>
    <row r="381" spans="1:1" ht="12.75" customHeight="1" x14ac:dyDescent="0.2">
      <c r="A381" s="13"/>
    </row>
    <row r="382" spans="1:1" ht="12.75" customHeight="1" x14ac:dyDescent="0.2">
      <c r="A382" s="13"/>
    </row>
    <row r="383" spans="1:1" ht="12.75" customHeight="1" x14ac:dyDescent="0.2">
      <c r="A383" s="13"/>
    </row>
    <row r="384" spans="1:1" ht="12.75" customHeight="1" x14ac:dyDescent="0.2">
      <c r="A384" s="13"/>
    </row>
    <row r="385" spans="1:1" ht="12.75" customHeight="1" x14ac:dyDescent="0.2">
      <c r="A385" s="13"/>
    </row>
    <row r="386" spans="1:1" ht="12.75" customHeight="1" x14ac:dyDescent="0.2">
      <c r="A386" s="13"/>
    </row>
    <row r="387" spans="1:1" ht="12.75" customHeight="1" x14ac:dyDescent="0.2">
      <c r="A387" s="13"/>
    </row>
    <row r="388" spans="1:1" ht="12.75" customHeight="1" x14ac:dyDescent="0.2">
      <c r="A388" s="13"/>
    </row>
    <row r="389" spans="1:1" ht="12.75" customHeight="1" x14ac:dyDescent="0.2">
      <c r="A389" s="13"/>
    </row>
    <row r="390" spans="1:1" ht="12.75" customHeight="1" x14ac:dyDescent="0.2">
      <c r="A390" s="13"/>
    </row>
    <row r="391" spans="1:1" ht="12.75" customHeight="1" x14ac:dyDescent="0.2">
      <c r="A391" s="13"/>
    </row>
    <row r="392" spans="1:1" ht="12.75" customHeight="1" x14ac:dyDescent="0.2">
      <c r="A392" s="13"/>
    </row>
    <row r="393" spans="1:1" ht="12.75" customHeight="1" x14ac:dyDescent="0.2">
      <c r="A393" s="13"/>
    </row>
    <row r="394" spans="1:1" ht="12.75" customHeight="1" x14ac:dyDescent="0.2">
      <c r="A394" s="13"/>
    </row>
    <row r="395" spans="1:1" ht="12.75" customHeight="1" x14ac:dyDescent="0.2">
      <c r="A395" s="13"/>
    </row>
    <row r="396" spans="1:1" ht="12.75" customHeight="1" x14ac:dyDescent="0.2">
      <c r="A396" s="13"/>
    </row>
    <row r="397" spans="1:1" ht="12.75" customHeight="1" x14ac:dyDescent="0.2">
      <c r="A397" s="13"/>
    </row>
    <row r="398" spans="1:1" ht="12.75" customHeight="1" x14ac:dyDescent="0.2">
      <c r="A398" s="13"/>
    </row>
    <row r="399" spans="1:1" ht="12.75" customHeight="1" x14ac:dyDescent="0.2">
      <c r="A399" s="13"/>
    </row>
    <row r="400" spans="1:1" ht="12.75" customHeight="1" x14ac:dyDescent="0.2">
      <c r="A400" s="13"/>
    </row>
    <row r="401" spans="1:1" ht="12.75" customHeight="1" x14ac:dyDescent="0.2">
      <c r="A401" s="13"/>
    </row>
    <row r="402" spans="1:1" ht="12.75" customHeight="1" x14ac:dyDescent="0.2">
      <c r="A402" s="13"/>
    </row>
    <row r="403" spans="1:1" ht="12.75" customHeight="1" x14ac:dyDescent="0.2">
      <c r="A403" s="13"/>
    </row>
    <row r="404" spans="1:1" ht="12.75" customHeight="1" x14ac:dyDescent="0.2">
      <c r="A404" s="13"/>
    </row>
    <row r="405" spans="1:1" ht="12.75" customHeight="1" x14ac:dyDescent="0.2">
      <c r="A405" s="13"/>
    </row>
    <row r="406" spans="1:1" ht="12.75" customHeight="1" x14ac:dyDescent="0.2">
      <c r="A406" s="13"/>
    </row>
    <row r="407" spans="1:1" ht="12.75" customHeight="1" x14ac:dyDescent="0.2">
      <c r="A407" s="13"/>
    </row>
    <row r="408" spans="1:1" ht="12.75" customHeight="1" x14ac:dyDescent="0.2">
      <c r="A408" s="13"/>
    </row>
    <row r="409" spans="1:1" ht="12.75" customHeight="1" x14ac:dyDescent="0.2">
      <c r="A409" s="13"/>
    </row>
    <row r="410" spans="1:1" ht="12.75" customHeight="1" x14ac:dyDescent="0.2">
      <c r="A410" s="13"/>
    </row>
    <row r="411" spans="1:1" ht="12.75" customHeight="1" x14ac:dyDescent="0.2">
      <c r="A411" s="13"/>
    </row>
    <row r="412" spans="1:1" ht="12.75" customHeight="1" x14ac:dyDescent="0.2">
      <c r="A412" s="13"/>
    </row>
    <row r="413" spans="1:1" ht="12.75" customHeight="1" x14ac:dyDescent="0.2">
      <c r="A413" s="13"/>
    </row>
    <row r="414" spans="1:1" ht="12.75" customHeight="1" x14ac:dyDescent="0.2">
      <c r="A414" s="13"/>
    </row>
    <row r="415" spans="1:1" ht="12.75" customHeight="1" x14ac:dyDescent="0.2">
      <c r="A415" s="13"/>
    </row>
    <row r="416" spans="1:1" ht="12.75" customHeight="1" x14ac:dyDescent="0.2">
      <c r="A416" s="13"/>
    </row>
    <row r="417" spans="1:1" ht="12.75" customHeight="1" x14ac:dyDescent="0.2">
      <c r="A417" s="13"/>
    </row>
    <row r="418" spans="1:1" ht="12.75" customHeight="1" x14ac:dyDescent="0.2">
      <c r="A418" s="13"/>
    </row>
    <row r="419" spans="1:1" ht="12.75" customHeight="1" x14ac:dyDescent="0.2">
      <c r="A419" s="13"/>
    </row>
    <row r="420" spans="1:1" ht="12.75" customHeight="1" x14ac:dyDescent="0.2">
      <c r="A420" s="13"/>
    </row>
    <row r="421" spans="1:1" ht="12.75" customHeight="1" x14ac:dyDescent="0.2">
      <c r="A421" s="13"/>
    </row>
    <row r="422" spans="1:1" ht="12.75" customHeight="1" x14ac:dyDescent="0.2">
      <c r="A422" s="13"/>
    </row>
    <row r="423" spans="1:1" ht="12.75" customHeight="1" x14ac:dyDescent="0.2">
      <c r="A423" s="13"/>
    </row>
    <row r="424" spans="1:1" ht="12.75" customHeight="1" x14ac:dyDescent="0.2">
      <c r="A424" s="13"/>
    </row>
    <row r="425" spans="1:1" ht="12.75" customHeight="1" x14ac:dyDescent="0.2">
      <c r="A425" s="13"/>
    </row>
    <row r="426" spans="1:1" ht="12.75" customHeight="1" x14ac:dyDescent="0.2">
      <c r="A426" s="13"/>
    </row>
    <row r="427" spans="1:1" ht="12.75" customHeight="1" x14ac:dyDescent="0.2">
      <c r="A427" s="13"/>
    </row>
    <row r="428" spans="1:1" ht="12.75" customHeight="1" x14ac:dyDescent="0.2">
      <c r="A428" s="13"/>
    </row>
    <row r="429" spans="1:1" ht="12.75" customHeight="1" x14ac:dyDescent="0.2">
      <c r="A429" s="13"/>
    </row>
    <row r="430" spans="1:1" ht="12.75" customHeight="1" x14ac:dyDescent="0.2">
      <c r="A430" s="13"/>
    </row>
    <row r="431" spans="1:1" ht="12.75" customHeight="1" x14ac:dyDescent="0.2">
      <c r="A431" s="13"/>
    </row>
    <row r="432" spans="1:1" ht="12.75" customHeight="1" x14ac:dyDescent="0.2">
      <c r="A432" s="13"/>
    </row>
    <row r="433" spans="1:1" ht="12.75" customHeight="1" x14ac:dyDescent="0.2">
      <c r="A433" s="13"/>
    </row>
    <row r="434" spans="1:1" ht="12.75" customHeight="1" x14ac:dyDescent="0.2">
      <c r="A434" s="13"/>
    </row>
    <row r="435" spans="1:1" ht="12.75" customHeight="1" x14ac:dyDescent="0.2">
      <c r="A435" s="13"/>
    </row>
    <row r="436" spans="1:1" ht="12.75" customHeight="1" x14ac:dyDescent="0.2">
      <c r="A436" s="13"/>
    </row>
    <row r="437" spans="1:1" ht="12.75" customHeight="1" x14ac:dyDescent="0.2">
      <c r="A437" s="13"/>
    </row>
    <row r="438" spans="1:1" ht="12.75" customHeight="1" x14ac:dyDescent="0.2">
      <c r="A438" s="13"/>
    </row>
    <row r="439" spans="1:1" ht="12.75" customHeight="1" x14ac:dyDescent="0.2">
      <c r="A439" s="13"/>
    </row>
    <row r="440" spans="1:1" ht="12.75" customHeight="1" x14ac:dyDescent="0.2">
      <c r="A440" s="13"/>
    </row>
    <row r="441" spans="1:1" ht="12.75" customHeight="1" x14ac:dyDescent="0.2">
      <c r="A441" s="13"/>
    </row>
    <row r="442" spans="1:1" ht="12.75" customHeight="1" x14ac:dyDescent="0.2">
      <c r="A442" s="13"/>
    </row>
    <row r="443" spans="1:1" ht="12.75" customHeight="1" x14ac:dyDescent="0.2">
      <c r="A443" s="13"/>
    </row>
    <row r="444" spans="1:1" ht="12.75" customHeight="1" x14ac:dyDescent="0.2">
      <c r="A444" s="13"/>
    </row>
    <row r="445" spans="1:1" ht="12.75" customHeight="1" x14ac:dyDescent="0.2">
      <c r="A445" s="13"/>
    </row>
    <row r="446" spans="1:1" ht="12.75" customHeight="1" x14ac:dyDescent="0.2">
      <c r="A446" s="13"/>
    </row>
    <row r="447" spans="1:1" ht="12.75" customHeight="1" x14ac:dyDescent="0.2">
      <c r="A447" s="13"/>
    </row>
    <row r="448" spans="1:1" ht="12.75" customHeight="1" x14ac:dyDescent="0.2">
      <c r="A448" s="13"/>
    </row>
    <row r="449" spans="1:1" ht="12.75" customHeight="1" x14ac:dyDescent="0.2">
      <c r="A449" s="13"/>
    </row>
    <row r="450" spans="1:1" ht="12.75" customHeight="1" x14ac:dyDescent="0.2">
      <c r="A450" s="13"/>
    </row>
    <row r="451" spans="1:1" ht="12.75" customHeight="1" x14ac:dyDescent="0.2">
      <c r="A451" s="13"/>
    </row>
    <row r="452" spans="1:1" ht="12.75" customHeight="1" x14ac:dyDescent="0.2">
      <c r="A452" s="13"/>
    </row>
    <row r="453" spans="1:1" ht="12.75" customHeight="1" x14ac:dyDescent="0.2">
      <c r="A453" s="13"/>
    </row>
    <row r="454" spans="1:1" ht="12.75" customHeight="1" x14ac:dyDescent="0.2">
      <c r="A454" s="13"/>
    </row>
    <row r="455" spans="1:1" ht="12.75" customHeight="1" x14ac:dyDescent="0.2">
      <c r="A455" s="13"/>
    </row>
    <row r="456" spans="1:1" ht="12.75" customHeight="1" x14ac:dyDescent="0.2">
      <c r="A456" s="13"/>
    </row>
    <row r="457" spans="1:1" ht="12.75" customHeight="1" x14ac:dyDescent="0.2">
      <c r="A457" s="13"/>
    </row>
    <row r="458" spans="1:1" ht="12.75" customHeight="1" x14ac:dyDescent="0.2">
      <c r="A458" s="13"/>
    </row>
    <row r="459" spans="1:1" ht="12.75" customHeight="1" x14ac:dyDescent="0.2">
      <c r="A459" s="13"/>
    </row>
    <row r="460" spans="1:1" ht="12.75" customHeight="1" x14ac:dyDescent="0.2">
      <c r="A460" s="13"/>
    </row>
    <row r="461" spans="1:1" ht="12.75" customHeight="1" x14ac:dyDescent="0.2">
      <c r="A461" s="13"/>
    </row>
    <row r="462" spans="1:1" ht="12.75" customHeight="1" x14ac:dyDescent="0.2">
      <c r="A462" s="13"/>
    </row>
    <row r="463" spans="1:1" ht="12.75" customHeight="1" x14ac:dyDescent="0.2">
      <c r="A463" s="13"/>
    </row>
    <row r="464" spans="1:1" ht="12.75" customHeight="1" x14ac:dyDescent="0.2">
      <c r="A464" s="13"/>
    </row>
    <row r="465" spans="1:1" ht="12.75" customHeight="1" x14ac:dyDescent="0.2">
      <c r="A465" s="13"/>
    </row>
    <row r="466" spans="1:1" ht="12.75" customHeight="1" x14ac:dyDescent="0.2">
      <c r="A466" s="13"/>
    </row>
    <row r="467" spans="1:1" ht="12.75" customHeight="1" x14ac:dyDescent="0.2">
      <c r="A467" s="13"/>
    </row>
    <row r="468" spans="1:1" ht="12.75" customHeight="1" x14ac:dyDescent="0.2">
      <c r="A468" s="13"/>
    </row>
    <row r="469" spans="1:1" ht="12.75" customHeight="1" x14ac:dyDescent="0.2">
      <c r="A469" s="13"/>
    </row>
    <row r="470" spans="1:1" ht="12.75" customHeight="1" x14ac:dyDescent="0.2">
      <c r="A470" s="13"/>
    </row>
    <row r="471" spans="1:1" ht="12.75" customHeight="1" x14ac:dyDescent="0.2">
      <c r="A471" s="13"/>
    </row>
    <row r="472" spans="1:1" ht="12.75" customHeight="1" x14ac:dyDescent="0.2">
      <c r="A472" s="13"/>
    </row>
    <row r="473" spans="1:1" ht="12.75" customHeight="1" x14ac:dyDescent="0.2">
      <c r="A473" s="13"/>
    </row>
    <row r="474" spans="1:1" ht="12.75" customHeight="1" x14ac:dyDescent="0.2">
      <c r="A474" s="13"/>
    </row>
    <row r="475" spans="1:1" ht="12.75" customHeight="1" x14ac:dyDescent="0.2">
      <c r="A475" s="13"/>
    </row>
    <row r="476" spans="1:1" ht="12.75" customHeight="1" x14ac:dyDescent="0.2">
      <c r="A476" s="13"/>
    </row>
    <row r="477" spans="1:1" ht="12.75" customHeight="1" x14ac:dyDescent="0.2">
      <c r="A477" s="13"/>
    </row>
    <row r="478" spans="1:1" ht="12.75" customHeight="1" x14ac:dyDescent="0.2">
      <c r="A478" s="13"/>
    </row>
    <row r="479" spans="1:1" ht="12.75" customHeight="1" x14ac:dyDescent="0.2">
      <c r="A479" s="13"/>
    </row>
    <row r="480" spans="1:1" ht="12.75" customHeight="1" x14ac:dyDescent="0.2">
      <c r="A480" s="13"/>
    </row>
    <row r="481" spans="1:1" ht="12.75" customHeight="1" x14ac:dyDescent="0.2">
      <c r="A481" s="13"/>
    </row>
    <row r="482" spans="1:1" ht="12.75" customHeight="1" x14ac:dyDescent="0.2">
      <c r="A482" s="13"/>
    </row>
    <row r="483" spans="1:1" ht="12.75" customHeight="1" x14ac:dyDescent="0.2">
      <c r="A483" s="13"/>
    </row>
    <row r="484" spans="1:1" ht="12.75" customHeight="1" x14ac:dyDescent="0.2">
      <c r="A484" s="13"/>
    </row>
    <row r="485" spans="1:1" ht="12.75" customHeight="1" x14ac:dyDescent="0.2">
      <c r="A485" s="13"/>
    </row>
    <row r="486" spans="1:1" ht="12.75" customHeight="1" x14ac:dyDescent="0.2">
      <c r="A486" s="13"/>
    </row>
    <row r="487" spans="1:1" ht="12.75" customHeight="1" x14ac:dyDescent="0.2">
      <c r="A487" s="13"/>
    </row>
    <row r="488" spans="1:1" ht="12.75" customHeight="1" x14ac:dyDescent="0.2">
      <c r="A488" s="13"/>
    </row>
    <row r="489" spans="1:1" ht="12.75" customHeight="1" x14ac:dyDescent="0.2">
      <c r="A489" s="13"/>
    </row>
    <row r="490" spans="1:1" ht="12.75" customHeight="1" x14ac:dyDescent="0.2">
      <c r="A490" s="13"/>
    </row>
    <row r="491" spans="1:1" ht="12.75" customHeight="1" x14ac:dyDescent="0.2">
      <c r="A491" s="13"/>
    </row>
    <row r="492" spans="1:1" ht="12.75" customHeight="1" x14ac:dyDescent="0.2">
      <c r="A492" s="13"/>
    </row>
    <row r="493" spans="1:1" ht="12.75" customHeight="1" x14ac:dyDescent="0.2">
      <c r="A493" s="13"/>
    </row>
    <row r="494" spans="1:1" ht="12.75" customHeight="1" x14ac:dyDescent="0.2">
      <c r="A494" s="13"/>
    </row>
    <row r="495" spans="1:1" ht="12.75" customHeight="1" x14ac:dyDescent="0.2">
      <c r="A495" s="13"/>
    </row>
    <row r="496" spans="1:1" ht="12.75" customHeight="1" x14ac:dyDescent="0.2">
      <c r="A496" s="13"/>
    </row>
    <row r="497" spans="1:1" ht="12.75" customHeight="1" x14ac:dyDescent="0.2">
      <c r="A497" s="13"/>
    </row>
    <row r="498" spans="1:1" ht="12.75" customHeight="1" x14ac:dyDescent="0.2">
      <c r="A498" s="13"/>
    </row>
    <row r="499" spans="1:1" ht="12.75" customHeight="1" x14ac:dyDescent="0.2">
      <c r="A499" s="13"/>
    </row>
    <row r="500" spans="1:1" ht="12.75" customHeight="1" x14ac:dyDescent="0.2">
      <c r="A500" s="13"/>
    </row>
    <row r="501" spans="1:1" ht="12.75" customHeight="1" x14ac:dyDescent="0.2">
      <c r="A501" s="13"/>
    </row>
    <row r="502" spans="1:1" ht="12.75" customHeight="1" x14ac:dyDescent="0.2">
      <c r="A502" s="13"/>
    </row>
    <row r="503" spans="1:1" ht="12.75" customHeight="1" x14ac:dyDescent="0.2">
      <c r="A503" s="13"/>
    </row>
    <row r="504" spans="1:1" ht="12.75" customHeight="1" x14ac:dyDescent="0.2">
      <c r="A504" s="13"/>
    </row>
    <row r="505" spans="1:1" ht="12.75" customHeight="1" x14ac:dyDescent="0.2">
      <c r="A505" s="13"/>
    </row>
    <row r="506" spans="1:1" ht="12.75" customHeight="1" x14ac:dyDescent="0.2">
      <c r="A506" s="13"/>
    </row>
    <row r="507" spans="1:1" ht="12.75" customHeight="1" x14ac:dyDescent="0.2">
      <c r="A507" s="13"/>
    </row>
    <row r="508" spans="1:1" ht="12.75" customHeight="1" x14ac:dyDescent="0.2">
      <c r="A508" s="13"/>
    </row>
    <row r="509" spans="1:1" ht="12.75" customHeight="1" x14ac:dyDescent="0.2">
      <c r="A509" s="13"/>
    </row>
    <row r="510" spans="1:1" ht="12.75" customHeight="1" x14ac:dyDescent="0.2">
      <c r="A510" s="13"/>
    </row>
    <row r="511" spans="1:1" ht="12.75" customHeight="1" x14ac:dyDescent="0.2">
      <c r="A511" s="13"/>
    </row>
    <row r="512" spans="1:1" ht="12.75" customHeight="1" x14ac:dyDescent="0.2">
      <c r="A512" s="13"/>
    </row>
    <row r="513" spans="1:1" ht="12.75" customHeight="1" x14ac:dyDescent="0.2">
      <c r="A513" s="13"/>
    </row>
    <row r="514" spans="1:1" ht="12.75" customHeight="1" x14ac:dyDescent="0.2">
      <c r="A514" s="13"/>
    </row>
    <row r="515" spans="1:1" ht="12.75" customHeight="1" x14ac:dyDescent="0.2">
      <c r="A515" s="13"/>
    </row>
    <row r="516" spans="1:1" ht="12.75" customHeight="1" x14ac:dyDescent="0.2">
      <c r="A516" s="13"/>
    </row>
    <row r="517" spans="1:1" ht="12.75" customHeight="1" x14ac:dyDescent="0.2">
      <c r="A517" s="13"/>
    </row>
    <row r="518" spans="1:1" ht="12.75" customHeight="1" x14ac:dyDescent="0.2">
      <c r="A518" s="13"/>
    </row>
    <row r="519" spans="1:1" ht="12.75" customHeight="1" x14ac:dyDescent="0.2">
      <c r="A519" s="13"/>
    </row>
    <row r="520" spans="1:1" ht="12.75" customHeight="1" x14ac:dyDescent="0.2">
      <c r="A520" s="13"/>
    </row>
    <row r="521" spans="1:1" ht="12.75" customHeight="1" x14ac:dyDescent="0.2">
      <c r="A521" s="13"/>
    </row>
    <row r="522" spans="1:1" ht="12.75" customHeight="1" x14ac:dyDescent="0.2">
      <c r="A522" s="13"/>
    </row>
    <row r="523" spans="1:1" ht="12.75" customHeight="1" x14ac:dyDescent="0.2">
      <c r="A523" s="13"/>
    </row>
    <row r="524" spans="1:1" ht="12.75" customHeight="1" x14ac:dyDescent="0.2">
      <c r="A524" s="13"/>
    </row>
    <row r="525" spans="1:1" ht="12.75" customHeight="1" x14ac:dyDescent="0.2">
      <c r="A525" s="13"/>
    </row>
    <row r="526" spans="1:1" ht="12.75" customHeight="1" x14ac:dyDescent="0.2">
      <c r="A526" s="13"/>
    </row>
    <row r="527" spans="1:1" ht="12.75" customHeight="1" x14ac:dyDescent="0.2">
      <c r="A527" s="13"/>
    </row>
    <row r="528" spans="1:1" ht="12.75" customHeight="1" x14ac:dyDescent="0.2">
      <c r="A528" s="13"/>
    </row>
    <row r="529" spans="1:1" ht="12.75" customHeight="1" x14ac:dyDescent="0.2">
      <c r="A529" s="13"/>
    </row>
    <row r="530" spans="1:1" ht="12.75" customHeight="1" x14ac:dyDescent="0.2">
      <c r="A530" s="13"/>
    </row>
    <row r="531" spans="1:1" ht="12.75" customHeight="1" x14ac:dyDescent="0.2">
      <c r="A531" s="13"/>
    </row>
    <row r="532" spans="1:1" ht="12.75" customHeight="1" x14ac:dyDescent="0.2">
      <c r="A532" s="13"/>
    </row>
    <row r="533" spans="1:1" ht="12.75" customHeight="1" x14ac:dyDescent="0.2">
      <c r="A533" s="13"/>
    </row>
    <row r="534" spans="1:1" ht="12.75" customHeight="1" x14ac:dyDescent="0.2">
      <c r="A534" s="13"/>
    </row>
    <row r="535" spans="1:1" ht="12.75" customHeight="1" x14ac:dyDescent="0.2">
      <c r="A535" s="13"/>
    </row>
    <row r="536" spans="1:1" ht="12.75" customHeight="1" x14ac:dyDescent="0.2">
      <c r="A536" s="13"/>
    </row>
    <row r="537" spans="1:1" ht="12.75" customHeight="1" x14ac:dyDescent="0.2">
      <c r="A537" s="13"/>
    </row>
    <row r="538" spans="1:1" ht="12.75" customHeight="1" x14ac:dyDescent="0.2">
      <c r="A538" s="13"/>
    </row>
    <row r="539" spans="1:1" ht="12.75" customHeight="1" x14ac:dyDescent="0.2">
      <c r="A539" s="13"/>
    </row>
    <row r="540" spans="1:1" ht="12.75" customHeight="1" x14ac:dyDescent="0.2">
      <c r="A540" s="13"/>
    </row>
    <row r="541" spans="1:1" ht="12.75" customHeight="1" x14ac:dyDescent="0.2">
      <c r="A541" s="13"/>
    </row>
    <row r="542" spans="1:1" ht="12.75" customHeight="1" x14ac:dyDescent="0.2">
      <c r="A542" s="13"/>
    </row>
    <row r="543" spans="1:1" ht="12.75" customHeight="1" x14ac:dyDescent="0.2">
      <c r="A543" s="13"/>
    </row>
    <row r="544" spans="1:1" ht="12.75" customHeight="1" x14ac:dyDescent="0.2">
      <c r="A544" s="13"/>
    </row>
    <row r="545" spans="1:1" ht="12.75" customHeight="1" x14ac:dyDescent="0.2">
      <c r="A545" s="13"/>
    </row>
    <row r="546" spans="1:1" ht="12.75" customHeight="1" x14ac:dyDescent="0.2">
      <c r="A546" s="13"/>
    </row>
    <row r="547" spans="1:1" ht="12.75" customHeight="1" x14ac:dyDescent="0.2">
      <c r="A547" s="13"/>
    </row>
    <row r="548" spans="1:1" ht="12.75" customHeight="1" x14ac:dyDescent="0.2">
      <c r="A548" s="13"/>
    </row>
    <row r="549" spans="1:1" ht="12.75" customHeight="1" x14ac:dyDescent="0.2">
      <c r="A549" s="13"/>
    </row>
    <row r="550" spans="1:1" ht="12.75" customHeight="1" x14ac:dyDescent="0.2">
      <c r="A550" s="13"/>
    </row>
    <row r="551" spans="1:1" ht="12.75" customHeight="1" x14ac:dyDescent="0.2">
      <c r="A551" s="13"/>
    </row>
    <row r="552" spans="1:1" ht="12.75" customHeight="1" x14ac:dyDescent="0.2">
      <c r="A552" s="13"/>
    </row>
    <row r="553" spans="1:1" ht="12.75" customHeight="1" x14ac:dyDescent="0.2">
      <c r="A553" s="13"/>
    </row>
    <row r="554" spans="1:1" ht="12.75" customHeight="1" x14ac:dyDescent="0.2">
      <c r="A554" s="13"/>
    </row>
    <row r="555" spans="1:1" ht="12.75" customHeight="1" x14ac:dyDescent="0.2">
      <c r="A555" s="13"/>
    </row>
    <row r="556" spans="1:1" ht="12.75" customHeight="1" x14ac:dyDescent="0.2">
      <c r="A556" s="13"/>
    </row>
    <row r="557" spans="1:1" ht="12.75" customHeight="1" x14ac:dyDescent="0.2">
      <c r="A557" s="13"/>
    </row>
    <row r="558" spans="1:1" ht="12.75" customHeight="1" x14ac:dyDescent="0.2">
      <c r="A558" s="13"/>
    </row>
    <row r="559" spans="1:1" ht="12.75" customHeight="1" x14ac:dyDescent="0.2">
      <c r="A559" s="13"/>
    </row>
    <row r="560" spans="1:1" ht="12.75" customHeight="1" x14ac:dyDescent="0.2">
      <c r="A560" s="13"/>
    </row>
    <row r="561" spans="1:1" ht="12.75" customHeight="1" x14ac:dyDescent="0.2">
      <c r="A561" s="13"/>
    </row>
    <row r="562" spans="1:1" ht="12.75" customHeight="1" x14ac:dyDescent="0.2">
      <c r="A562" s="13"/>
    </row>
    <row r="563" spans="1:1" ht="12.75" customHeight="1" x14ac:dyDescent="0.2">
      <c r="A563" s="13"/>
    </row>
    <row r="564" spans="1:1" ht="12.75" customHeight="1" x14ac:dyDescent="0.2">
      <c r="A564" s="13"/>
    </row>
    <row r="565" spans="1:1" ht="12.75" customHeight="1" x14ac:dyDescent="0.2">
      <c r="A565" s="13"/>
    </row>
    <row r="566" spans="1:1" ht="12.75" customHeight="1" x14ac:dyDescent="0.2">
      <c r="A566" s="13"/>
    </row>
    <row r="567" spans="1:1" ht="12.75" customHeight="1" x14ac:dyDescent="0.2">
      <c r="A567" s="13"/>
    </row>
    <row r="568" spans="1:1" ht="12.75" customHeight="1" x14ac:dyDescent="0.2">
      <c r="A568" s="13"/>
    </row>
    <row r="569" spans="1:1" ht="12.75" customHeight="1" x14ac:dyDescent="0.2">
      <c r="A569" s="13"/>
    </row>
    <row r="570" spans="1:1" ht="12.75" customHeight="1" x14ac:dyDescent="0.2">
      <c r="A570" s="13"/>
    </row>
    <row r="571" spans="1:1" ht="12.75" customHeight="1" x14ac:dyDescent="0.2">
      <c r="A571" s="13"/>
    </row>
    <row r="572" spans="1:1" ht="12.75" customHeight="1" x14ac:dyDescent="0.2">
      <c r="A572" s="13"/>
    </row>
    <row r="573" spans="1:1" ht="12.75" customHeight="1" x14ac:dyDescent="0.2">
      <c r="A573" s="13"/>
    </row>
    <row r="574" spans="1:1" ht="12.75" customHeight="1" x14ac:dyDescent="0.2">
      <c r="A574" s="13"/>
    </row>
    <row r="575" spans="1:1" ht="12.75" customHeight="1" x14ac:dyDescent="0.2">
      <c r="A575" s="13"/>
    </row>
    <row r="576" spans="1:1" ht="12.75" customHeight="1" x14ac:dyDescent="0.2">
      <c r="A576" s="13"/>
    </row>
    <row r="577" spans="1:1" ht="12.75" customHeight="1" x14ac:dyDescent="0.2">
      <c r="A577" s="13"/>
    </row>
    <row r="578" spans="1:1" ht="12.75" customHeight="1" x14ac:dyDescent="0.2">
      <c r="A578" s="13"/>
    </row>
    <row r="579" spans="1:1" ht="12.75" customHeight="1" x14ac:dyDescent="0.2">
      <c r="A579" s="13"/>
    </row>
    <row r="580" spans="1:1" ht="12.75" customHeight="1" x14ac:dyDescent="0.2">
      <c r="A580" s="13"/>
    </row>
    <row r="581" spans="1:1" ht="12.75" customHeight="1" x14ac:dyDescent="0.2">
      <c r="A581" s="13"/>
    </row>
    <row r="582" spans="1:1" ht="12.75" customHeight="1" x14ac:dyDescent="0.2">
      <c r="A582" s="13"/>
    </row>
    <row r="583" spans="1:1" ht="12.75" customHeight="1" x14ac:dyDescent="0.2">
      <c r="A583" s="13"/>
    </row>
    <row r="584" spans="1:1" ht="12.75" customHeight="1" x14ac:dyDescent="0.2">
      <c r="A584" s="13"/>
    </row>
    <row r="585" spans="1:1" ht="12.75" customHeight="1" x14ac:dyDescent="0.2">
      <c r="A585" s="13"/>
    </row>
    <row r="586" spans="1:1" ht="12.75" customHeight="1" x14ac:dyDescent="0.2">
      <c r="A586" s="13"/>
    </row>
    <row r="587" spans="1:1" ht="12.75" customHeight="1" x14ac:dyDescent="0.2">
      <c r="A587" s="13"/>
    </row>
    <row r="588" spans="1:1" ht="12.75" customHeight="1" x14ac:dyDescent="0.2">
      <c r="A588" s="13"/>
    </row>
    <row r="589" spans="1:1" ht="12.75" customHeight="1" x14ac:dyDescent="0.2">
      <c r="A589" s="13"/>
    </row>
    <row r="590" spans="1:1" ht="12.75" customHeight="1" x14ac:dyDescent="0.2">
      <c r="A590" s="13"/>
    </row>
    <row r="591" spans="1:1" ht="12.75" customHeight="1" x14ac:dyDescent="0.2">
      <c r="A591" s="13"/>
    </row>
    <row r="592" spans="1:1" ht="12.75" customHeight="1" x14ac:dyDescent="0.2">
      <c r="A592" s="13"/>
    </row>
    <row r="593" spans="1:1" ht="12.75" customHeight="1" x14ac:dyDescent="0.2">
      <c r="A593" s="13"/>
    </row>
    <row r="594" spans="1:1" ht="12.75" customHeight="1" x14ac:dyDescent="0.2">
      <c r="A594" s="13"/>
    </row>
    <row r="595" spans="1:1" ht="12.75" customHeight="1" x14ac:dyDescent="0.2">
      <c r="A595" s="13"/>
    </row>
    <row r="596" spans="1:1" ht="12.75" customHeight="1" x14ac:dyDescent="0.2">
      <c r="A596" s="13"/>
    </row>
    <row r="597" spans="1:1" ht="12.75" customHeight="1" x14ac:dyDescent="0.2">
      <c r="A597" s="13"/>
    </row>
    <row r="598" spans="1:1" ht="12.75" customHeight="1" x14ac:dyDescent="0.2">
      <c r="A598" s="13"/>
    </row>
    <row r="599" spans="1:1" ht="12.75" customHeight="1" x14ac:dyDescent="0.2">
      <c r="A599" s="13"/>
    </row>
    <row r="600" spans="1:1" ht="12.75" customHeight="1" x14ac:dyDescent="0.2">
      <c r="A600" s="13"/>
    </row>
    <row r="601" spans="1:1" ht="12.75" customHeight="1" x14ac:dyDescent="0.2">
      <c r="A601" s="13"/>
    </row>
    <row r="602" spans="1:1" ht="12.75" customHeight="1" x14ac:dyDescent="0.2">
      <c r="A602" s="13"/>
    </row>
    <row r="603" spans="1:1" ht="12.75" customHeight="1" x14ac:dyDescent="0.2">
      <c r="A603" s="13"/>
    </row>
    <row r="604" spans="1:1" ht="12.75" customHeight="1" x14ac:dyDescent="0.2">
      <c r="A604" s="13"/>
    </row>
    <row r="605" spans="1:1" ht="12.75" customHeight="1" x14ac:dyDescent="0.2">
      <c r="A605" s="13"/>
    </row>
    <row r="606" spans="1:1" ht="12.75" customHeight="1" x14ac:dyDescent="0.2">
      <c r="A606" s="13"/>
    </row>
    <row r="607" spans="1:1" ht="12.75" customHeight="1" x14ac:dyDescent="0.2">
      <c r="A607" s="13"/>
    </row>
    <row r="608" spans="1:1" ht="12.75" customHeight="1" x14ac:dyDescent="0.2">
      <c r="A608" s="13"/>
    </row>
    <row r="609" spans="1:1" ht="12.75" customHeight="1" x14ac:dyDescent="0.2">
      <c r="A609" s="13"/>
    </row>
    <row r="610" spans="1:1" ht="12.75" customHeight="1" x14ac:dyDescent="0.2">
      <c r="A610" s="13"/>
    </row>
    <row r="611" spans="1:1" ht="12.75" customHeight="1" x14ac:dyDescent="0.2">
      <c r="A611" s="13"/>
    </row>
    <row r="612" spans="1:1" ht="12.75" customHeight="1" x14ac:dyDescent="0.2">
      <c r="A612" s="13"/>
    </row>
    <row r="613" spans="1:1" ht="12.75" customHeight="1" x14ac:dyDescent="0.2">
      <c r="A613" s="13"/>
    </row>
    <row r="614" spans="1:1" ht="12.75" customHeight="1" x14ac:dyDescent="0.2">
      <c r="A614" s="13"/>
    </row>
    <row r="615" spans="1:1" ht="12.75" customHeight="1" x14ac:dyDescent="0.2">
      <c r="A615" s="13"/>
    </row>
    <row r="616" spans="1:1" ht="12.75" customHeight="1" x14ac:dyDescent="0.2">
      <c r="A616" s="13"/>
    </row>
    <row r="617" spans="1:1" ht="12.75" customHeight="1" x14ac:dyDescent="0.2">
      <c r="A617" s="13"/>
    </row>
    <row r="618" spans="1:1" ht="12.75" customHeight="1" x14ac:dyDescent="0.2">
      <c r="A618" s="13"/>
    </row>
    <row r="619" spans="1:1" ht="12.75" customHeight="1" x14ac:dyDescent="0.2">
      <c r="A619" s="13"/>
    </row>
    <row r="620" spans="1:1" ht="12.75" customHeight="1" x14ac:dyDescent="0.2">
      <c r="A620" s="13"/>
    </row>
    <row r="621" spans="1:1" ht="12.75" customHeight="1" x14ac:dyDescent="0.2">
      <c r="A621" s="13"/>
    </row>
    <row r="622" spans="1:1" ht="12.75" customHeight="1" x14ac:dyDescent="0.2">
      <c r="A622" s="13"/>
    </row>
    <row r="623" spans="1:1" ht="12.75" customHeight="1" x14ac:dyDescent="0.2">
      <c r="A623" s="13"/>
    </row>
    <row r="624" spans="1:1" ht="12.75" customHeight="1" x14ac:dyDescent="0.2">
      <c r="A624" s="13"/>
    </row>
    <row r="625" spans="1:1" ht="12.75" customHeight="1" x14ac:dyDescent="0.2">
      <c r="A625" s="13"/>
    </row>
    <row r="626" spans="1:1" ht="12.75" customHeight="1" x14ac:dyDescent="0.2">
      <c r="A626" s="13"/>
    </row>
    <row r="627" spans="1:1" ht="12.75" customHeight="1" x14ac:dyDescent="0.2">
      <c r="A627" s="13"/>
    </row>
    <row r="628" spans="1:1" ht="12.75" customHeight="1" x14ac:dyDescent="0.2">
      <c r="A628" s="13"/>
    </row>
    <row r="629" spans="1:1" ht="12.75" customHeight="1" x14ac:dyDescent="0.2">
      <c r="A629" s="13"/>
    </row>
    <row r="630" spans="1:1" ht="12.75" customHeight="1" x14ac:dyDescent="0.2">
      <c r="A630" s="13"/>
    </row>
    <row r="631" spans="1:1" ht="12.75" customHeight="1" x14ac:dyDescent="0.2">
      <c r="A631" s="13"/>
    </row>
    <row r="632" spans="1:1" ht="12.75" customHeight="1" x14ac:dyDescent="0.2">
      <c r="A632" s="13"/>
    </row>
    <row r="633" spans="1:1" ht="12.75" customHeight="1" x14ac:dyDescent="0.2">
      <c r="A633" s="13"/>
    </row>
    <row r="634" spans="1:1" ht="12.75" customHeight="1" x14ac:dyDescent="0.2">
      <c r="A634" s="13"/>
    </row>
    <row r="635" spans="1:1" ht="12.75" customHeight="1" x14ac:dyDescent="0.2">
      <c r="A635" s="13"/>
    </row>
    <row r="636" spans="1:1" ht="12.75" customHeight="1" x14ac:dyDescent="0.2">
      <c r="A636" s="13"/>
    </row>
    <row r="637" spans="1:1" ht="12.75" customHeight="1" x14ac:dyDescent="0.2">
      <c r="A637" s="13"/>
    </row>
    <row r="638" spans="1:1" ht="12.75" customHeight="1" x14ac:dyDescent="0.2">
      <c r="A638" s="13"/>
    </row>
    <row r="639" spans="1:1" ht="12.75" customHeight="1" x14ac:dyDescent="0.2">
      <c r="A639" s="13"/>
    </row>
    <row r="640" spans="1:1" ht="12.75" customHeight="1" x14ac:dyDescent="0.2">
      <c r="A640" s="13"/>
    </row>
    <row r="641" spans="1:1" ht="12.75" customHeight="1" x14ac:dyDescent="0.2">
      <c r="A641" s="13"/>
    </row>
    <row r="642" spans="1:1" ht="12.75" customHeight="1" x14ac:dyDescent="0.2">
      <c r="A642" s="13"/>
    </row>
    <row r="643" spans="1:1" ht="12.75" customHeight="1" x14ac:dyDescent="0.2">
      <c r="A643" s="13"/>
    </row>
    <row r="644" spans="1:1" ht="12.75" customHeight="1" x14ac:dyDescent="0.2">
      <c r="A644" s="13"/>
    </row>
    <row r="645" spans="1:1" ht="12.75" customHeight="1" x14ac:dyDescent="0.2">
      <c r="A645" s="13"/>
    </row>
    <row r="646" spans="1:1" ht="12.75" customHeight="1" x14ac:dyDescent="0.2">
      <c r="A646" s="13"/>
    </row>
    <row r="647" spans="1:1" ht="12.75" customHeight="1" x14ac:dyDescent="0.2">
      <c r="A647" s="13"/>
    </row>
    <row r="648" spans="1:1" ht="12.75" customHeight="1" x14ac:dyDescent="0.2">
      <c r="A648" s="13"/>
    </row>
    <row r="649" spans="1:1" ht="12.75" customHeight="1" x14ac:dyDescent="0.2">
      <c r="A649" s="13"/>
    </row>
    <row r="650" spans="1:1" ht="12.75" customHeight="1" x14ac:dyDescent="0.2">
      <c r="A650" s="13"/>
    </row>
    <row r="651" spans="1:1" ht="12.75" customHeight="1" x14ac:dyDescent="0.2">
      <c r="A651" s="13"/>
    </row>
    <row r="652" spans="1:1" ht="12.75" customHeight="1" x14ac:dyDescent="0.2">
      <c r="A652" s="13"/>
    </row>
    <row r="653" spans="1:1" ht="12.75" customHeight="1" x14ac:dyDescent="0.2">
      <c r="A653" s="13"/>
    </row>
    <row r="654" spans="1:1" ht="12.75" customHeight="1" x14ac:dyDescent="0.2">
      <c r="A654" s="13"/>
    </row>
    <row r="655" spans="1:1" ht="12.75" customHeight="1" x14ac:dyDescent="0.2">
      <c r="A655" s="13"/>
    </row>
    <row r="656" spans="1:1" ht="12.75" customHeight="1" x14ac:dyDescent="0.2">
      <c r="A656" s="13"/>
    </row>
    <row r="657" spans="1:1" ht="12.75" customHeight="1" x14ac:dyDescent="0.2">
      <c r="A657" s="13"/>
    </row>
    <row r="658" spans="1:1" ht="12.75" customHeight="1" x14ac:dyDescent="0.2">
      <c r="A658" s="13"/>
    </row>
    <row r="659" spans="1:1" ht="12.75" customHeight="1" x14ac:dyDescent="0.2">
      <c r="A659" s="13"/>
    </row>
    <row r="660" spans="1:1" ht="12.75" customHeight="1" x14ac:dyDescent="0.2">
      <c r="A660" s="13"/>
    </row>
    <row r="661" spans="1:1" ht="12.75" customHeight="1" x14ac:dyDescent="0.2">
      <c r="A661" s="13"/>
    </row>
    <row r="662" spans="1:1" ht="12.75" customHeight="1" x14ac:dyDescent="0.2">
      <c r="A662" s="13"/>
    </row>
    <row r="663" spans="1:1" ht="12.75" customHeight="1" x14ac:dyDescent="0.2">
      <c r="A663" s="13"/>
    </row>
    <row r="664" spans="1:1" ht="12.75" customHeight="1" x14ac:dyDescent="0.2">
      <c r="A664" s="13"/>
    </row>
    <row r="665" spans="1:1" ht="12.75" customHeight="1" x14ac:dyDescent="0.2">
      <c r="A665" s="13"/>
    </row>
    <row r="666" spans="1:1" ht="12.75" customHeight="1" x14ac:dyDescent="0.2">
      <c r="A666" s="13"/>
    </row>
    <row r="667" spans="1:1" ht="12.75" customHeight="1" x14ac:dyDescent="0.2">
      <c r="A667" s="13"/>
    </row>
    <row r="668" spans="1:1" ht="12.75" customHeight="1" x14ac:dyDescent="0.2">
      <c r="A668" s="13"/>
    </row>
    <row r="669" spans="1:1" ht="12.75" customHeight="1" x14ac:dyDescent="0.2">
      <c r="A669" s="13"/>
    </row>
    <row r="670" spans="1:1" ht="12.75" customHeight="1" x14ac:dyDescent="0.2">
      <c r="A670" s="13"/>
    </row>
    <row r="671" spans="1:1" ht="12.75" customHeight="1" x14ac:dyDescent="0.2">
      <c r="A671" s="13"/>
    </row>
    <row r="672" spans="1:1" ht="12.75" customHeight="1" x14ac:dyDescent="0.2">
      <c r="A672" s="13"/>
    </row>
    <row r="673" spans="1:1" ht="12.75" customHeight="1" x14ac:dyDescent="0.2">
      <c r="A673" s="13"/>
    </row>
    <row r="674" spans="1:1" ht="12.75" customHeight="1" x14ac:dyDescent="0.2">
      <c r="A674" s="13"/>
    </row>
    <row r="675" spans="1:1" ht="12.75" customHeight="1" x14ac:dyDescent="0.2">
      <c r="A675" s="13"/>
    </row>
    <row r="676" spans="1:1" ht="12.75" customHeight="1" x14ac:dyDescent="0.2">
      <c r="A676" s="13"/>
    </row>
    <row r="677" spans="1:1" ht="12.75" customHeight="1" x14ac:dyDescent="0.2">
      <c r="A677" s="13"/>
    </row>
    <row r="678" spans="1:1" ht="12.75" customHeight="1" x14ac:dyDescent="0.2">
      <c r="A678" s="13"/>
    </row>
    <row r="679" spans="1:1" ht="12.75" customHeight="1" x14ac:dyDescent="0.2">
      <c r="A679" s="13"/>
    </row>
    <row r="680" spans="1:1" ht="12.75" customHeight="1" x14ac:dyDescent="0.2">
      <c r="A680" s="13"/>
    </row>
    <row r="681" spans="1:1" ht="12.75" customHeight="1" x14ac:dyDescent="0.2">
      <c r="A681" s="13"/>
    </row>
    <row r="682" spans="1:1" ht="12.75" customHeight="1" x14ac:dyDescent="0.2">
      <c r="A682" s="13"/>
    </row>
    <row r="683" spans="1:1" ht="12.75" customHeight="1" x14ac:dyDescent="0.2">
      <c r="A683" s="13"/>
    </row>
    <row r="684" spans="1:1" ht="12.75" customHeight="1" x14ac:dyDescent="0.2">
      <c r="A684" s="13"/>
    </row>
    <row r="685" spans="1:1" ht="12.75" customHeight="1" x14ac:dyDescent="0.2">
      <c r="A685" s="13"/>
    </row>
    <row r="686" spans="1:1" ht="12.75" customHeight="1" x14ac:dyDescent="0.2">
      <c r="A686" s="13"/>
    </row>
    <row r="687" spans="1:1" ht="12.75" customHeight="1" x14ac:dyDescent="0.2">
      <c r="A687" s="13"/>
    </row>
    <row r="688" spans="1:1" ht="12.75" customHeight="1" x14ac:dyDescent="0.2">
      <c r="A688" s="13"/>
    </row>
    <row r="689" spans="1:1" ht="12.75" customHeight="1" x14ac:dyDescent="0.2">
      <c r="A689" s="13"/>
    </row>
    <row r="690" spans="1:1" ht="12.75" customHeight="1" x14ac:dyDescent="0.2">
      <c r="A690" s="13"/>
    </row>
    <row r="691" spans="1:1" ht="12.75" customHeight="1" x14ac:dyDescent="0.2">
      <c r="A691" s="13"/>
    </row>
    <row r="692" spans="1:1" ht="12.75" customHeight="1" x14ac:dyDescent="0.2">
      <c r="A692" s="13"/>
    </row>
    <row r="693" spans="1:1" ht="12.75" customHeight="1" x14ac:dyDescent="0.2">
      <c r="A693" s="13"/>
    </row>
    <row r="694" spans="1:1" ht="12.75" customHeight="1" x14ac:dyDescent="0.2">
      <c r="A694" s="13"/>
    </row>
    <row r="695" spans="1:1" ht="12.75" customHeight="1" x14ac:dyDescent="0.2">
      <c r="A695" s="13"/>
    </row>
    <row r="696" spans="1:1" ht="12.75" customHeight="1" x14ac:dyDescent="0.2">
      <c r="A696" s="13"/>
    </row>
    <row r="697" spans="1:1" ht="12.75" customHeight="1" x14ac:dyDescent="0.2">
      <c r="A697" s="13"/>
    </row>
    <row r="698" spans="1:1" ht="12.75" customHeight="1" x14ac:dyDescent="0.2">
      <c r="A698" s="13"/>
    </row>
    <row r="699" spans="1:1" ht="12.75" customHeight="1" x14ac:dyDescent="0.2">
      <c r="A699" s="13"/>
    </row>
    <row r="700" spans="1:1" ht="12.75" customHeight="1" x14ac:dyDescent="0.2">
      <c r="A700" s="13"/>
    </row>
    <row r="701" spans="1:1" ht="12.75" customHeight="1" x14ac:dyDescent="0.2">
      <c r="A701" s="13"/>
    </row>
    <row r="702" spans="1:1" ht="12.75" customHeight="1" x14ac:dyDescent="0.2">
      <c r="A702" s="13"/>
    </row>
    <row r="703" spans="1:1" ht="12.75" customHeight="1" x14ac:dyDescent="0.2">
      <c r="A703" s="13"/>
    </row>
    <row r="704" spans="1:1" ht="12.75" customHeight="1" x14ac:dyDescent="0.2">
      <c r="A704" s="13"/>
    </row>
    <row r="705" spans="1:1" ht="12.75" customHeight="1" x14ac:dyDescent="0.2">
      <c r="A705" s="13"/>
    </row>
    <row r="706" spans="1:1" ht="12.75" customHeight="1" x14ac:dyDescent="0.2">
      <c r="A706" s="13"/>
    </row>
    <row r="707" spans="1:1" ht="12.75" customHeight="1" x14ac:dyDescent="0.2">
      <c r="A707" s="13"/>
    </row>
    <row r="708" spans="1:1" ht="12.75" customHeight="1" x14ac:dyDescent="0.2">
      <c r="A708" s="13"/>
    </row>
    <row r="709" spans="1:1" ht="12.75" customHeight="1" x14ac:dyDescent="0.2">
      <c r="A709" s="13"/>
    </row>
    <row r="710" spans="1:1" ht="12.75" customHeight="1" x14ac:dyDescent="0.2">
      <c r="A710" s="13"/>
    </row>
    <row r="711" spans="1:1" ht="12.75" customHeight="1" x14ac:dyDescent="0.2">
      <c r="A711" s="13"/>
    </row>
    <row r="712" spans="1:1" ht="12.75" customHeight="1" x14ac:dyDescent="0.2">
      <c r="A712" s="13"/>
    </row>
    <row r="713" spans="1:1" ht="12.75" customHeight="1" x14ac:dyDescent="0.2">
      <c r="A713" s="13"/>
    </row>
    <row r="714" spans="1:1" ht="12.75" customHeight="1" x14ac:dyDescent="0.2">
      <c r="A714" s="13"/>
    </row>
    <row r="715" spans="1:1" ht="12.75" customHeight="1" x14ac:dyDescent="0.2">
      <c r="A715" s="13"/>
    </row>
    <row r="716" spans="1:1" ht="12.75" customHeight="1" x14ac:dyDescent="0.2">
      <c r="A716" s="13"/>
    </row>
    <row r="717" spans="1:1" ht="12.75" customHeight="1" x14ac:dyDescent="0.2">
      <c r="A717" s="13"/>
    </row>
    <row r="718" spans="1:1" ht="12.75" customHeight="1" x14ac:dyDescent="0.2">
      <c r="A718" s="13"/>
    </row>
    <row r="719" spans="1:1" ht="12.75" customHeight="1" x14ac:dyDescent="0.2">
      <c r="A719" s="13"/>
    </row>
    <row r="720" spans="1:1" ht="12.75" customHeight="1" x14ac:dyDescent="0.2">
      <c r="A720" s="13"/>
    </row>
    <row r="721" spans="1:1" ht="12.75" customHeight="1" x14ac:dyDescent="0.2">
      <c r="A721" s="13"/>
    </row>
    <row r="722" spans="1:1" ht="12.75" customHeight="1" x14ac:dyDescent="0.2">
      <c r="A722" s="13"/>
    </row>
    <row r="723" spans="1:1" ht="12.75" customHeight="1" x14ac:dyDescent="0.2">
      <c r="A723" s="13"/>
    </row>
    <row r="724" spans="1:1" ht="12.75" customHeight="1" x14ac:dyDescent="0.2">
      <c r="A724" s="13"/>
    </row>
    <row r="725" spans="1:1" ht="12.75" customHeight="1" x14ac:dyDescent="0.2">
      <c r="A725" s="13"/>
    </row>
    <row r="726" spans="1:1" ht="12.75" customHeight="1" x14ac:dyDescent="0.2">
      <c r="A726" s="13"/>
    </row>
    <row r="727" spans="1:1" ht="12.75" customHeight="1" x14ac:dyDescent="0.2">
      <c r="A727" s="13"/>
    </row>
    <row r="728" spans="1:1" ht="12.75" customHeight="1" x14ac:dyDescent="0.2">
      <c r="A728" s="13"/>
    </row>
    <row r="729" spans="1:1" ht="12.75" customHeight="1" x14ac:dyDescent="0.2">
      <c r="A729" s="13"/>
    </row>
    <row r="730" spans="1:1" ht="12.75" customHeight="1" x14ac:dyDescent="0.2">
      <c r="A730" s="13"/>
    </row>
    <row r="731" spans="1:1" ht="12.75" customHeight="1" x14ac:dyDescent="0.2">
      <c r="A731" s="13"/>
    </row>
    <row r="732" spans="1:1" ht="12.75" customHeight="1" x14ac:dyDescent="0.2">
      <c r="A732" s="13"/>
    </row>
    <row r="733" spans="1:1" ht="12.75" customHeight="1" x14ac:dyDescent="0.2">
      <c r="A733" s="13"/>
    </row>
    <row r="734" spans="1:1" ht="12.75" customHeight="1" x14ac:dyDescent="0.2">
      <c r="A734" s="13"/>
    </row>
    <row r="735" spans="1:1" ht="12.75" customHeight="1" x14ac:dyDescent="0.2">
      <c r="A735" s="13"/>
    </row>
    <row r="736" spans="1:1" ht="12.75" customHeight="1" x14ac:dyDescent="0.2">
      <c r="A736" s="13"/>
    </row>
    <row r="737" spans="1:1" ht="12.75" customHeight="1" x14ac:dyDescent="0.2">
      <c r="A737" s="13"/>
    </row>
    <row r="738" spans="1:1" ht="12.75" customHeight="1" x14ac:dyDescent="0.2">
      <c r="A738" s="13"/>
    </row>
    <row r="739" spans="1:1" ht="12.75" customHeight="1" x14ac:dyDescent="0.2">
      <c r="A739" s="13"/>
    </row>
    <row r="740" spans="1:1" ht="12.75" customHeight="1" x14ac:dyDescent="0.2">
      <c r="A740" s="13"/>
    </row>
    <row r="741" spans="1:1" ht="12.75" customHeight="1" x14ac:dyDescent="0.2">
      <c r="A741" s="13"/>
    </row>
    <row r="742" spans="1:1" ht="12.75" customHeight="1" x14ac:dyDescent="0.2">
      <c r="A742" s="13"/>
    </row>
    <row r="743" spans="1:1" ht="12.75" customHeight="1" x14ac:dyDescent="0.2">
      <c r="A743" s="13"/>
    </row>
    <row r="744" spans="1:1" ht="12.75" customHeight="1" x14ac:dyDescent="0.2">
      <c r="A744" s="13"/>
    </row>
    <row r="745" spans="1:1" ht="12.75" customHeight="1" x14ac:dyDescent="0.2">
      <c r="A745" s="13"/>
    </row>
    <row r="746" spans="1:1" ht="12.75" customHeight="1" x14ac:dyDescent="0.2">
      <c r="A746" s="13"/>
    </row>
    <row r="747" spans="1:1" ht="12.75" customHeight="1" x14ac:dyDescent="0.2">
      <c r="A747" s="13"/>
    </row>
    <row r="748" spans="1:1" ht="12.75" customHeight="1" x14ac:dyDescent="0.2">
      <c r="A748" s="13"/>
    </row>
    <row r="749" spans="1:1" ht="12.75" customHeight="1" x14ac:dyDescent="0.2">
      <c r="A749" s="13"/>
    </row>
    <row r="750" spans="1:1" ht="12.75" customHeight="1" x14ac:dyDescent="0.2">
      <c r="A750" s="13"/>
    </row>
    <row r="751" spans="1:1" ht="12.75" customHeight="1" x14ac:dyDescent="0.2">
      <c r="A751" s="13"/>
    </row>
    <row r="752" spans="1:1" ht="12.75" customHeight="1" x14ac:dyDescent="0.2">
      <c r="A752" s="13"/>
    </row>
    <row r="753" spans="1:1" ht="12.75" customHeight="1" x14ac:dyDescent="0.2">
      <c r="A753" s="13"/>
    </row>
    <row r="754" spans="1:1" ht="12.75" customHeight="1" x14ac:dyDescent="0.2">
      <c r="A754" s="13"/>
    </row>
    <row r="755" spans="1:1" ht="12.75" customHeight="1" x14ac:dyDescent="0.2">
      <c r="A755" s="13"/>
    </row>
    <row r="756" spans="1:1" ht="12.75" customHeight="1" x14ac:dyDescent="0.2">
      <c r="A756" s="13"/>
    </row>
    <row r="757" spans="1:1" ht="12.75" customHeight="1" x14ac:dyDescent="0.2">
      <c r="A757" s="13"/>
    </row>
    <row r="758" spans="1:1" ht="12.75" customHeight="1" x14ac:dyDescent="0.2">
      <c r="A758" s="13"/>
    </row>
    <row r="759" spans="1:1" ht="12.75" customHeight="1" x14ac:dyDescent="0.2">
      <c r="A759" s="13"/>
    </row>
    <row r="760" spans="1:1" ht="12.75" customHeight="1" x14ac:dyDescent="0.2">
      <c r="A760" s="13"/>
    </row>
    <row r="761" spans="1:1" ht="12.75" customHeight="1" x14ac:dyDescent="0.2">
      <c r="A761" s="13"/>
    </row>
    <row r="762" spans="1:1" ht="12.75" customHeight="1" x14ac:dyDescent="0.2">
      <c r="A762" s="13"/>
    </row>
    <row r="763" spans="1:1" ht="12.75" customHeight="1" x14ac:dyDescent="0.2">
      <c r="A763" s="13"/>
    </row>
    <row r="764" spans="1:1" ht="12.75" customHeight="1" x14ac:dyDescent="0.2">
      <c r="A764" s="13"/>
    </row>
    <row r="765" spans="1:1" ht="12.75" customHeight="1" x14ac:dyDescent="0.2">
      <c r="A765" s="13"/>
    </row>
    <row r="766" spans="1:1" ht="12.75" customHeight="1" x14ac:dyDescent="0.2">
      <c r="A766" s="13"/>
    </row>
    <row r="767" spans="1:1" ht="12.75" customHeight="1" x14ac:dyDescent="0.2">
      <c r="A767" s="13"/>
    </row>
    <row r="768" spans="1:1" ht="12.75" customHeight="1" x14ac:dyDescent="0.2">
      <c r="A768" s="13"/>
    </row>
    <row r="769" spans="1:1" ht="12.75" customHeight="1" x14ac:dyDescent="0.2">
      <c r="A769" s="13"/>
    </row>
    <row r="770" spans="1:1" ht="12.75" customHeight="1" x14ac:dyDescent="0.2">
      <c r="A770" s="13"/>
    </row>
    <row r="771" spans="1:1" ht="12.75" customHeight="1" x14ac:dyDescent="0.2">
      <c r="A771" s="13"/>
    </row>
    <row r="772" spans="1:1" ht="12.75" customHeight="1" x14ac:dyDescent="0.2">
      <c r="A772" s="13"/>
    </row>
    <row r="773" spans="1:1" ht="12.75" customHeight="1" x14ac:dyDescent="0.2">
      <c r="A773" s="13"/>
    </row>
    <row r="774" spans="1:1" ht="12.75" customHeight="1" x14ac:dyDescent="0.2">
      <c r="A774" s="13"/>
    </row>
    <row r="775" spans="1:1" ht="12.75" customHeight="1" x14ac:dyDescent="0.2">
      <c r="A775" s="13"/>
    </row>
    <row r="776" spans="1:1" ht="12.75" customHeight="1" x14ac:dyDescent="0.2">
      <c r="A776" s="13"/>
    </row>
    <row r="777" spans="1:1" ht="12.75" customHeight="1" x14ac:dyDescent="0.2">
      <c r="A777" s="13"/>
    </row>
    <row r="778" spans="1:1" ht="12.75" customHeight="1" x14ac:dyDescent="0.2">
      <c r="A778" s="13"/>
    </row>
    <row r="779" spans="1:1" ht="12.75" customHeight="1" x14ac:dyDescent="0.2">
      <c r="A779" s="13"/>
    </row>
    <row r="780" spans="1:1" ht="12.75" customHeight="1" x14ac:dyDescent="0.2">
      <c r="A780" s="13"/>
    </row>
    <row r="781" spans="1:1" ht="12.75" customHeight="1" x14ac:dyDescent="0.2">
      <c r="A781" s="13"/>
    </row>
    <row r="782" spans="1:1" ht="12.75" customHeight="1" x14ac:dyDescent="0.2">
      <c r="A782" s="13"/>
    </row>
    <row r="783" spans="1:1" ht="12.75" customHeight="1" x14ac:dyDescent="0.2">
      <c r="A783" s="13"/>
    </row>
    <row r="784" spans="1:1" ht="12.75" customHeight="1" x14ac:dyDescent="0.2">
      <c r="A784" s="13"/>
    </row>
    <row r="785" spans="1:1" ht="12.75" customHeight="1" x14ac:dyDescent="0.2">
      <c r="A785" s="13"/>
    </row>
    <row r="786" spans="1:1" ht="12.75" customHeight="1" x14ac:dyDescent="0.2">
      <c r="A786" s="13"/>
    </row>
    <row r="787" spans="1:1" ht="12.75" customHeight="1" x14ac:dyDescent="0.2">
      <c r="A787" s="13"/>
    </row>
    <row r="788" spans="1:1" ht="12.75" customHeight="1" x14ac:dyDescent="0.2">
      <c r="A788" s="13"/>
    </row>
    <row r="789" spans="1:1" ht="12.75" customHeight="1" x14ac:dyDescent="0.2">
      <c r="A789" s="13"/>
    </row>
    <row r="790" spans="1:1" ht="12.75" customHeight="1" x14ac:dyDescent="0.2">
      <c r="A790" s="13"/>
    </row>
    <row r="791" spans="1:1" ht="12.75" customHeight="1" x14ac:dyDescent="0.2">
      <c r="A791" s="13"/>
    </row>
    <row r="792" spans="1:1" ht="12.75" customHeight="1" x14ac:dyDescent="0.2">
      <c r="A792" s="13"/>
    </row>
    <row r="793" spans="1:1" ht="12.75" customHeight="1" x14ac:dyDescent="0.2">
      <c r="A793" s="13"/>
    </row>
    <row r="794" spans="1:1" ht="12.75" customHeight="1" x14ac:dyDescent="0.2">
      <c r="A794" s="13"/>
    </row>
    <row r="795" spans="1:1" ht="12.75" customHeight="1" x14ac:dyDescent="0.2">
      <c r="A795" s="13"/>
    </row>
    <row r="796" spans="1:1" ht="12.75" customHeight="1" x14ac:dyDescent="0.2">
      <c r="A796" s="13"/>
    </row>
    <row r="797" spans="1:1" ht="12.75" customHeight="1" x14ac:dyDescent="0.2">
      <c r="A797" s="13"/>
    </row>
    <row r="798" spans="1:1" ht="12.75" customHeight="1" x14ac:dyDescent="0.2">
      <c r="A798" s="13"/>
    </row>
    <row r="799" spans="1:1" ht="12.75" customHeight="1" x14ac:dyDescent="0.2">
      <c r="A799" s="13"/>
    </row>
    <row r="800" spans="1:1" ht="12.75" customHeight="1" x14ac:dyDescent="0.2">
      <c r="A800" s="13"/>
    </row>
    <row r="801" spans="1:1" ht="12.75" customHeight="1" x14ac:dyDescent="0.2">
      <c r="A801" s="13"/>
    </row>
    <row r="802" spans="1:1" ht="12.75" customHeight="1" x14ac:dyDescent="0.2">
      <c r="A802" s="13"/>
    </row>
    <row r="803" spans="1:1" ht="12.75" customHeight="1" x14ac:dyDescent="0.2">
      <c r="A803" s="13"/>
    </row>
    <row r="804" spans="1:1" ht="12.75" customHeight="1" x14ac:dyDescent="0.2">
      <c r="A804" s="13"/>
    </row>
    <row r="805" spans="1:1" ht="12.75" customHeight="1" x14ac:dyDescent="0.2">
      <c r="A805" s="13"/>
    </row>
    <row r="806" spans="1:1" ht="12.75" customHeight="1" x14ac:dyDescent="0.2">
      <c r="A806" s="13"/>
    </row>
    <row r="807" spans="1:1" ht="12.75" customHeight="1" x14ac:dyDescent="0.2">
      <c r="A807" s="13"/>
    </row>
    <row r="808" spans="1:1" ht="12.75" customHeight="1" x14ac:dyDescent="0.2">
      <c r="A808" s="13"/>
    </row>
    <row r="809" spans="1:1" ht="12.75" customHeight="1" x14ac:dyDescent="0.2">
      <c r="A809" s="13"/>
    </row>
    <row r="810" spans="1:1" ht="12.75" customHeight="1" x14ac:dyDescent="0.2">
      <c r="A810" s="13"/>
    </row>
    <row r="811" spans="1:1" ht="12.75" customHeight="1" x14ac:dyDescent="0.2">
      <c r="A811" s="13"/>
    </row>
    <row r="812" spans="1:1" ht="12.75" customHeight="1" x14ac:dyDescent="0.2">
      <c r="A812" s="13"/>
    </row>
    <row r="813" spans="1:1" ht="12.75" customHeight="1" x14ac:dyDescent="0.2">
      <c r="A813" s="13"/>
    </row>
    <row r="814" spans="1:1" ht="12.75" customHeight="1" x14ac:dyDescent="0.2">
      <c r="A814" s="13"/>
    </row>
    <row r="815" spans="1:1" ht="12.75" customHeight="1" x14ac:dyDescent="0.2">
      <c r="A815" s="13"/>
    </row>
    <row r="816" spans="1:1" ht="12.75" customHeight="1" x14ac:dyDescent="0.2">
      <c r="A816" s="13"/>
    </row>
    <row r="817" spans="1:1" ht="12.75" customHeight="1" x14ac:dyDescent="0.2">
      <c r="A817" s="13"/>
    </row>
    <row r="818" spans="1:1" ht="12.75" customHeight="1" x14ac:dyDescent="0.2">
      <c r="A818" s="13"/>
    </row>
    <row r="819" spans="1:1" ht="12.75" customHeight="1" x14ac:dyDescent="0.2">
      <c r="A819" s="13"/>
    </row>
    <row r="820" spans="1:1" ht="12.75" customHeight="1" x14ac:dyDescent="0.2">
      <c r="A820" s="13"/>
    </row>
    <row r="821" spans="1:1" ht="12.75" customHeight="1" x14ac:dyDescent="0.2">
      <c r="A821" s="13"/>
    </row>
    <row r="822" spans="1:1" ht="12.75" customHeight="1" x14ac:dyDescent="0.2">
      <c r="A822" s="13"/>
    </row>
    <row r="823" spans="1:1" ht="12.75" customHeight="1" x14ac:dyDescent="0.2">
      <c r="A823" s="13"/>
    </row>
    <row r="824" spans="1:1" ht="12.75" customHeight="1" x14ac:dyDescent="0.2">
      <c r="A824" s="13"/>
    </row>
    <row r="825" spans="1:1" ht="12.75" customHeight="1" x14ac:dyDescent="0.2">
      <c r="A825" s="13"/>
    </row>
    <row r="826" spans="1:1" ht="12.75" customHeight="1" x14ac:dyDescent="0.2">
      <c r="A826" s="13"/>
    </row>
    <row r="827" spans="1:1" ht="12.75" customHeight="1" x14ac:dyDescent="0.2">
      <c r="A827" s="13"/>
    </row>
    <row r="828" spans="1:1" ht="12.75" customHeight="1" x14ac:dyDescent="0.2">
      <c r="A828" s="13"/>
    </row>
    <row r="829" spans="1:1" ht="12.75" customHeight="1" x14ac:dyDescent="0.2">
      <c r="A829" s="13"/>
    </row>
    <row r="830" spans="1:1" ht="12.75" customHeight="1" x14ac:dyDescent="0.2">
      <c r="A830" s="13"/>
    </row>
    <row r="831" spans="1:1" ht="12.75" customHeight="1" x14ac:dyDescent="0.2">
      <c r="A831" s="13"/>
    </row>
    <row r="832" spans="1:1" ht="12.75" customHeight="1" x14ac:dyDescent="0.2">
      <c r="A832" s="13"/>
    </row>
    <row r="833" spans="1:1" ht="12.75" customHeight="1" x14ac:dyDescent="0.2">
      <c r="A833" s="13"/>
    </row>
    <row r="834" spans="1:1" ht="12.75" customHeight="1" x14ac:dyDescent="0.2">
      <c r="A834" s="13"/>
    </row>
    <row r="835" spans="1:1" ht="12.75" customHeight="1" x14ac:dyDescent="0.2">
      <c r="A835" s="13"/>
    </row>
    <row r="836" spans="1:1" ht="12.75" customHeight="1" x14ac:dyDescent="0.2">
      <c r="A836" s="13"/>
    </row>
    <row r="837" spans="1:1" ht="12.75" customHeight="1" x14ac:dyDescent="0.2">
      <c r="A837" s="13"/>
    </row>
    <row r="838" spans="1:1" ht="12.75" customHeight="1" x14ac:dyDescent="0.2">
      <c r="A838" s="13"/>
    </row>
    <row r="839" spans="1:1" ht="12.75" customHeight="1" x14ac:dyDescent="0.2">
      <c r="A839" s="13"/>
    </row>
    <row r="840" spans="1:1" ht="12.75" customHeight="1" x14ac:dyDescent="0.2">
      <c r="A840" s="13"/>
    </row>
    <row r="841" spans="1:1" ht="12.75" customHeight="1" x14ac:dyDescent="0.2">
      <c r="A841" s="13"/>
    </row>
    <row r="842" spans="1:1" ht="12.75" customHeight="1" x14ac:dyDescent="0.2">
      <c r="A842" s="13"/>
    </row>
    <row r="843" spans="1:1" ht="12.75" customHeight="1" x14ac:dyDescent="0.2">
      <c r="A843" s="13"/>
    </row>
    <row r="844" spans="1:1" ht="12.75" customHeight="1" x14ac:dyDescent="0.2">
      <c r="A844" s="13"/>
    </row>
    <row r="845" spans="1:1" ht="12.75" customHeight="1" x14ac:dyDescent="0.2">
      <c r="A845" s="13"/>
    </row>
    <row r="846" spans="1:1" ht="12.75" customHeight="1" x14ac:dyDescent="0.2">
      <c r="A846" s="13"/>
    </row>
    <row r="847" spans="1:1" ht="12.75" customHeight="1" x14ac:dyDescent="0.2">
      <c r="A847" s="13"/>
    </row>
    <row r="848" spans="1:1" ht="12.75" customHeight="1" x14ac:dyDescent="0.2">
      <c r="A848" s="13"/>
    </row>
    <row r="849" spans="1:1" ht="12.75" customHeight="1" x14ac:dyDescent="0.2">
      <c r="A849" s="13"/>
    </row>
    <row r="850" spans="1:1" ht="12.75" customHeight="1" x14ac:dyDescent="0.2">
      <c r="A850" s="13"/>
    </row>
    <row r="851" spans="1:1" ht="12.75" customHeight="1" x14ac:dyDescent="0.2">
      <c r="A851" s="13"/>
    </row>
    <row r="852" spans="1:1" ht="12.75" customHeight="1" x14ac:dyDescent="0.2">
      <c r="A852" s="13"/>
    </row>
    <row r="853" spans="1:1" ht="12.75" customHeight="1" x14ac:dyDescent="0.2">
      <c r="A853" s="13"/>
    </row>
    <row r="854" spans="1:1" ht="12.75" customHeight="1" x14ac:dyDescent="0.2">
      <c r="A854" s="13"/>
    </row>
    <row r="855" spans="1:1" ht="12.75" customHeight="1" x14ac:dyDescent="0.2">
      <c r="A855" s="13"/>
    </row>
    <row r="856" spans="1:1" ht="12.75" customHeight="1" x14ac:dyDescent="0.2">
      <c r="A856" s="13"/>
    </row>
    <row r="857" spans="1:1" ht="12.75" customHeight="1" x14ac:dyDescent="0.2">
      <c r="A857" s="13"/>
    </row>
    <row r="858" spans="1:1" ht="12.75" customHeight="1" x14ac:dyDescent="0.2">
      <c r="A858" s="13"/>
    </row>
    <row r="859" spans="1:1" ht="12.75" customHeight="1" x14ac:dyDescent="0.2">
      <c r="A859" s="13"/>
    </row>
    <row r="860" spans="1:1" ht="12.75" customHeight="1" x14ac:dyDescent="0.2">
      <c r="A860" s="13"/>
    </row>
    <row r="861" spans="1:1" ht="12.75" customHeight="1" x14ac:dyDescent="0.2">
      <c r="A861" s="13"/>
    </row>
    <row r="862" spans="1:1" ht="12.75" customHeight="1" x14ac:dyDescent="0.2">
      <c r="A862" s="13"/>
    </row>
    <row r="863" spans="1:1" ht="12.75" customHeight="1" x14ac:dyDescent="0.2">
      <c r="A863" s="13"/>
    </row>
    <row r="864" spans="1:1" ht="12.75" customHeight="1" x14ac:dyDescent="0.2">
      <c r="A864" s="13"/>
    </row>
    <row r="865" spans="1:1" ht="12.75" customHeight="1" x14ac:dyDescent="0.2">
      <c r="A865" s="13"/>
    </row>
    <row r="866" spans="1:1" ht="12.75" customHeight="1" x14ac:dyDescent="0.2">
      <c r="A866" s="13"/>
    </row>
    <row r="867" spans="1:1" ht="12.75" customHeight="1" x14ac:dyDescent="0.2">
      <c r="A867" s="13"/>
    </row>
    <row r="868" spans="1:1" ht="12.75" customHeight="1" x14ac:dyDescent="0.2">
      <c r="A868" s="13"/>
    </row>
    <row r="869" spans="1:1" ht="12.75" customHeight="1" x14ac:dyDescent="0.2">
      <c r="A869" s="13"/>
    </row>
    <row r="870" spans="1:1" ht="12.75" customHeight="1" x14ac:dyDescent="0.2">
      <c r="A870" s="13"/>
    </row>
    <row r="871" spans="1:1" ht="12.75" customHeight="1" x14ac:dyDescent="0.2">
      <c r="A871" s="13"/>
    </row>
    <row r="872" spans="1:1" ht="12.75" customHeight="1" x14ac:dyDescent="0.2">
      <c r="A872" s="13"/>
    </row>
    <row r="873" spans="1:1" ht="12.75" customHeight="1" x14ac:dyDescent="0.2">
      <c r="A873" s="13"/>
    </row>
    <row r="874" spans="1:1" ht="12.75" customHeight="1" x14ac:dyDescent="0.2">
      <c r="A874" s="13"/>
    </row>
    <row r="875" spans="1:1" ht="12.75" customHeight="1" x14ac:dyDescent="0.2">
      <c r="A875" s="13"/>
    </row>
    <row r="876" spans="1:1" ht="12.75" customHeight="1" x14ac:dyDescent="0.2">
      <c r="A876" s="13"/>
    </row>
    <row r="877" spans="1:1" ht="12.75" customHeight="1" x14ac:dyDescent="0.2">
      <c r="A877" s="13"/>
    </row>
    <row r="878" spans="1:1" ht="12.75" customHeight="1" x14ac:dyDescent="0.2">
      <c r="A878" s="13"/>
    </row>
    <row r="879" spans="1:1" ht="12.75" customHeight="1" x14ac:dyDescent="0.2">
      <c r="A879" s="13"/>
    </row>
    <row r="880" spans="1:1" ht="12.75" customHeight="1" x14ac:dyDescent="0.2">
      <c r="A880" s="13"/>
    </row>
    <row r="881" spans="1:1" ht="12.75" customHeight="1" x14ac:dyDescent="0.2">
      <c r="A881" s="13"/>
    </row>
    <row r="882" spans="1:1" ht="12.75" customHeight="1" x14ac:dyDescent="0.2">
      <c r="A882" s="13"/>
    </row>
    <row r="883" spans="1:1" ht="12.75" customHeight="1" x14ac:dyDescent="0.2">
      <c r="A883" s="13"/>
    </row>
    <row r="884" spans="1:1" ht="12.75" customHeight="1" x14ac:dyDescent="0.2">
      <c r="A884" s="13"/>
    </row>
    <row r="885" spans="1:1" ht="12.75" customHeight="1" x14ac:dyDescent="0.2">
      <c r="A885" s="13"/>
    </row>
    <row r="886" spans="1:1" ht="12.75" customHeight="1" x14ac:dyDescent="0.2">
      <c r="A886" s="13"/>
    </row>
    <row r="887" spans="1:1" ht="12.75" customHeight="1" x14ac:dyDescent="0.2">
      <c r="A887" s="13"/>
    </row>
    <row r="888" spans="1:1" ht="12.75" customHeight="1" x14ac:dyDescent="0.2">
      <c r="A888" s="13"/>
    </row>
    <row r="889" spans="1:1" ht="12.75" customHeight="1" x14ac:dyDescent="0.2">
      <c r="A889" s="13"/>
    </row>
    <row r="890" spans="1:1" ht="12.75" customHeight="1" x14ac:dyDescent="0.2">
      <c r="A890" s="13"/>
    </row>
    <row r="891" spans="1:1" ht="12.75" customHeight="1" x14ac:dyDescent="0.2">
      <c r="A891" s="13"/>
    </row>
    <row r="892" spans="1:1" ht="12.75" customHeight="1" x14ac:dyDescent="0.2">
      <c r="A892" s="13"/>
    </row>
    <row r="893" spans="1:1" ht="12.75" customHeight="1" x14ac:dyDescent="0.2">
      <c r="A893" s="13"/>
    </row>
    <row r="894" spans="1:1" ht="12.75" customHeight="1" x14ac:dyDescent="0.2">
      <c r="A894" s="13"/>
    </row>
    <row r="895" spans="1:1" ht="12.75" customHeight="1" x14ac:dyDescent="0.2">
      <c r="A895" s="13"/>
    </row>
    <row r="896" spans="1:1" ht="12.75" customHeight="1" x14ac:dyDescent="0.2">
      <c r="A896" s="13"/>
    </row>
    <row r="897" spans="1:1" ht="12.75" customHeight="1" x14ac:dyDescent="0.2">
      <c r="A897" s="13"/>
    </row>
    <row r="898" spans="1:1" ht="12.75" customHeight="1" x14ac:dyDescent="0.2">
      <c r="A898" s="13"/>
    </row>
    <row r="899" spans="1:1" ht="12.75" customHeight="1" x14ac:dyDescent="0.2">
      <c r="A899" s="13"/>
    </row>
    <row r="900" spans="1:1" ht="12.75" customHeight="1" x14ac:dyDescent="0.2">
      <c r="A900" s="13"/>
    </row>
    <row r="901" spans="1:1" ht="12.75" customHeight="1" x14ac:dyDescent="0.2">
      <c r="A901" s="13"/>
    </row>
    <row r="902" spans="1:1" ht="12.75" customHeight="1" x14ac:dyDescent="0.2">
      <c r="A902" s="13"/>
    </row>
    <row r="903" spans="1:1" ht="12.75" customHeight="1" x14ac:dyDescent="0.2">
      <c r="A903" s="13"/>
    </row>
    <row r="904" spans="1:1" ht="12.75" customHeight="1" x14ac:dyDescent="0.2">
      <c r="A904" s="13"/>
    </row>
    <row r="905" spans="1:1" ht="12.75" customHeight="1" x14ac:dyDescent="0.2">
      <c r="A905" s="13"/>
    </row>
    <row r="906" spans="1:1" ht="12.75" customHeight="1" x14ac:dyDescent="0.2">
      <c r="A906" s="13"/>
    </row>
    <row r="907" spans="1:1" ht="12.75" customHeight="1" x14ac:dyDescent="0.2">
      <c r="A907" s="13"/>
    </row>
    <row r="908" spans="1:1" ht="12.75" customHeight="1" x14ac:dyDescent="0.2">
      <c r="A908" s="13"/>
    </row>
    <row r="909" spans="1:1" ht="12.75" customHeight="1" x14ac:dyDescent="0.2">
      <c r="A909" s="13"/>
    </row>
    <row r="910" spans="1:1" ht="12.75" customHeight="1" x14ac:dyDescent="0.2">
      <c r="A910" s="13"/>
    </row>
    <row r="911" spans="1:1" ht="12.75" customHeight="1" x14ac:dyDescent="0.2">
      <c r="A911" s="13"/>
    </row>
    <row r="912" spans="1:1" ht="12.75" customHeight="1" x14ac:dyDescent="0.2">
      <c r="A912" s="13"/>
    </row>
    <row r="913" spans="1:1" ht="12.75" customHeight="1" x14ac:dyDescent="0.2">
      <c r="A913" s="13"/>
    </row>
    <row r="914" spans="1:1" ht="12.75" customHeight="1" x14ac:dyDescent="0.2">
      <c r="A914" s="13"/>
    </row>
    <row r="915" spans="1:1" ht="12.75" customHeight="1" x14ac:dyDescent="0.2">
      <c r="A915" s="13"/>
    </row>
    <row r="916" spans="1:1" ht="12.75" customHeight="1" x14ac:dyDescent="0.2">
      <c r="A916" s="13"/>
    </row>
    <row r="917" spans="1:1" ht="12.75" customHeight="1" x14ac:dyDescent="0.2">
      <c r="A917" s="13"/>
    </row>
    <row r="918" spans="1:1" ht="12.75" customHeight="1" x14ac:dyDescent="0.2">
      <c r="A918" s="13"/>
    </row>
    <row r="919" spans="1:1" ht="12.75" customHeight="1" x14ac:dyDescent="0.2">
      <c r="A919" s="13"/>
    </row>
    <row r="920" spans="1:1" ht="12.75" customHeight="1" x14ac:dyDescent="0.2">
      <c r="A920" s="13"/>
    </row>
    <row r="921" spans="1:1" ht="12.75" customHeight="1" x14ac:dyDescent="0.2">
      <c r="A921" s="13"/>
    </row>
    <row r="922" spans="1:1" ht="12.75" customHeight="1" x14ac:dyDescent="0.2">
      <c r="A922" s="13"/>
    </row>
    <row r="923" spans="1:1" ht="12.75" customHeight="1" x14ac:dyDescent="0.2">
      <c r="A923" s="13"/>
    </row>
    <row r="924" spans="1:1" ht="12.75" customHeight="1" x14ac:dyDescent="0.2">
      <c r="A924" s="13"/>
    </row>
    <row r="925" spans="1:1" ht="12.75" customHeight="1" x14ac:dyDescent="0.2">
      <c r="A925" s="13"/>
    </row>
    <row r="926" spans="1:1" ht="12.75" customHeight="1" x14ac:dyDescent="0.2">
      <c r="A926" s="13"/>
    </row>
    <row r="927" spans="1:1" ht="12.75" customHeight="1" x14ac:dyDescent="0.2">
      <c r="A927" s="13"/>
    </row>
    <row r="928" spans="1:1" ht="12.75" customHeight="1" x14ac:dyDescent="0.2">
      <c r="A928" s="13"/>
    </row>
    <row r="929" spans="1:1" ht="12.75" customHeight="1" x14ac:dyDescent="0.2">
      <c r="A929" s="13"/>
    </row>
    <row r="930" spans="1:1" ht="12.75" customHeight="1" x14ac:dyDescent="0.2">
      <c r="A930" s="13"/>
    </row>
    <row r="931" spans="1:1" ht="12.75" customHeight="1" x14ac:dyDescent="0.2">
      <c r="A931" s="13"/>
    </row>
    <row r="932" spans="1:1" ht="12.75" customHeight="1" x14ac:dyDescent="0.2">
      <c r="A932" s="13"/>
    </row>
    <row r="933" spans="1:1" ht="12.75" customHeight="1" x14ac:dyDescent="0.2">
      <c r="A933" s="13"/>
    </row>
    <row r="934" spans="1:1" ht="12.75" customHeight="1" x14ac:dyDescent="0.2">
      <c r="A934" s="13"/>
    </row>
    <row r="935" spans="1:1" ht="12.75" customHeight="1" x14ac:dyDescent="0.2">
      <c r="A935" s="13"/>
    </row>
    <row r="936" spans="1:1" ht="12.75" customHeight="1" x14ac:dyDescent="0.2">
      <c r="A936" s="13"/>
    </row>
    <row r="937" spans="1:1" ht="12.75" customHeight="1" x14ac:dyDescent="0.2">
      <c r="A937" s="13"/>
    </row>
    <row r="938" spans="1:1" ht="12.75" customHeight="1" x14ac:dyDescent="0.2">
      <c r="A938" s="13"/>
    </row>
    <row r="939" spans="1:1" ht="12.75" customHeight="1" x14ac:dyDescent="0.2">
      <c r="A939" s="13"/>
    </row>
    <row r="940" spans="1:1" ht="12.75" customHeight="1" x14ac:dyDescent="0.2">
      <c r="A940" s="13"/>
    </row>
    <row r="941" spans="1:1" ht="12.75" customHeight="1" x14ac:dyDescent="0.2">
      <c r="A941" s="13"/>
    </row>
    <row r="942" spans="1:1" ht="12.75" customHeight="1" x14ac:dyDescent="0.2">
      <c r="A942" s="13"/>
    </row>
    <row r="943" spans="1:1" ht="12.75" customHeight="1" x14ac:dyDescent="0.2">
      <c r="A943" s="13"/>
    </row>
    <row r="944" spans="1:1" ht="12.75" customHeight="1" x14ac:dyDescent="0.2">
      <c r="A944" s="13"/>
    </row>
    <row r="945" spans="1:1" ht="12.75" customHeight="1" x14ac:dyDescent="0.2">
      <c r="A945" s="13"/>
    </row>
    <row r="946" spans="1:1" ht="12.75" customHeight="1" x14ac:dyDescent="0.2">
      <c r="A946" s="13"/>
    </row>
    <row r="947" spans="1:1" ht="12.75" customHeight="1" x14ac:dyDescent="0.2">
      <c r="A947" s="13"/>
    </row>
    <row r="948" spans="1:1" ht="12.75" customHeight="1" x14ac:dyDescent="0.2">
      <c r="A948" s="13"/>
    </row>
    <row r="949" spans="1:1" ht="12.75" customHeight="1" x14ac:dyDescent="0.2">
      <c r="A949" s="13"/>
    </row>
    <row r="950" spans="1:1" ht="12.75" customHeight="1" x14ac:dyDescent="0.2">
      <c r="A950" s="13"/>
    </row>
    <row r="951" spans="1:1" ht="12.75" customHeight="1" x14ac:dyDescent="0.2">
      <c r="A951" s="13"/>
    </row>
    <row r="952" spans="1:1" ht="12.75" customHeight="1" x14ac:dyDescent="0.2">
      <c r="A952" s="13"/>
    </row>
    <row r="953" spans="1:1" ht="12.75" customHeight="1" x14ac:dyDescent="0.2">
      <c r="A953" s="13"/>
    </row>
    <row r="954" spans="1:1" ht="12.75" customHeight="1" x14ac:dyDescent="0.2">
      <c r="A954" s="13"/>
    </row>
    <row r="955" spans="1:1" ht="12.75" customHeight="1" x14ac:dyDescent="0.2">
      <c r="A955" s="13"/>
    </row>
    <row r="956" spans="1:1" ht="12.75" customHeight="1" x14ac:dyDescent="0.2">
      <c r="A956" s="13"/>
    </row>
    <row r="957" spans="1:1" ht="12.75" customHeight="1" x14ac:dyDescent="0.2">
      <c r="A957" s="13"/>
    </row>
    <row r="958" spans="1:1" ht="12.75" customHeight="1" x14ac:dyDescent="0.2">
      <c r="A958" s="13"/>
    </row>
    <row r="959" spans="1:1" ht="12.75" customHeight="1" x14ac:dyDescent="0.2">
      <c r="A959" s="13"/>
    </row>
    <row r="960" spans="1:1" ht="12.75" customHeight="1" x14ac:dyDescent="0.2">
      <c r="A960" s="13"/>
    </row>
    <row r="961" spans="1:1" ht="12.75" customHeight="1" x14ac:dyDescent="0.2">
      <c r="A961" s="13"/>
    </row>
    <row r="962" spans="1:1" ht="12.75" customHeight="1" x14ac:dyDescent="0.2">
      <c r="A962" s="13"/>
    </row>
    <row r="963" spans="1:1" ht="12.75" customHeight="1" x14ac:dyDescent="0.2">
      <c r="A963" s="13"/>
    </row>
    <row r="964" spans="1:1" ht="12.75" customHeight="1" x14ac:dyDescent="0.2">
      <c r="A964" s="13"/>
    </row>
    <row r="965" spans="1:1" ht="12.75" customHeight="1" x14ac:dyDescent="0.2">
      <c r="A965" s="13"/>
    </row>
    <row r="966" spans="1:1" ht="12.75" customHeight="1" x14ac:dyDescent="0.2">
      <c r="A966" s="13"/>
    </row>
    <row r="967" spans="1:1" ht="12.75" customHeight="1" x14ac:dyDescent="0.2">
      <c r="A967" s="13"/>
    </row>
    <row r="968" spans="1:1" ht="12.75" customHeight="1" x14ac:dyDescent="0.2">
      <c r="A968" s="13"/>
    </row>
    <row r="969" spans="1:1" ht="12.75" customHeight="1" x14ac:dyDescent="0.2">
      <c r="A969" s="13"/>
    </row>
    <row r="970" spans="1:1" ht="12.75" customHeight="1" x14ac:dyDescent="0.2">
      <c r="A970" s="13"/>
    </row>
    <row r="971" spans="1:1" ht="12.75" customHeight="1" x14ac:dyDescent="0.2">
      <c r="A971" s="13"/>
    </row>
    <row r="972" spans="1:1" ht="12.75" customHeight="1" x14ac:dyDescent="0.2">
      <c r="A972" s="13"/>
    </row>
    <row r="973" spans="1:1" ht="12.75" customHeight="1" x14ac:dyDescent="0.2">
      <c r="A973" s="13"/>
    </row>
    <row r="974" spans="1:1" ht="12.75" customHeight="1" x14ac:dyDescent="0.2">
      <c r="A974" s="13"/>
    </row>
    <row r="975" spans="1:1" ht="12.75" customHeight="1" x14ac:dyDescent="0.2">
      <c r="A975" s="13"/>
    </row>
    <row r="976" spans="1:1" ht="12.75" customHeight="1" x14ac:dyDescent="0.2">
      <c r="A976" s="13"/>
    </row>
    <row r="977" spans="1:1" ht="12.75" customHeight="1" x14ac:dyDescent="0.2">
      <c r="A977" s="13"/>
    </row>
    <row r="978" spans="1:1" ht="12.75" customHeight="1" x14ac:dyDescent="0.2">
      <c r="A978" s="13"/>
    </row>
    <row r="979" spans="1:1" ht="12.75" customHeight="1" x14ac:dyDescent="0.2">
      <c r="A979" s="13"/>
    </row>
    <row r="980" spans="1:1" ht="12.75" customHeight="1" x14ac:dyDescent="0.2">
      <c r="A980" s="13"/>
    </row>
    <row r="981" spans="1:1" ht="12.75" customHeight="1" x14ac:dyDescent="0.2">
      <c r="A981" s="13"/>
    </row>
    <row r="982" spans="1:1" ht="12.75" customHeight="1" x14ac:dyDescent="0.2">
      <c r="A982" s="13"/>
    </row>
    <row r="983" spans="1:1" ht="12.75" customHeight="1" x14ac:dyDescent="0.2">
      <c r="A983" s="13"/>
    </row>
    <row r="984" spans="1:1" ht="12.75" customHeight="1" x14ac:dyDescent="0.2">
      <c r="A984" s="13"/>
    </row>
    <row r="985" spans="1:1" ht="12.75" customHeight="1" x14ac:dyDescent="0.2">
      <c r="A985" s="13"/>
    </row>
    <row r="986" spans="1:1" ht="12.75" customHeight="1" x14ac:dyDescent="0.2">
      <c r="A986" s="13"/>
    </row>
    <row r="987" spans="1:1" ht="12.75" customHeight="1" x14ac:dyDescent="0.2">
      <c r="A987" s="13"/>
    </row>
    <row r="988" spans="1:1" ht="12.75" customHeight="1" x14ac:dyDescent="0.2">
      <c r="A988" s="13"/>
    </row>
    <row r="989" spans="1:1" ht="12.75" customHeight="1" x14ac:dyDescent="0.2">
      <c r="A989" s="13"/>
    </row>
    <row r="990" spans="1:1" ht="12.75" customHeight="1" x14ac:dyDescent="0.2">
      <c r="A990" s="13"/>
    </row>
    <row r="991" spans="1:1" ht="12.75" customHeight="1" x14ac:dyDescent="0.2">
      <c r="A991" s="13"/>
    </row>
    <row r="992" spans="1:1" ht="12.75" customHeight="1" x14ac:dyDescent="0.2">
      <c r="A992" s="13"/>
    </row>
    <row r="993" spans="1:1" ht="12.75" customHeight="1" x14ac:dyDescent="0.2">
      <c r="A993" s="13"/>
    </row>
    <row r="994" spans="1:1" ht="12.75" customHeight="1" x14ac:dyDescent="0.2">
      <c r="A994" s="13"/>
    </row>
    <row r="995" spans="1:1" ht="12.75" customHeight="1" x14ac:dyDescent="0.2">
      <c r="A995" s="13"/>
    </row>
    <row r="996" spans="1:1" ht="12.75" customHeight="1" x14ac:dyDescent="0.2">
      <c r="A996" s="13"/>
    </row>
    <row r="997" spans="1:1" ht="12.75" customHeight="1" x14ac:dyDescent="0.2">
      <c r="A997" s="13"/>
    </row>
    <row r="998" spans="1:1" ht="12.75" customHeight="1" x14ac:dyDescent="0.2">
      <c r="A998" s="13"/>
    </row>
    <row r="999" spans="1:1" ht="12.75" customHeight="1" x14ac:dyDescent="0.2">
      <c r="A999" s="13"/>
    </row>
    <row r="1000" spans="1:1" ht="12.75" customHeight="1" x14ac:dyDescent="0.2">
      <c r="A1000" s="13"/>
    </row>
  </sheetData>
  <mergeCells count="4">
    <mergeCell ref="A3:F3"/>
    <mergeCell ref="A4:F4"/>
    <mergeCell ref="A5:F5"/>
    <mergeCell ref="A9:G9"/>
  </mergeCells>
  <pageMargins left="0.7" right="0.7" top="0.75" bottom="0.75" header="0" footer="0"/>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B53" sqref="B53"/>
    </sheetView>
  </sheetViews>
  <sheetFormatPr baseColWidth="10" defaultColWidth="14.42578125" defaultRowHeight="15" customHeight="1" x14ac:dyDescent="0.2"/>
  <cols>
    <col min="1" max="1" width="4.7109375" customWidth="1"/>
    <col min="2" max="2" width="16.140625" customWidth="1"/>
    <col min="3" max="4" width="23.140625" customWidth="1"/>
    <col min="5" max="5" width="15.42578125" customWidth="1"/>
    <col min="6" max="6" width="16.85546875" customWidth="1"/>
    <col min="7" max="7" width="18.28515625" customWidth="1"/>
    <col min="8" max="8" width="12.7109375" customWidth="1"/>
    <col min="9" max="26" width="10" customWidth="1"/>
  </cols>
  <sheetData>
    <row r="1" spans="1:26" ht="12.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2"/>
      <c r="B2" s="680" t="s">
        <v>295</v>
      </c>
      <c r="C2" s="642"/>
      <c r="D2" s="642"/>
      <c r="E2" s="642"/>
      <c r="F2" s="642"/>
      <c r="G2" s="642"/>
      <c r="H2" s="2"/>
      <c r="I2" s="2"/>
      <c r="J2" s="2"/>
      <c r="K2" s="2"/>
      <c r="L2" s="2"/>
      <c r="M2" s="2"/>
      <c r="N2" s="2"/>
      <c r="O2" s="2"/>
      <c r="P2" s="2"/>
      <c r="Q2" s="2"/>
      <c r="R2" s="2"/>
      <c r="S2" s="2"/>
      <c r="T2" s="2"/>
      <c r="U2" s="2"/>
      <c r="V2" s="2"/>
      <c r="W2" s="2"/>
      <c r="X2" s="2"/>
      <c r="Y2" s="2"/>
      <c r="Z2" s="2"/>
    </row>
    <row r="3" spans="1:26" ht="15.75" customHeight="1" x14ac:dyDescent="0.25">
      <c r="A3" s="2"/>
      <c r="B3" s="680" t="s">
        <v>128</v>
      </c>
      <c r="C3" s="642"/>
      <c r="D3" s="642"/>
      <c r="E3" s="642"/>
      <c r="F3" s="642"/>
      <c r="G3" s="642"/>
      <c r="H3" s="2"/>
      <c r="I3" s="2"/>
      <c r="J3" s="2"/>
      <c r="K3" s="2"/>
      <c r="L3" s="2"/>
      <c r="M3" s="2"/>
      <c r="N3" s="2"/>
      <c r="O3" s="2"/>
      <c r="P3" s="2"/>
      <c r="Q3" s="2"/>
      <c r="R3" s="2"/>
      <c r="S3" s="2"/>
      <c r="T3" s="2"/>
      <c r="U3" s="2"/>
      <c r="V3" s="2"/>
      <c r="W3" s="2"/>
      <c r="X3" s="2"/>
      <c r="Y3" s="2"/>
      <c r="Z3" s="2"/>
    </row>
    <row r="4" spans="1:26" ht="15.75" customHeight="1" x14ac:dyDescent="0.25">
      <c r="A4" s="2"/>
      <c r="B4" s="680" t="s">
        <v>129</v>
      </c>
      <c r="C4" s="642"/>
      <c r="D4" s="642"/>
      <c r="E4" s="642"/>
      <c r="F4" s="642"/>
      <c r="G4" s="642"/>
      <c r="H4" s="2"/>
      <c r="I4" s="2"/>
      <c r="J4" s="2"/>
      <c r="K4" s="2"/>
      <c r="L4" s="2"/>
      <c r="M4" s="2"/>
      <c r="N4" s="2"/>
      <c r="O4" s="2"/>
      <c r="P4" s="2"/>
      <c r="Q4" s="2"/>
      <c r="R4" s="2"/>
      <c r="S4" s="2"/>
      <c r="T4" s="2"/>
      <c r="U4" s="2"/>
      <c r="V4" s="2"/>
      <c r="W4" s="2"/>
      <c r="X4" s="2"/>
      <c r="Y4" s="2"/>
      <c r="Z4" s="2"/>
    </row>
    <row r="5" spans="1:26" ht="12.75" customHeight="1" x14ac:dyDescent="0.2">
      <c r="A5" s="26"/>
      <c r="B5" s="26"/>
      <c r="C5" s="26"/>
      <c r="D5" s="26"/>
      <c r="E5" s="26"/>
      <c r="F5" s="26"/>
      <c r="G5" s="26"/>
      <c r="H5" s="2"/>
      <c r="I5" s="2"/>
      <c r="J5" s="2"/>
      <c r="K5" s="2"/>
      <c r="L5" s="2"/>
      <c r="M5" s="2"/>
      <c r="N5" s="2"/>
      <c r="O5" s="2"/>
      <c r="P5" s="2"/>
      <c r="Q5" s="2"/>
      <c r="R5" s="2"/>
      <c r="S5" s="2"/>
      <c r="T5" s="2"/>
      <c r="U5" s="2"/>
      <c r="V5" s="2"/>
      <c r="W5" s="2"/>
      <c r="X5" s="2"/>
      <c r="Y5" s="2"/>
      <c r="Z5" s="2"/>
    </row>
    <row r="6" spans="1:26" ht="13.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19.5" customHeight="1" thickBot="1" x14ac:dyDescent="0.25">
      <c r="A7" s="2"/>
      <c r="B7" s="120" t="s">
        <v>130</v>
      </c>
      <c r="C7" s="121"/>
      <c r="D7" s="121"/>
      <c r="E7" s="121"/>
      <c r="F7" s="121"/>
      <c r="G7" s="122">
        <v>30351472370.369999</v>
      </c>
      <c r="H7" s="2"/>
      <c r="I7" s="2"/>
      <c r="J7" s="2"/>
      <c r="K7" s="2"/>
      <c r="L7" s="2"/>
      <c r="M7" s="2"/>
      <c r="N7" s="2"/>
      <c r="O7" s="2"/>
      <c r="P7" s="2"/>
      <c r="Q7" s="2"/>
      <c r="R7" s="2"/>
      <c r="S7" s="2"/>
      <c r="T7" s="2"/>
      <c r="U7" s="2"/>
      <c r="V7" s="2"/>
      <c r="W7" s="2"/>
      <c r="X7" s="2"/>
      <c r="Y7" s="2"/>
      <c r="Z7" s="2"/>
    </row>
    <row r="8" spans="1:26" ht="16.5" customHeight="1" x14ac:dyDescent="0.2">
      <c r="A8" s="2"/>
      <c r="B8" s="88" t="s">
        <v>131</v>
      </c>
      <c r="C8" s="1"/>
      <c r="D8" s="1"/>
      <c r="E8" s="1"/>
      <c r="F8" s="1"/>
      <c r="G8" s="189">
        <f>+'[5]OTROS CALC.'!$C$50</f>
        <v>26976243604.169998</v>
      </c>
      <c r="H8" s="2"/>
      <c r="I8" s="2"/>
      <c r="J8" s="2"/>
      <c r="K8" s="2"/>
      <c r="L8" s="2"/>
      <c r="M8" s="2"/>
      <c r="N8" s="2"/>
      <c r="O8" s="2"/>
      <c r="P8" s="2"/>
      <c r="Q8" s="2"/>
      <c r="R8" s="2"/>
      <c r="S8" s="2"/>
      <c r="T8" s="2"/>
      <c r="U8" s="2"/>
      <c r="V8" s="2"/>
      <c r="W8" s="2"/>
      <c r="X8" s="2"/>
      <c r="Y8" s="2"/>
      <c r="Z8" s="2"/>
    </row>
    <row r="9" spans="1:26" ht="15.75" customHeight="1" thickBot="1" x14ac:dyDescent="0.25">
      <c r="A9" s="2"/>
      <c r="B9" s="123" t="s">
        <v>132</v>
      </c>
      <c r="C9" s="91"/>
      <c r="D9" s="91"/>
      <c r="E9" s="91"/>
      <c r="F9" s="91"/>
      <c r="G9" s="124">
        <f>(G8-G7)/G7</f>
        <v>-0.1112047786352203</v>
      </c>
      <c r="H9" s="2"/>
      <c r="I9" s="2"/>
      <c r="J9" s="2"/>
      <c r="K9" s="2"/>
      <c r="L9" s="2"/>
      <c r="M9" s="2"/>
      <c r="N9" s="2"/>
      <c r="O9" s="2"/>
      <c r="P9" s="2"/>
      <c r="Q9" s="2"/>
      <c r="R9" s="2"/>
      <c r="S9" s="2"/>
      <c r="T9" s="2"/>
      <c r="U9" s="2"/>
      <c r="V9" s="2"/>
      <c r="W9" s="2"/>
      <c r="X9" s="2"/>
      <c r="Y9" s="2"/>
      <c r="Z9" s="2"/>
    </row>
    <row r="10" spans="1:26" ht="15.75" customHeight="1" x14ac:dyDescent="0.2">
      <c r="A10" s="2"/>
      <c r="B10" s="125" t="s">
        <v>133</v>
      </c>
      <c r="C10" s="126"/>
      <c r="D10" s="126"/>
      <c r="E10" s="127">
        <v>0</v>
      </c>
      <c r="F10" s="128"/>
      <c r="G10" s="129"/>
      <c r="H10" s="2"/>
      <c r="I10" s="2"/>
      <c r="J10" s="2"/>
      <c r="K10" s="2"/>
      <c r="L10" s="2"/>
      <c r="M10" s="2"/>
      <c r="N10" s="2"/>
      <c r="O10" s="2"/>
      <c r="P10" s="2"/>
      <c r="Q10" s="2"/>
      <c r="R10" s="2"/>
      <c r="S10" s="2"/>
      <c r="T10" s="2"/>
      <c r="U10" s="2"/>
      <c r="V10" s="2"/>
      <c r="W10" s="2"/>
      <c r="X10" s="2"/>
      <c r="Y10" s="2"/>
      <c r="Z10" s="2"/>
    </row>
    <row r="11" spans="1:26" ht="12.75" customHeight="1" x14ac:dyDescent="0.2">
      <c r="A11" s="2"/>
      <c r="B11" s="130" t="s">
        <v>134</v>
      </c>
      <c r="C11" s="131" t="s">
        <v>135</v>
      </c>
      <c r="D11" s="132" t="s">
        <v>136</v>
      </c>
      <c r="E11" s="133" t="s">
        <v>137</v>
      </c>
      <c r="F11" s="132" t="s">
        <v>138</v>
      </c>
      <c r="G11" s="134" t="s">
        <v>139</v>
      </c>
      <c r="H11" s="2"/>
      <c r="I11" s="2"/>
      <c r="J11" s="2"/>
      <c r="K11" s="2"/>
      <c r="L11" s="2"/>
      <c r="M11" s="2"/>
      <c r="N11" s="2"/>
      <c r="O11" s="2"/>
      <c r="P11" s="2"/>
      <c r="Q11" s="2"/>
      <c r="R11" s="2"/>
      <c r="S11" s="2"/>
      <c r="T11" s="2"/>
      <c r="U11" s="2"/>
      <c r="V11" s="2"/>
      <c r="W11" s="2"/>
      <c r="X11" s="2"/>
      <c r="Y11" s="2"/>
      <c r="Z11" s="2"/>
    </row>
    <row r="12" spans="1:26" ht="12.75" customHeight="1" x14ac:dyDescent="0.2">
      <c r="A12" s="2"/>
      <c r="B12" s="135" t="s">
        <v>140</v>
      </c>
      <c r="C12" s="136" t="s">
        <v>141</v>
      </c>
      <c r="D12" s="136" t="s">
        <v>142</v>
      </c>
      <c r="E12" s="137" t="s">
        <v>143</v>
      </c>
      <c r="F12" s="136"/>
      <c r="G12" s="138"/>
      <c r="H12" s="2"/>
      <c r="I12" s="2"/>
      <c r="J12" s="2"/>
      <c r="K12" s="2"/>
      <c r="L12" s="2"/>
      <c r="M12" s="2"/>
      <c r="N12" s="2"/>
      <c r="O12" s="2"/>
      <c r="P12" s="2"/>
      <c r="Q12" s="2"/>
      <c r="R12" s="2"/>
      <c r="S12" s="2"/>
      <c r="T12" s="2"/>
      <c r="U12" s="2"/>
      <c r="V12" s="2"/>
      <c r="W12" s="2"/>
      <c r="X12" s="2"/>
      <c r="Y12" s="2"/>
      <c r="Z12" s="2"/>
    </row>
    <row r="13" spans="1:26" ht="12.75" customHeight="1" x14ac:dyDescent="0.2">
      <c r="A13" s="2"/>
      <c r="B13" s="188">
        <v>11</v>
      </c>
      <c r="C13" s="190">
        <v>268276.87352000002</v>
      </c>
      <c r="D13" s="139">
        <f t="shared" ref="D13:D16" si="0">IF($E$10&gt;0,+C13*(1+$E$10),C13)</f>
        <v>268276.87352000002</v>
      </c>
      <c r="E13" s="22">
        <v>76</v>
      </c>
      <c r="F13" s="139">
        <f t="shared" ref="F13:F16" si="1">+B13*D13*6.33333333333333</f>
        <v>18689955.521893326</v>
      </c>
      <c r="G13" s="140">
        <f t="shared" ref="G13:G16" si="2">+B13*D13*E13</f>
        <v>224279466.26272002</v>
      </c>
      <c r="H13" s="2"/>
      <c r="I13" s="2"/>
      <c r="J13" s="2"/>
      <c r="K13" s="2"/>
      <c r="L13" s="2"/>
      <c r="M13" s="2"/>
      <c r="N13" s="2"/>
      <c r="O13" s="2"/>
      <c r="P13" s="2"/>
      <c r="Q13" s="2"/>
      <c r="R13" s="2"/>
      <c r="S13" s="2"/>
      <c r="T13" s="2"/>
      <c r="U13" s="2"/>
      <c r="V13" s="2"/>
      <c r="W13" s="2"/>
      <c r="X13" s="2"/>
      <c r="Y13" s="2"/>
      <c r="Z13" s="2"/>
    </row>
    <row r="14" spans="1:26" ht="12.75" customHeight="1" x14ac:dyDescent="0.2">
      <c r="A14" s="2"/>
      <c r="B14" s="188">
        <v>11</v>
      </c>
      <c r="C14" s="190">
        <v>134138.4553</v>
      </c>
      <c r="D14" s="139">
        <f t="shared" si="0"/>
        <v>134138.4553</v>
      </c>
      <c r="E14" s="22">
        <v>76</v>
      </c>
      <c r="F14" s="139">
        <f t="shared" si="1"/>
        <v>9344979.0525666624</v>
      </c>
      <c r="G14" s="140">
        <f t="shared" si="2"/>
        <v>112139748.63080001</v>
      </c>
      <c r="H14" s="141"/>
      <c r="I14" s="2"/>
      <c r="J14" s="2"/>
      <c r="K14" s="2"/>
      <c r="L14" s="2"/>
      <c r="M14" s="2"/>
      <c r="N14" s="2"/>
      <c r="O14" s="2"/>
      <c r="P14" s="2"/>
      <c r="Q14" s="2"/>
      <c r="R14" s="2"/>
      <c r="S14" s="2"/>
      <c r="T14" s="2"/>
      <c r="U14" s="2"/>
      <c r="V14" s="2"/>
      <c r="W14" s="2"/>
      <c r="X14" s="2"/>
      <c r="Y14" s="2"/>
      <c r="Z14" s="2"/>
    </row>
    <row r="15" spans="1:26" ht="12.75" customHeight="1" x14ac:dyDescent="0.2">
      <c r="A15" s="2"/>
      <c r="B15" s="188">
        <v>14</v>
      </c>
      <c r="C15" s="190">
        <v>134138.4553</v>
      </c>
      <c r="D15" s="139">
        <f t="shared" si="0"/>
        <v>134138.4553</v>
      </c>
      <c r="E15" s="22">
        <v>76</v>
      </c>
      <c r="F15" s="139">
        <f t="shared" si="1"/>
        <v>11893609.703266662</v>
      </c>
      <c r="G15" s="140">
        <f t="shared" si="2"/>
        <v>142723316.43919998</v>
      </c>
      <c r="H15" s="2"/>
      <c r="I15" s="2"/>
      <c r="J15" s="2"/>
      <c r="K15" s="2"/>
      <c r="L15" s="2"/>
      <c r="M15" s="2"/>
      <c r="N15" s="2"/>
      <c r="O15" s="2"/>
      <c r="P15" s="2"/>
      <c r="Q15" s="2"/>
      <c r="R15" s="2"/>
      <c r="S15" s="2"/>
      <c r="T15" s="2"/>
      <c r="U15" s="2"/>
      <c r="V15" s="2"/>
      <c r="W15" s="2"/>
      <c r="X15" s="2"/>
      <c r="Y15" s="2"/>
      <c r="Z15" s="2"/>
    </row>
    <row r="16" spans="1:26" ht="12.75" customHeight="1" x14ac:dyDescent="0.2">
      <c r="A16" s="2"/>
      <c r="B16" s="188">
        <v>14</v>
      </c>
      <c r="C16" s="190">
        <v>67069.191991400003</v>
      </c>
      <c r="D16" s="139">
        <f t="shared" si="0"/>
        <v>67069.191991400003</v>
      </c>
      <c r="E16" s="22">
        <v>76</v>
      </c>
      <c r="F16" s="139">
        <f t="shared" si="1"/>
        <v>5946801.689904131</v>
      </c>
      <c r="G16" s="140">
        <f t="shared" si="2"/>
        <v>71361620.278849602</v>
      </c>
      <c r="H16" s="2"/>
      <c r="I16" s="2"/>
      <c r="J16" s="2"/>
      <c r="K16" s="2"/>
      <c r="L16" s="2"/>
      <c r="M16" s="2"/>
      <c r="N16" s="2"/>
      <c r="O16" s="2"/>
      <c r="P16" s="2"/>
      <c r="Q16" s="2"/>
      <c r="R16" s="2"/>
      <c r="S16" s="2"/>
      <c r="T16" s="2"/>
      <c r="U16" s="2"/>
      <c r="V16" s="2"/>
      <c r="W16" s="2"/>
      <c r="X16" s="2"/>
      <c r="Y16" s="2"/>
      <c r="Z16" s="2"/>
    </row>
    <row r="17" spans="1:26" ht="12.75" customHeight="1" x14ac:dyDescent="0.2">
      <c r="A17" s="2"/>
      <c r="B17" s="172"/>
      <c r="C17" s="142"/>
      <c r="D17" s="143"/>
      <c r="E17" s="1"/>
      <c r="F17" s="143"/>
      <c r="G17" s="87"/>
      <c r="H17" s="2"/>
      <c r="I17" s="2"/>
      <c r="J17" s="2"/>
      <c r="K17" s="2"/>
      <c r="L17" s="2"/>
      <c r="M17" s="2"/>
      <c r="N17" s="2"/>
      <c r="O17" s="2"/>
      <c r="P17" s="2"/>
      <c r="Q17" s="2"/>
      <c r="R17" s="2"/>
      <c r="S17" s="2"/>
      <c r="T17" s="2"/>
      <c r="U17" s="2"/>
      <c r="V17" s="2"/>
      <c r="W17" s="2"/>
      <c r="X17" s="2"/>
      <c r="Y17" s="2"/>
      <c r="Z17" s="2"/>
    </row>
    <row r="18" spans="1:26" ht="17.25" customHeight="1" x14ac:dyDescent="0.2">
      <c r="A18" s="2"/>
      <c r="B18" s="144" t="s">
        <v>144</v>
      </c>
      <c r="C18" s="7"/>
      <c r="D18" s="9"/>
      <c r="E18" s="9"/>
      <c r="F18" s="9"/>
      <c r="G18" s="116">
        <v>0</v>
      </c>
      <c r="H18" s="2"/>
      <c r="I18" s="2"/>
      <c r="J18" s="2"/>
      <c r="K18" s="2"/>
      <c r="L18" s="2"/>
      <c r="M18" s="2"/>
      <c r="N18" s="2"/>
      <c r="O18" s="2"/>
      <c r="P18" s="2"/>
      <c r="Q18" s="2"/>
      <c r="R18" s="2"/>
      <c r="S18" s="2"/>
      <c r="T18" s="2"/>
      <c r="U18" s="2"/>
      <c r="V18" s="2"/>
      <c r="W18" s="2"/>
      <c r="X18" s="2"/>
      <c r="Y18" s="2"/>
      <c r="Z18" s="2"/>
    </row>
    <row r="19" spans="1:26" ht="19.5" customHeight="1" x14ac:dyDescent="0.2">
      <c r="A19" s="2"/>
      <c r="B19" s="145" t="s">
        <v>115</v>
      </c>
      <c r="C19" s="146"/>
      <c r="D19" s="146"/>
      <c r="E19" s="146"/>
      <c r="F19" s="147">
        <f>SUM(F13:F17)</f>
        <v>45875345.967630781</v>
      </c>
      <c r="G19" s="148">
        <f>SUM(G13:G17)+G18</f>
        <v>550504151.61156964</v>
      </c>
      <c r="H19" s="2"/>
      <c r="I19" s="2"/>
      <c r="J19" s="2"/>
      <c r="K19" s="2"/>
      <c r="L19" s="2"/>
      <c r="M19" s="2"/>
      <c r="N19" s="2"/>
      <c r="O19" s="2"/>
      <c r="P19" s="2"/>
      <c r="Q19" s="2"/>
      <c r="R19" s="2"/>
      <c r="S19" s="2"/>
      <c r="T19" s="2"/>
      <c r="U19" s="2"/>
      <c r="V19" s="2"/>
      <c r="W19" s="2"/>
      <c r="X19" s="2"/>
      <c r="Y19" s="2"/>
      <c r="Z19" s="2"/>
    </row>
    <row r="20" spans="1:26" ht="12.75" customHeight="1" x14ac:dyDescent="0.2">
      <c r="A20" s="2"/>
      <c r="B20" s="1"/>
      <c r="C20" s="1"/>
      <c r="D20" s="1"/>
      <c r="E20" s="1"/>
      <c r="F20" s="1"/>
      <c r="G20" s="1"/>
      <c r="H20" s="2"/>
      <c r="I20" s="2"/>
      <c r="J20" s="2"/>
      <c r="K20" s="2"/>
      <c r="L20" s="2"/>
      <c r="M20" s="2"/>
      <c r="N20" s="2"/>
      <c r="O20" s="2"/>
      <c r="P20" s="2"/>
      <c r="Q20" s="2"/>
      <c r="R20" s="2"/>
      <c r="S20" s="2"/>
      <c r="T20" s="2"/>
      <c r="U20" s="2"/>
      <c r="V20" s="2"/>
      <c r="W20" s="2"/>
      <c r="X20" s="2"/>
      <c r="Y20" s="2"/>
      <c r="Z20" s="2"/>
    </row>
    <row r="21" spans="1:26" ht="12.75" customHeight="1" x14ac:dyDescent="0.2">
      <c r="A21" s="2"/>
      <c r="B21" s="2" t="s">
        <v>145</v>
      </c>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6"/>
      <c r="B23" s="99" t="s">
        <v>338</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8" customHeight="1" x14ac:dyDescent="0.2">
      <c r="A24" s="26"/>
      <c r="B24" s="99" t="s">
        <v>352</v>
      </c>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2.75" customHeight="1" x14ac:dyDescent="0.2">
      <c r="A25" s="99"/>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x14ac:dyDescent="0.25">
      <c r="A27" s="2"/>
      <c r="B27" s="40" t="s">
        <v>21</v>
      </c>
      <c r="C27" s="41"/>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hidden="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2:G2"/>
    <mergeCell ref="B3:G3"/>
    <mergeCell ref="B4:G4"/>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view="pageBreakPreview" topLeftCell="A7" zoomScale="115" zoomScaleNormal="100" zoomScaleSheetLayoutView="115" workbookViewId="0">
      <selection activeCell="B53" sqref="B53"/>
    </sheetView>
  </sheetViews>
  <sheetFormatPr baseColWidth="10" defaultColWidth="14.42578125" defaultRowHeight="15" customHeight="1" x14ac:dyDescent="0.2"/>
  <cols>
    <col min="1" max="1" width="17.140625" customWidth="1"/>
    <col min="2" max="2" width="15.28515625" customWidth="1"/>
    <col min="3" max="3" width="3.140625" customWidth="1"/>
    <col min="4" max="4" width="23.140625" customWidth="1"/>
    <col min="5" max="5" width="3.140625" bestFit="1" customWidth="1"/>
    <col min="6" max="6" width="15.7109375" customWidth="1"/>
    <col min="7" max="7" width="2.85546875" customWidth="1"/>
    <col min="8" max="8" width="15.5703125" customWidth="1"/>
    <col min="9" max="9" width="2.7109375" customWidth="1"/>
    <col min="10" max="10" width="13.42578125" customWidth="1"/>
    <col min="11" max="11" width="3.28515625" customWidth="1"/>
    <col min="12" max="12" width="13.5703125" customWidth="1"/>
    <col min="13" max="26" width="10" customWidth="1"/>
  </cols>
  <sheetData>
    <row r="1" spans="1:26" ht="15" customHeight="1" x14ac:dyDescent="0.2">
      <c r="A1" s="12"/>
      <c r="B1" s="12"/>
      <c r="C1" s="12"/>
      <c r="D1" s="12"/>
      <c r="E1" s="12"/>
      <c r="F1" s="12"/>
      <c r="G1" s="12"/>
      <c r="H1" s="12"/>
      <c r="I1" s="12"/>
      <c r="J1" s="12"/>
      <c r="K1" s="12"/>
      <c r="L1" s="12"/>
      <c r="M1" s="2"/>
      <c r="N1" s="2"/>
      <c r="O1" s="2"/>
      <c r="P1" s="2"/>
      <c r="Q1" s="2"/>
      <c r="R1" s="2"/>
      <c r="S1" s="2"/>
      <c r="T1" s="2"/>
      <c r="U1" s="2"/>
      <c r="V1" s="2"/>
      <c r="W1" s="2"/>
      <c r="X1" s="2"/>
      <c r="Y1" s="2"/>
      <c r="Z1" s="2"/>
    </row>
    <row r="2" spans="1:26" ht="15.75" customHeight="1" x14ac:dyDescent="0.25">
      <c r="A2" s="680" t="s">
        <v>295</v>
      </c>
      <c r="B2" s="642"/>
      <c r="C2" s="642"/>
      <c r="D2" s="642"/>
      <c r="E2" s="642"/>
      <c r="F2" s="642"/>
      <c r="G2" s="642"/>
      <c r="H2" s="642"/>
      <c r="I2" s="642"/>
      <c r="J2" s="642"/>
      <c r="K2" s="642"/>
      <c r="L2" s="642"/>
      <c r="M2" s="2"/>
      <c r="N2" s="2"/>
      <c r="O2" s="2"/>
      <c r="P2" s="2"/>
      <c r="Q2" s="2"/>
      <c r="R2" s="2"/>
      <c r="S2" s="2"/>
      <c r="T2" s="2"/>
      <c r="U2" s="2"/>
      <c r="V2" s="2"/>
      <c r="W2" s="2"/>
      <c r="X2" s="2"/>
      <c r="Y2" s="2"/>
      <c r="Z2" s="2"/>
    </row>
    <row r="3" spans="1:26" ht="15.75" customHeight="1" x14ac:dyDescent="0.25">
      <c r="A3" s="680" t="s">
        <v>146</v>
      </c>
      <c r="B3" s="642"/>
      <c r="C3" s="642"/>
      <c r="D3" s="642"/>
      <c r="E3" s="642"/>
      <c r="F3" s="642"/>
      <c r="G3" s="642"/>
      <c r="H3" s="642"/>
      <c r="I3" s="642"/>
      <c r="J3" s="642"/>
      <c r="K3" s="642"/>
      <c r="L3" s="642"/>
      <c r="M3" s="2"/>
      <c r="N3" s="2"/>
      <c r="O3" s="2"/>
      <c r="P3" s="2"/>
      <c r="Q3" s="2"/>
      <c r="R3" s="2"/>
      <c r="S3" s="2"/>
      <c r="T3" s="2"/>
      <c r="U3" s="2"/>
      <c r="V3" s="2"/>
      <c r="W3" s="2"/>
      <c r="X3" s="2"/>
      <c r="Y3" s="2"/>
      <c r="Z3" s="2"/>
    </row>
    <row r="4" spans="1:26" ht="15.75" customHeight="1" x14ac:dyDescent="0.25">
      <c r="A4" s="680" t="s">
        <v>147</v>
      </c>
      <c r="B4" s="642"/>
      <c r="C4" s="642"/>
      <c r="D4" s="642"/>
      <c r="E4" s="642"/>
      <c r="F4" s="642"/>
      <c r="G4" s="642"/>
      <c r="H4" s="642"/>
      <c r="I4" s="642"/>
      <c r="J4" s="642"/>
      <c r="K4" s="642"/>
      <c r="L4" s="642"/>
      <c r="M4" s="2"/>
      <c r="N4" s="2"/>
      <c r="O4" s="2"/>
      <c r="P4" s="2"/>
      <c r="Q4" s="2"/>
      <c r="R4" s="2"/>
      <c r="S4" s="2"/>
      <c r="T4" s="2"/>
      <c r="U4" s="2"/>
      <c r="V4" s="2"/>
      <c r="W4" s="2"/>
      <c r="X4" s="2"/>
      <c r="Y4" s="2"/>
      <c r="Z4" s="2"/>
    </row>
    <row r="5" spans="1:26" ht="12.75" customHeight="1" x14ac:dyDescent="0.2">
      <c r="A5" s="2"/>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1"/>
      <c r="B6" s="1"/>
      <c r="C6" s="1"/>
      <c r="D6" s="1"/>
      <c r="E6" s="1"/>
      <c r="F6" s="1"/>
      <c r="G6" s="1"/>
      <c r="H6" s="1"/>
      <c r="I6" s="1"/>
      <c r="J6" s="1"/>
      <c r="K6" s="1"/>
      <c r="L6" s="1"/>
      <c r="M6" s="2"/>
      <c r="N6" s="2"/>
      <c r="O6" s="2"/>
      <c r="P6" s="2"/>
      <c r="Q6" s="2"/>
      <c r="R6" s="2"/>
      <c r="S6" s="2"/>
      <c r="T6" s="2"/>
      <c r="U6" s="2"/>
      <c r="V6" s="2"/>
      <c r="W6" s="2"/>
      <c r="X6" s="2"/>
      <c r="Y6" s="2"/>
      <c r="Z6" s="2"/>
    </row>
    <row r="7" spans="1:26" ht="18.75" customHeight="1" x14ac:dyDescent="0.25">
      <c r="A7" s="695" t="s">
        <v>148</v>
      </c>
      <c r="B7" s="674"/>
      <c r="C7" s="674"/>
      <c r="D7" s="674"/>
      <c r="E7" s="674"/>
      <c r="F7" s="674"/>
      <c r="G7" s="674"/>
      <c r="H7" s="674"/>
      <c r="I7" s="674"/>
      <c r="J7" s="674"/>
      <c r="K7" s="674"/>
      <c r="L7" s="696"/>
      <c r="M7" s="2"/>
      <c r="N7" s="2"/>
      <c r="O7" s="2"/>
      <c r="P7" s="2"/>
      <c r="Q7" s="2"/>
      <c r="R7" s="2"/>
      <c r="S7" s="2"/>
      <c r="T7" s="2"/>
      <c r="U7" s="2"/>
      <c r="V7" s="2"/>
      <c r="W7" s="2"/>
      <c r="X7" s="2"/>
      <c r="Y7" s="2"/>
      <c r="Z7" s="2"/>
    </row>
    <row r="8" spans="1:26" ht="21" customHeight="1" x14ac:dyDescent="0.2">
      <c r="A8" s="697" t="s">
        <v>149</v>
      </c>
      <c r="B8" s="699" t="s">
        <v>150</v>
      </c>
      <c r="C8" s="700"/>
      <c r="D8" s="700"/>
      <c r="E8" s="701"/>
      <c r="F8" s="694" t="s">
        <v>151</v>
      </c>
      <c r="G8" s="688"/>
      <c r="H8" s="694" t="s">
        <v>152</v>
      </c>
      <c r="I8" s="688"/>
      <c r="J8" s="694" t="s">
        <v>153</v>
      </c>
      <c r="K8" s="688"/>
      <c r="L8" s="149" t="s">
        <v>115</v>
      </c>
      <c r="M8" s="2"/>
      <c r="N8" s="2"/>
      <c r="O8" s="2"/>
      <c r="P8" s="2"/>
      <c r="Q8" s="2"/>
      <c r="R8" s="2"/>
      <c r="S8" s="2"/>
      <c r="T8" s="2"/>
      <c r="U8" s="2"/>
      <c r="V8" s="2"/>
      <c r="W8" s="2"/>
      <c r="X8" s="2"/>
      <c r="Y8" s="2"/>
      <c r="Z8" s="2"/>
    </row>
    <row r="9" spans="1:26" ht="28.5" customHeight="1" x14ac:dyDescent="0.2">
      <c r="A9" s="698"/>
      <c r="B9" s="702" t="s">
        <v>154</v>
      </c>
      <c r="C9" s="637"/>
      <c r="D9" s="702" t="s">
        <v>155</v>
      </c>
      <c r="E9" s="637"/>
      <c r="F9" s="633"/>
      <c r="G9" s="635"/>
      <c r="H9" s="633"/>
      <c r="I9" s="635"/>
      <c r="J9" s="633"/>
      <c r="K9" s="635"/>
      <c r="L9" s="150"/>
      <c r="M9" s="2"/>
      <c r="N9" s="2"/>
      <c r="O9" s="2"/>
      <c r="P9" s="2"/>
      <c r="Q9" s="2"/>
      <c r="R9" s="2"/>
      <c r="S9" s="2"/>
      <c r="T9" s="2"/>
      <c r="U9" s="2"/>
      <c r="V9" s="2"/>
      <c r="W9" s="2"/>
      <c r="X9" s="2"/>
      <c r="Y9" s="2"/>
      <c r="Z9" s="2"/>
    </row>
    <row r="10" spans="1:26" ht="18" customHeight="1" x14ac:dyDescent="0.2">
      <c r="A10" s="151"/>
      <c r="B10" s="691">
        <v>5.2499999999999998E-2</v>
      </c>
      <c r="C10" s="637"/>
      <c r="D10" s="692">
        <v>9.2499999999999999E-2</v>
      </c>
      <c r="E10" s="637"/>
      <c r="F10" s="692">
        <v>5.0000000000000001E-3</v>
      </c>
      <c r="G10" s="637"/>
      <c r="H10" s="692">
        <v>1.4999999999999999E-2</v>
      </c>
      <c r="I10" s="637"/>
      <c r="J10" s="693">
        <v>0.03</v>
      </c>
      <c r="K10" s="637"/>
      <c r="L10" s="152"/>
      <c r="M10" s="2"/>
      <c r="N10" s="2"/>
      <c r="O10" s="2"/>
      <c r="P10" s="2"/>
      <c r="Q10" s="2"/>
      <c r="R10" s="2"/>
      <c r="S10" s="2"/>
      <c r="T10" s="2"/>
      <c r="U10" s="2"/>
      <c r="V10" s="2"/>
      <c r="W10" s="2"/>
      <c r="X10" s="2"/>
      <c r="Y10" s="2"/>
      <c r="Z10" s="2"/>
    </row>
    <row r="11" spans="1:26" ht="12.75" customHeight="1" x14ac:dyDescent="0.2">
      <c r="A11" s="174">
        <f>+[3]Remuneraciones!$AE$4+[3]Remuneraciones!$AE$9+[3]Remuneraciones!$AE$14-[3]Remuneraciones!$AE$13-[3]Remuneraciones!$AE$17</f>
        <v>7952032840.7199984</v>
      </c>
      <c r="B11" s="683">
        <f>+A11*B10</f>
        <v>417481724.13779992</v>
      </c>
      <c r="C11" s="640"/>
      <c r="D11" s="683">
        <f>+A11*D10</f>
        <v>735563037.76659989</v>
      </c>
      <c r="E11" s="640"/>
      <c r="F11" s="153">
        <f>+A11*F10</f>
        <v>39760164.203599989</v>
      </c>
      <c r="G11" s="154"/>
      <c r="H11" s="155">
        <f>+A11*H10</f>
        <v>119280492.61079997</v>
      </c>
      <c r="I11" s="154"/>
      <c r="J11" s="153">
        <f>A11*J10</f>
        <v>238560985.22159994</v>
      </c>
      <c r="K11" s="154"/>
      <c r="L11" s="156">
        <f>SUM(D11:J11)</f>
        <v>1133164679.8025999</v>
      </c>
      <c r="M11" s="2"/>
      <c r="N11" s="2"/>
      <c r="O11" s="2"/>
      <c r="P11" s="2"/>
      <c r="Q11" s="2"/>
      <c r="R11" s="2"/>
      <c r="S11" s="2"/>
      <c r="T11" s="2"/>
      <c r="U11" s="2"/>
      <c r="V11" s="2"/>
      <c r="W11" s="2"/>
      <c r="X11" s="2"/>
      <c r="Y11" s="2"/>
      <c r="Z11" s="2"/>
    </row>
    <row r="12" spans="1:26" ht="12.75" customHeight="1" x14ac:dyDescent="0.2">
      <c r="A12" s="157"/>
      <c r="B12" s="128"/>
      <c r="C12" s="158"/>
      <c r="D12" s="159"/>
      <c r="E12" s="158"/>
      <c r="F12" s="128"/>
      <c r="G12" s="158"/>
      <c r="H12" s="128"/>
      <c r="I12" s="158"/>
      <c r="J12" s="128"/>
      <c r="K12" s="158"/>
      <c r="L12" s="129"/>
      <c r="M12" s="2"/>
      <c r="N12" s="2"/>
      <c r="O12" s="2"/>
      <c r="P12" s="2"/>
      <c r="Q12" s="2"/>
      <c r="R12" s="2"/>
      <c r="S12" s="2"/>
      <c r="T12" s="2"/>
      <c r="U12" s="2"/>
      <c r="V12" s="2"/>
      <c r="W12" s="2"/>
      <c r="X12" s="2"/>
      <c r="Y12" s="2"/>
      <c r="Z12" s="2"/>
    </row>
    <row r="13" spans="1:26" ht="13.5" customHeight="1" x14ac:dyDescent="0.2">
      <c r="A13" s="160"/>
      <c r="B13" s="161">
        <f>+A11*B10</f>
        <v>417481724.13779992</v>
      </c>
      <c r="C13" s="162" t="s">
        <v>85</v>
      </c>
      <c r="D13" s="163">
        <f>D11</f>
        <v>735563037.76659989</v>
      </c>
      <c r="E13" s="162" t="s">
        <v>78</v>
      </c>
      <c r="F13" s="161">
        <f>F11</f>
        <v>39760164.203599989</v>
      </c>
      <c r="G13" s="162" t="s">
        <v>156</v>
      </c>
      <c r="H13" s="161">
        <f>H11</f>
        <v>119280492.61079997</v>
      </c>
      <c r="I13" s="162" t="s">
        <v>91</v>
      </c>
      <c r="J13" s="163">
        <f>J11</f>
        <v>238560985.22159994</v>
      </c>
      <c r="K13" s="162" t="s">
        <v>157</v>
      </c>
      <c r="L13" s="164">
        <f>L11</f>
        <v>1133164679.8025999</v>
      </c>
      <c r="M13" s="2"/>
      <c r="N13" s="2"/>
      <c r="O13" s="2"/>
      <c r="P13" s="2"/>
      <c r="Q13" s="2"/>
      <c r="R13" s="2"/>
      <c r="S13" s="2"/>
      <c r="T13" s="2"/>
      <c r="U13" s="2"/>
      <c r="V13" s="2"/>
      <c r="W13" s="2"/>
      <c r="X13" s="2"/>
      <c r="Y13" s="2"/>
      <c r="Z13" s="2"/>
    </row>
    <row r="14" spans="1:26" ht="12.75" customHeight="1" x14ac:dyDescent="0.2">
      <c r="A14" s="1"/>
      <c r="B14" s="1"/>
      <c r="C14" s="1"/>
      <c r="D14" s="1"/>
      <c r="E14" s="1"/>
      <c r="F14" s="1"/>
      <c r="G14" s="1"/>
      <c r="H14" s="1"/>
      <c r="I14" s="1"/>
      <c r="J14" s="1"/>
      <c r="K14" s="1"/>
      <c r="L14" s="1"/>
      <c r="M14" s="2"/>
      <c r="N14" s="2"/>
      <c r="O14" s="2"/>
      <c r="P14" s="2"/>
      <c r="Q14" s="2"/>
      <c r="R14" s="2"/>
      <c r="S14" s="2"/>
      <c r="T14" s="2"/>
      <c r="U14" s="2"/>
      <c r="V14" s="2"/>
      <c r="W14" s="2"/>
      <c r="X14" s="2"/>
      <c r="Y14" s="2"/>
      <c r="Z14" s="2"/>
    </row>
    <row r="15" spans="1:26" ht="12.75" customHeight="1" x14ac:dyDescent="0.2">
      <c r="A15" s="11" t="s">
        <v>158</v>
      </c>
      <c r="B15" s="11"/>
      <c r="C15" s="11"/>
      <c r="D15" s="11"/>
      <c r="E15" s="11"/>
      <c r="F15" s="11"/>
      <c r="G15" s="11"/>
      <c r="H15" s="11"/>
      <c r="I15" s="11"/>
      <c r="J15" s="11"/>
      <c r="K15" s="2"/>
      <c r="L15" s="1"/>
      <c r="M15" s="2"/>
      <c r="N15" s="2"/>
      <c r="O15" s="2"/>
      <c r="P15" s="2"/>
      <c r="Q15" s="2"/>
      <c r="R15" s="2"/>
      <c r="S15" s="2"/>
      <c r="T15" s="2"/>
      <c r="U15" s="2"/>
      <c r="V15" s="2"/>
      <c r="W15" s="2"/>
      <c r="X15" s="2"/>
      <c r="Y15" s="2"/>
      <c r="Z15" s="2"/>
    </row>
    <row r="16" spans="1:26" ht="12.75" customHeight="1" x14ac:dyDescent="0.2">
      <c r="A16" s="11" t="s">
        <v>159</v>
      </c>
      <c r="B16" s="11"/>
      <c r="C16" s="11"/>
      <c r="D16" s="11"/>
      <c r="E16" s="11"/>
      <c r="F16" s="11"/>
      <c r="G16" s="11"/>
      <c r="H16" s="11"/>
      <c r="I16" s="11"/>
      <c r="J16" s="11"/>
      <c r="K16" s="2"/>
      <c r="L16" s="1"/>
      <c r="M16" s="2"/>
      <c r="N16" s="2"/>
      <c r="O16" s="2"/>
      <c r="P16" s="2"/>
      <c r="Q16" s="2"/>
      <c r="R16" s="2"/>
      <c r="S16" s="2"/>
      <c r="T16" s="2"/>
      <c r="U16" s="2"/>
      <c r="V16" s="2"/>
      <c r="W16" s="2"/>
      <c r="X16" s="2"/>
      <c r="Y16" s="2"/>
      <c r="Z16" s="2"/>
    </row>
    <row r="17" spans="1:26" ht="12.75" customHeight="1" x14ac:dyDescent="0.2">
      <c r="A17" s="11" t="s">
        <v>160</v>
      </c>
      <c r="B17" s="11"/>
      <c r="C17" s="11"/>
      <c r="D17" s="11"/>
      <c r="E17" s="11"/>
      <c r="F17" s="11"/>
      <c r="G17" s="11"/>
      <c r="H17" s="11"/>
      <c r="I17" s="11"/>
      <c r="J17" s="11"/>
      <c r="K17" s="2"/>
      <c r="L17" s="1"/>
      <c r="M17" s="2"/>
      <c r="N17" s="2"/>
      <c r="O17" s="2"/>
      <c r="P17" s="2"/>
      <c r="Q17" s="2"/>
      <c r="R17" s="2"/>
      <c r="S17" s="2"/>
      <c r="T17" s="2"/>
      <c r="U17" s="2"/>
      <c r="V17" s="2"/>
      <c r="W17" s="2"/>
      <c r="X17" s="2"/>
      <c r="Y17" s="2"/>
      <c r="Z17" s="2"/>
    </row>
    <row r="18" spans="1:26" ht="12.75" customHeight="1" x14ac:dyDescent="0.2">
      <c r="A18" s="11" t="s">
        <v>161</v>
      </c>
      <c r="B18" s="11"/>
      <c r="C18" s="11"/>
      <c r="D18" s="11"/>
      <c r="E18" s="11"/>
      <c r="F18" s="11"/>
      <c r="G18" s="11"/>
      <c r="H18" s="11"/>
      <c r="I18" s="11"/>
      <c r="J18" s="11"/>
      <c r="K18" s="2"/>
      <c r="L18" s="1"/>
      <c r="M18" s="2"/>
      <c r="N18" s="2"/>
      <c r="O18" s="2"/>
      <c r="P18" s="2"/>
      <c r="Q18" s="2"/>
      <c r="R18" s="2"/>
      <c r="S18" s="2"/>
      <c r="T18" s="2"/>
      <c r="U18" s="2"/>
      <c r="V18" s="2"/>
      <c r="W18" s="2"/>
      <c r="X18" s="2"/>
      <c r="Y18" s="2"/>
      <c r="Z18" s="2"/>
    </row>
    <row r="19" spans="1:26" ht="12.75" customHeight="1" x14ac:dyDescent="0.2">
      <c r="A19" s="11" t="s">
        <v>162</v>
      </c>
      <c r="B19" s="11"/>
      <c r="C19" s="11"/>
      <c r="D19" s="11"/>
      <c r="E19" s="11"/>
      <c r="F19" s="11"/>
      <c r="G19" s="11"/>
      <c r="H19" s="11"/>
      <c r="I19" s="11"/>
      <c r="J19" s="11"/>
      <c r="K19" s="2"/>
      <c r="L19" s="1"/>
      <c r="M19" s="2"/>
      <c r="N19" s="2"/>
      <c r="O19" s="2"/>
      <c r="P19" s="2"/>
      <c r="Q19" s="2"/>
      <c r="R19" s="2"/>
      <c r="S19" s="2"/>
      <c r="T19" s="2"/>
      <c r="U19" s="2"/>
      <c r="V19" s="2"/>
      <c r="W19" s="2"/>
      <c r="X19" s="2"/>
      <c r="Y19" s="2"/>
      <c r="Z19" s="2"/>
    </row>
    <row r="20" spans="1:26" ht="13.5" customHeight="1" x14ac:dyDescent="0.2">
      <c r="A20" s="11"/>
      <c r="B20" s="11"/>
      <c r="C20" s="11"/>
      <c r="D20" s="11"/>
      <c r="E20" s="11"/>
      <c r="F20" s="11"/>
      <c r="G20" s="11"/>
      <c r="H20" s="11"/>
      <c r="I20" s="2"/>
      <c r="J20" s="2"/>
      <c r="K20" s="2"/>
      <c r="L20" s="1"/>
      <c r="M20" s="2"/>
      <c r="N20" s="2"/>
      <c r="O20" s="2"/>
      <c r="P20" s="2"/>
      <c r="Q20" s="2"/>
      <c r="R20" s="2"/>
      <c r="S20" s="2"/>
      <c r="T20" s="2"/>
      <c r="U20" s="2"/>
      <c r="V20" s="2"/>
      <c r="W20" s="2"/>
      <c r="X20" s="2"/>
      <c r="Y20" s="2"/>
      <c r="Z20" s="2"/>
    </row>
    <row r="21" spans="1:26" ht="18.75" customHeight="1" x14ac:dyDescent="0.25">
      <c r="A21" s="2"/>
      <c r="B21" s="2"/>
      <c r="C21" s="1"/>
      <c r="D21" s="684" t="s">
        <v>163</v>
      </c>
      <c r="E21" s="652"/>
      <c r="F21" s="652"/>
      <c r="G21" s="660"/>
      <c r="H21" s="2"/>
      <c r="I21" s="684" t="s">
        <v>164</v>
      </c>
      <c r="J21" s="652"/>
      <c r="K21" s="652"/>
      <c r="L21" s="660"/>
      <c r="M21" s="2"/>
      <c r="N21" s="2"/>
      <c r="O21" s="2"/>
      <c r="P21" s="2"/>
      <c r="Q21" s="2"/>
      <c r="R21" s="2"/>
      <c r="S21" s="2"/>
      <c r="T21" s="2"/>
      <c r="U21" s="2"/>
      <c r="V21" s="2"/>
      <c r="W21" s="2"/>
      <c r="X21" s="2"/>
      <c r="Y21" s="2"/>
      <c r="Z21" s="2"/>
    </row>
    <row r="22" spans="1:26" ht="12.75" customHeight="1" x14ac:dyDescent="0.2">
      <c r="A22" s="2"/>
      <c r="B22" s="2"/>
      <c r="C22" s="2"/>
      <c r="D22" s="685" t="s">
        <v>2</v>
      </c>
      <c r="E22" s="686"/>
      <c r="F22" s="687">
        <v>8.3333000000000004E-2</v>
      </c>
      <c r="G22" s="688"/>
      <c r="H22" s="2"/>
      <c r="I22" s="681"/>
      <c r="J22" s="666"/>
      <c r="K22" s="1"/>
      <c r="L22" s="87"/>
      <c r="M22" s="2"/>
      <c r="N22" s="2"/>
      <c r="O22" s="2"/>
      <c r="P22" s="2"/>
      <c r="Q22" s="2"/>
      <c r="R22" s="2"/>
      <c r="S22" s="2"/>
      <c r="T22" s="2"/>
      <c r="U22" s="2"/>
      <c r="V22" s="2"/>
      <c r="W22" s="2"/>
      <c r="X22" s="2"/>
      <c r="Y22" s="2"/>
      <c r="Z22" s="2"/>
    </row>
    <row r="23" spans="1:26" ht="14.25" customHeight="1" x14ac:dyDescent="0.2">
      <c r="A23" s="2"/>
      <c r="B23" s="2"/>
      <c r="C23" s="2"/>
      <c r="D23" s="689" t="s">
        <v>165</v>
      </c>
      <c r="E23" s="690"/>
      <c r="F23" s="633"/>
      <c r="G23" s="635"/>
      <c r="H23" s="2"/>
      <c r="I23" s="682">
        <f>+A11*3%</f>
        <v>238560985.22159994</v>
      </c>
      <c r="J23" s="669"/>
      <c r="K23" s="669"/>
      <c r="L23" s="165" t="s">
        <v>166</v>
      </c>
      <c r="M23" s="2"/>
      <c r="N23" s="2"/>
      <c r="O23" s="2"/>
      <c r="P23" s="2"/>
      <c r="Q23" s="2"/>
      <c r="R23" s="2"/>
      <c r="S23" s="2"/>
      <c r="T23" s="2"/>
      <c r="U23" s="2"/>
      <c r="V23" s="2"/>
      <c r="W23" s="2"/>
      <c r="X23" s="2"/>
      <c r="Y23" s="2"/>
      <c r="Z23" s="2"/>
    </row>
    <row r="24" spans="1:26" ht="15.75" customHeight="1" x14ac:dyDescent="0.2">
      <c r="A24" s="2"/>
      <c r="B24" s="2"/>
      <c r="C24" s="2"/>
      <c r="D24" s="166">
        <f>+A11</f>
        <v>7952032840.7199984</v>
      </c>
      <c r="E24" s="7"/>
      <c r="F24" s="175">
        <f>+D24*F22</f>
        <v>662666752.7157197</v>
      </c>
      <c r="G24" s="167"/>
      <c r="H24" s="2"/>
      <c r="I24" s="2" t="s">
        <v>167</v>
      </c>
      <c r="J24" s="168"/>
      <c r="K24" s="1"/>
      <c r="L24" s="2"/>
      <c r="M24" s="2"/>
      <c r="N24" s="2"/>
      <c r="O24" s="2"/>
      <c r="P24" s="2"/>
      <c r="Q24" s="2"/>
      <c r="R24" s="2"/>
      <c r="S24" s="2"/>
      <c r="T24" s="2"/>
      <c r="U24" s="2"/>
      <c r="V24" s="2"/>
      <c r="W24" s="2"/>
      <c r="X24" s="2"/>
      <c r="Y24" s="2"/>
      <c r="Z24" s="2"/>
    </row>
    <row r="25" spans="1:26" ht="21" customHeight="1" x14ac:dyDescent="0.2">
      <c r="A25" s="2"/>
      <c r="B25" s="2"/>
      <c r="C25" s="2"/>
      <c r="D25" s="169" t="s">
        <v>115</v>
      </c>
      <c r="E25" s="170"/>
      <c r="F25" s="176">
        <f>+F24</f>
        <v>662666752.7157197</v>
      </c>
      <c r="G25" s="92" t="s">
        <v>91</v>
      </c>
      <c r="H25" s="2"/>
      <c r="I25" s="2"/>
      <c r="J25" s="2"/>
      <c r="K25" s="2"/>
      <c r="L25" s="1"/>
      <c r="M25" s="2"/>
      <c r="N25" s="2"/>
      <c r="O25" s="2"/>
      <c r="P25" s="2"/>
      <c r="Q25" s="2"/>
      <c r="R25" s="2"/>
      <c r="S25" s="2"/>
      <c r="T25" s="2"/>
      <c r="U25" s="2"/>
      <c r="V25" s="2"/>
      <c r="W25" s="2"/>
      <c r="X25" s="2"/>
      <c r="Y25" s="2"/>
      <c r="Z25" s="2"/>
    </row>
    <row r="26" spans="1:26" ht="12.75" customHeight="1" x14ac:dyDescent="0.2">
      <c r="A26" s="2"/>
      <c r="B26" s="2"/>
      <c r="C26" s="2"/>
      <c r="D26" s="2" t="s">
        <v>168</v>
      </c>
      <c r="E26" s="2"/>
      <c r="F26" s="2"/>
      <c r="G26" s="2"/>
      <c r="H26" s="2"/>
      <c r="I26" s="2"/>
      <c r="J26" s="2"/>
      <c r="K26" s="2"/>
      <c r="L26" s="1"/>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3"/>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1"/>
      <c r="L28" s="2"/>
      <c r="M28" s="2"/>
      <c r="N28" s="2"/>
      <c r="O28" s="2"/>
      <c r="P28" s="2"/>
      <c r="Q28" s="2"/>
      <c r="R28" s="2"/>
      <c r="S28" s="2"/>
      <c r="T28" s="2"/>
      <c r="U28" s="2"/>
      <c r="V28" s="2"/>
      <c r="W28" s="2"/>
      <c r="X28" s="2"/>
      <c r="Y28" s="2"/>
      <c r="Z28" s="2"/>
    </row>
    <row r="29" spans="1:26" ht="12.75" customHeight="1" x14ac:dyDescent="0.2">
      <c r="A29" s="99" t="s">
        <v>338</v>
      </c>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8" customHeight="1" x14ac:dyDescent="0.2">
      <c r="A30" s="99" t="s">
        <v>352</v>
      </c>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2.75" customHeight="1" x14ac:dyDescent="0.2">
      <c r="A31" s="99"/>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2.75" customHeight="1" x14ac:dyDescent="0.2">
      <c r="A32" s="2"/>
      <c r="B32" s="2"/>
      <c r="C32" s="2"/>
      <c r="D32" s="171"/>
      <c r="E32" s="171"/>
      <c r="F32" s="1"/>
      <c r="G32" s="2"/>
      <c r="H32" s="2"/>
      <c r="I32" s="2"/>
      <c r="J32" s="2"/>
      <c r="K32" s="2"/>
      <c r="L32" s="2"/>
      <c r="M32" s="2"/>
      <c r="N32" s="2"/>
      <c r="O32" s="2"/>
      <c r="P32" s="2"/>
      <c r="Q32" s="2"/>
      <c r="R32" s="2"/>
      <c r="S32" s="2"/>
      <c r="T32" s="2"/>
      <c r="U32" s="2"/>
      <c r="V32" s="2"/>
      <c r="W32" s="2"/>
      <c r="X32" s="2"/>
      <c r="Y32" s="2"/>
      <c r="Z32" s="2"/>
    </row>
    <row r="33" spans="1:26" ht="18" customHeight="1" x14ac:dyDescent="0.25">
      <c r="A33" s="40" t="s">
        <v>21</v>
      </c>
      <c r="B33" s="41"/>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5">
    <mergeCell ref="H8:I9"/>
    <mergeCell ref="J8:K9"/>
    <mergeCell ref="A2:L2"/>
    <mergeCell ref="A3:L3"/>
    <mergeCell ref="A4:L4"/>
    <mergeCell ref="A7:L7"/>
    <mergeCell ref="A8:A9"/>
    <mergeCell ref="B8:E8"/>
    <mergeCell ref="F8:G9"/>
    <mergeCell ref="B9:C9"/>
    <mergeCell ref="D9:E9"/>
    <mergeCell ref="B10:C10"/>
    <mergeCell ref="D10:E10"/>
    <mergeCell ref="F10:G10"/>
    <mergeCell ref="H10:I10"/>
    <mergeCell ref="J10:K10"/>
    <mergeCell ref="I22:J22"/>
    <mergeCell ref="I23:K23"/>
    <mergeCell ref="B11:C11"/>
    <mergeCell ref="D11:E11"/>
    <mergeCell ref="D21:G21"/>
    <mergeCell ref="I21:L21"/>
    <mergeCell ref="D22:E22"/>
    <mergeCell ref="F22:G23"/>
    <mergeCell ref="D23:E23"/>
  </mergeCells>
  <pageMargins left="0.7" right="0.7" top="0.75" bottom="0.75" header="0" footer="0"/>
  <pageSetup scale="95"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00"/>
  <sheetViews>
    <sheetView showGridLines="0" view="pageBreakPreview" zoomScaleNormal="100" zoomScaleSheetLayoutView="100" workbookViewId="0">
      <selection activeCell="B53" sqref="B53"/>
    </sheetView>
  </sheetViews>
  <sheetFormatPr baseColWidth="10" defaultRowHeight="15" customHeight="1" x14ac:dyDescent="0.2"/>
  <cols>
    <col min="1" max="1" width="27.85546875" style="205" customWidth="1"/>
    <col min="2" max="2" width="30.5703125" style="205" customWidth="1"/>
    <col min="3" max="3" width="32.140625" style="205" customWidth="1"/>
    <col min="4" max="4" width="36.140625" style="205" customWidth="1"/>
    <col min="5" max="256" width="11.42578125" style="205"/>
    <col min="257" max="257" width="27.85546875" style="205" customWidth="1"/>
    <col min="258" max="258" width="30.5703125" style="205" customWidth="1"/>
    <col min="259" max="259" width="32.140625" style="205" customWidth="1"/>
    <col min="260" max="260" width="36.140625" style="205" customWidth="1"/>
    <col min="261" max="512" width="11.42578125" style="205"/>
    <col min="513" max="513" width="27.85546875" style="205" customWidth="1"/>
    <col min="514" max="514" width="30.5703125" style="205" customWidth="1"/>
    <col min="515" max="515" width="32.140625" style="205" customWidth="1"/>
    <col min="516" max="516" width="36.140625" style="205" customWidth="1"/>
    <col min="517" max="768" width="11.42578125" style="205"/>
    <col min="769" max="769" width="27.85546875" style="205" customWidth="1"/>
    <col min="770" max="770" width="30.5703125" style="205" customWidth="1"/>
    <col min="771" max="771" width="32.140625" style="205" customWidth="1"/>
    <col min="772" max="772" width="36.140625" style="205" customWidth="1"/>
    <col min="773" max="1024" width="11.42578125" style="205"/>
    <col min="1025" max="1025" width="27.85546875" style="205" customWidth="1"/>
    <col min="1026" max="1026" width="30.5703125" style="205" customWidth="1"/>
    <col min="1027" max="1027" width="32.140625" style="205" customWidth="1"/>
    <col min="1028" max="1028" width="36.140625" style="205" customWidth="1"/>
    <col min="1029" max="1280" width="11.42578125" style="205"/>
    <col min="1281" max="1281" width="27.85546875" style="205" customWidth="1"/>
    <col min="1282" max="1282" width="30.5703125" style="205" customWidth="1"/>
    <col min="1283" max="1283" width="32.140625" style="205" customWidth="1"/>
    <col min="1284" max="1284" width="36.140625" style="205" customWidth="1"/>
    <col min="1285" max="1536" width="11.42578125" style="205"/>
    <col min="1537" max="1537" width="27.85546875" style="205" customWidth="1"/>
    <col min="1538" max="1538" width="30.5703125" style="205" customWidth="1"/>
    <col min="1539" max="1539" width="32.140625" style="205" customWidth="1"/>
    <col min="1540" max="1540" width="36.140625" style="205" customWidth="1"/>
    <col min="1541" max="1792" width="11.42578125" style="205"/>
    <col min="1793" max="1793" width="27.85546875" style="205" customWidth="1"/>
    <col min="1794" max="1794" width="30.5703125" style="205" customWidth="1"/>
    <col min="1795" max="1795" width="32.140625" style="205" customWidth="1"/>
    <col min="1796" max="1796" width="36.140625" style="205" customWidth="1"/>
    <col min="1797" max="2048" width="11.42578125" style="205"/>
    <col min="2049" max="2049" width="27.85546875" style="205" customWidth="1"/>
    <col min="2050" max="2050" width="30.5703125" style="205" customWidth="1"/>
    <col min="2051" max="2051" width="32.140625" style="205" customWidth="1"/>
    <col min="2052" max="2052" width="36.140625" style="205" customWidth="1"/>
    <col min="2053" max="2304" width="11.42578125" style="205"/>
    <col min="2305" max="2305" width="27.85546875" style="205" customWidth="1"/>
    <col min="2306" max="2306" width="30.5703125" style="205" customWidth="1"/>
    <col min="2307" max="2307" width="32.140625" style="205" customWidth="1"/>
    <col min="2308" max="2308" width="36.140625" style="205" customWidth="1"/>
    <col min="2309" max="2560" width="11.42578125" style="205"/>
    <col min="2561" max="2561" width="27.85546875" style="205" customWidth="1"/>
    <col min="2562" max="2562" width="30.5703125" style="205" customWidth="1"/>
    <col min="2563" max="2563" width="32.140625" style="205" customWidth="1"/>
    <col min="2564" max="2564" width="36.140625" style="205" customWidth="1"/>
    <col min="2565" max="2816" width="11.42578125" style="205"/>
    <col min="2817" max="2817" width="27.85546875" style="205" customWidth="1"/>
    <col min="2818" max="2818" width="30.5703125" style="205" customWidth="1"/>
    <col min="2819" max="2819" width="32.140625" style="205" customWidth="1"/>
    <col min="2820" max="2820" width="36.140625" style="205" customWidth="1"/>
    <col min="2821" max="3072" width="11.42578125" style="205"/>
    <col min="3073" max="3073" width="27.85546875" style="205" customWidth="1"/>
    <col min="3074" max="3074" width="30.5703125" style="205" customWidth="1"/>
    <col min="3075" max="3075" width="32.140625" style="205" customWidth="1"/>
    <col min="3076" max="3076" width="36.140625" style="205" customWidth="1"/>
    <col min="3077" max="3328" width="11.42578125" style="205"/>
    <col min="3329" max="3329" width="27.85546875" style="205" customWidth="1"/>
    <col min="3330" max="3330" width="30.5703125" style="205" customWidth="1"/>
    <col min="3331" max="3331" width="32.140625" style="205" customWidth="1"/>
    <col min="3332" max="3332" width="36.140625" style="205" customWidth="1"/>
    <col min="3333" max="3584" width="11.42578125" style="205"/>
    <col min="3585" max="3585" width="27.85546875" style="205" customWidth="1"/>
    <col min="3586" max="3586" width="30.5703125" style="205" customWidth="1"/>
    <col min="3587" max="3587" width="32.140625" style="205" customWidth="1"/>
    <col min="3588" max="3588" width="36.140625" style="205" customWidth="1"/>
    <col min="3589" max="3840" width="11.42578125" style="205"/>
    <col min="3841" max="3841" width="27.85546875" style="205" customWidth="1"/>
    <col min="3842" max="3842" width="30.5703125" style="205" customWidth="1"/>
    <col min="3843" max="3843" width="32.140625" style="205" customWidth="1"/>
    <col min="3844" max="3844" width="36.140625" style="205" customWidth="1"/>
    <col min="3845" max="4096" width="11.42578125" style="205"/>
    <col min="4097" max="4097" width="27.85546875" style="205" customWidth="1"/>
    <col min="4098" max="4098" width="30.5703125" style="205" customWidth="1"/>
    <col min="4099" max="4099" width="32.140625" style="205" customWidth="1"/>
    <col min="4100" max="4100" width="36.140625" style="205" customWidth="1"/>
    <col min="4101" max="4352" width="11.42578125" style="205"/>
    <col min="4353" max="4353" width="27.85546875" style="205" customWidth="1"/>
    <col min="4354" max="4354" width="30.5703125" style="205" customWidth="1"/>
    <col min="4355" max="4355" width="32.140625" style="205" customWidth="1"/>
    <col min="4356" max="4356" width="36.140625" style="205" customWidth="1"/>
    <col min="4357" max="4608" width="11.42578125" style="205"/>
    <col min="4609" max="4609" width="27.85546875" style="205" customWidth="1"/>
    <col min="4610" max="4610" width="30.5703125" style="205" customWidth="1"/>
    <col min="4611" max="4611" width="32.140625" style="205" customWidth="1"/>
    <col min="4612" max="4612" width="36.140625" style="205" customWidth="1"/>
    <col min="4613" max="4864" width="11.42578125" style="205"/>
    <col min="4865" max="4865" width="27.85546875" style="205" customWidth="1"/>
    <col min="4866" max="4866" width="30.5703125" style="205" customWidth="1"/>
    <col min="4867" max="4867" width="32.140625" style="205" customWidth="1"/>
    <col min="4868" max="4868" width="36.140625" style="205" customWidth="1"/>
    <col min="4869" max="5120" width="11.42578125" style="205"/>
    <col min="5121" max="5121" width="27.85546875" style="205" customWidth="1"/>
    <col min="5122" max="5122" width="30.5703125" style="205" customWidth="1"/>
    <col min="5123" max="5123" width="32.140625" style="205" customWidth="1"/>
    <col min="5124" max="5124" width="36.140625" style="205" customWidth="1"/>
    <col min="5125" max="5376" width="11.42578125" style="205"/>
    <col min="5377" max="5377" width="27.85546875" style="205" customWidth="1"/>
    <col min="5378" max="5378" width="30.5703125" style="205" customWidth="1"/>
    <col min="5379" max="5379" width="32.140625" style="205" customWidth="1"/>
    <col min="5380" max="5380" width="36.140625" style="205" customWidth="1"/>
    <col min="5381" max="5632" width="11.42578125" style="205"/>
    <col min="5633" max="5633" width="27.85546875" style="205" customWidth="1"/>
    <col min="5634" max="5634" width="30.5703125" style="205" customWidth="1"/>
    <col min="5635" max="5635" width="32.140625" style="205" customWidth="1"/>
    <col min="5636" max="5636" width="36.140625" style="205" customWidth="1"/>
    <col min="5637" max="5888" width="11.42578125" style="205"/>
    <col min="5889" max="5889" width="27.85546875" style="205" customWidth="1"/>
    <col min="5890" max="5890" width="30.5703125" style="205" customWidth="1"/>
    <col min="5891" max="5891" width="32.140625" style="205" customWidth="1"/>
    <col min="5892" max="5892" width="36.140625" style="205" customWidth="1"/>
    <col min="5893" max="6144" width="11.42578125" style="205"/>
    <col min="6145" max="6145" width="27.85546875" style="205" customWidth="1"/>
    <col min="6146" max="6146" width="30.5703125" style="205" customWidth="1"/>
    <col min="6147" max="6147" width="32.140625" style="205" customWidth="1"/>
    <col min="6148" max="6148" width="36.140625" style="205" customWidth="1"/>
    <col min="6149" max="6400" width="11.42578125" style="205"/>
    <col min="6401" max="6401" width="27.85546875" style="205" customWidth="1"/>
    <col min="6402" max="6402" width="30.5703125" style="205" customWidth="1"/>
    <col min="6403" max="6403" width="32.140625" style="205" customWidth="1"/>
    <col min="6404" max="6404" width="36.140625" style="205" customWidth="1"/>
    <col min="6405" max="6656" width="11.42578125" style="205"/>
    <col min="6657" max="6657" width="27.85546875" style="205" customWidth="1"/>
    <col min="6658" max="6658" width="30.5703125" style="205" customWidth="1"/>
    <col min="6659" max="6659" width="32.140625" style="205" customWidth="1"/>
    <col min="6660" max="6660" width="36.140625" style="205" customWidth="1"/>
    <col min="6661" max="6912" width="11.42578125" style="205"/>
    <col min="6913" max="6913" width="27.85546875" style="205" customWidth="1"/>
    <col min="6914" max="6914" width="30.5703125" style="205" customWidth="1"/>
    <col min="6915" max="6915" width="32.140625" style="205" customWidth="1"/>
    <col min="6916" max="6916" width="36.140625" style="205" customWidth="1"/>
    <col min="6917" max="7168" width="11.42578125" style="205"/>
    <col min="7169" max="7169" width="27.85546875" style="205" customWidth="1"/>
    <col min="7170" max="7170" width="30.5703125" style="205" customWidth="1"/>
    <col min="7171" max="7171" width="32.140625" style="205" customWidth="1"/>
    <col min="7172" max="7172" width="36.140625" style="205" customWidth="1"/>
    <col min="7173" max="7424" width="11.42578125" style="205"/>
    <col min="7425" max="7425" width="27.85546875" style="205" customWidth="1"/>
    <col min="7426" max="7426" width="30.5703125" style="205" customWidth="1"/>
    <col min="7427" max="7427" width="32.140625" style="205" customWidth="1"/>
    <col min="7428" max="7428" width="36.140625" style="205" customWidth="1"/>
    <col min="7429" max="7680" width="11.42578125" style="205"/>
    <col min="7681" max="7681" width="27.85546875" style="205" customWidth="1"/>
    <col min="7682" max="7682" width="30.5703125" style="205" customWidth="1"/>
    <col min="7683" max="7683" width="32.140625" style="205" customWidth="1"/>
    <col min="7684" max="7684" width="36.140625" style="205" customWidth="1"/>
    <col min="7685" max="7936" width="11.42578125" style="205"/>
    <col min="7937" max="7937" width="27.85546875" style="205" customWidth="1"/>
    <col min="7938" max="7938" width="30.5703125" style="205" customWidth="1"/>
    <col min="7939" max="7939" width="32.140625" style="205" customWidth="1"/>
    <col min="7940" max="7940" width="36.140625" style="205" customWidth="1"/>
    <col min="7941" max="8192" width="11.42578125" style="205"/>
    <col min="8193" max="8193" width="27.85546875" style="205" customWidth="1"/>
    <col min="8194" max="8194" width="30.5703125" style="205" customWidth="1"/>
    <col min="8195" max="8195" width="32.140625" style="205" customWidth="1"/>
    <col min="8196" max="8196" width="36.140625" style="205" customWidth="1"/>
    <col min="8197" max="8448" width="11.42578125" style="205"/>
    <col min="8449" max="8449" width="27.85546875" style="205" customWidth="1"/>
    <col min="8450" max="8450" width="30.5703125" style="205" customWidth="1"/>
    <col min="8451" max="8451" width="32.140625" style="205" customWidth="1"/>
    <col min="8452" max="8452" width="36.140625" style="205" customWidth="1"/>
    <col min="8453" max="8704" width="11.42578125" style="205"/>
    <col min="8705" max="8705" width="27.85546875" style="205" customWidth="1"/>
    <col min="8706" max="8706" width="30.5703125" style="205" customWidth="1"/>
    <col min="8707" max="8707" width="32.140625" style="205" customWidth="1"/>
    <col min="8708" max="8708" width="36.140625" style="205" customWidth="1"/>
    <col min="8709" max="8960" width="11.42578125" style="205"/>
    <col min="8961" max="8961" width="27.85546875" style="205" customWidth="1"/>
    <col min="8962" max="8962" width="30.5703125" style="205" customWidth="1"/>
    <col min="8963" max="8963" width="32.140625" style="205" customWidth="1"/>
    <col min="8964" max="8964" width="36.140625" style="205" customWidth="1"/>
    <col min="8965" max="9216" width="11.42578125" style="205"/>
    <col min="9217" max="9217" width="27.85546875" style="205" customWidth="1"/>
    <col min="9218" max="9218" width="30.5703125" style="205" customWidth="1"/>
    <col min="9219" max="9219" width="32.140625" style="205" customWidth="1"/>
    <col min="9220" max="9220" width="36.140625" style="205" customWidth="1"/>
    <col min="9221" max="9472" width="11.42578125" style="205"/>
    <col min="9473" max="9473" width="27.85546875" style="205" customWidth="1"/>
    <col min="9474" max="9474" width="30.5703125" style="205" customWidth="1"/>
    <col min="9475" max="9475" width="32.140625" style="205" customWidth="1"/>
    <col min="9476" max="9476" width="36.140625" style="205" customWidth="1"/>
    <col min="9477" max="9728" width="11.42578125" style="205"/>
    <col min="9729" max="9729" width="27.85546875" style="205" customWidth="1"/>
    <col min="9730" max="9730" width="30.5703125" style="205" customWidth="1"/>
    <col min="9731" max="9731" width="32.140625" style="205" customWidth="1"/>
    <col min="9732" max="9732" width="36.140625" style="205" customWidth="1"/>
    <col min="9733" max="9984" width="11.42578125" style="205"/>
    <col min="9985" max="9985" width="27.85546875" style="205" customWidth="1"/>
    <col min="9986" max="9986" width="30.5703125" style="205" customWidth="1"/>
    <col min="9987" max="9987" width="32.140625" style="205" customWidth="1"/>
    <col min="9988" max="9988" width="36.140625" style="205" customWidth="1"/>
    <col min="9989" max="10240" width="11.42578125" style="205"/>
    <col min="10241" max="10241" width="27.85546875" style="205" customWidth="1"/>
    <col min="10242" max="10242" width="30.5703125" style="205" customWidth="1"/>
    <col min="10243" max="10243" width="32.140625" style="205" customWidth="1"/>
    <col min="10244" max="10244" width="36.140625" style="205" customWidth="1"/>
    <col min="10245" max="10496" width="11.42578125" style="205"/>
    <col min="10497" max="10497" width="27.85546875" style="205" customWidth="1"/>
    <col min="10498" max="10498" width="30.5703125" style="205" customWidth="1"/>
    <col min="10499" max="10499" width="32.140625" style="205" customWidth="1"/>
    <col min="10500" max="10500" width="36.140625" style="205" customWidth="1"/>
    <col min="10501" max="10752" width="11.42578125" style="205"/>
    <col min="10753" max="10753" width="27.85546875" style="205" customWidth="1"/>
    <col min="10754" max="10754" width="30.5703125" style="205" customWidth="1"/>
    <col min="10755" max="10755" width="32.140625" style="205" customWidth="1"/>
    <col min="10756" max="10756" width="36.140625" style="205" customWidth="1"/>
    <col min="10757" max="11008" width="11.42578125" style="205"/>
    <col min="11009" max="11009" width="27.85546875" style="205" customWidth="1"/>
    <col min="11010" max="11010" width="30.5703125" style="205" customWidth="1"/>
    <col min="11011" max="11011" width="32.140625" style="205" customWidth="1"/>
    <col min="11012" max="11012" width="36.140625" style="205" customWidth="1"/>
    <col min="11013" max="11264" width="11.42578125" style="205"/>
    <col min="11265" max="11265" width="27.85546875" style="205" customWidth="1"/>
    <col min="11266" max="11266" width="30.5703125" style="205" customWidth="1"/>
    <col min="11267" max="11267" width="32.140625" style="205" customWidth="1"/>
    <col min="11268" max="11268" width="36.140625" style="205" customWidth="1"/>
    <col min="11269" max="11520" width="11.42578125" style="205"/>
    <col min="11521" max="11521" width="27.85546875" style="205" customWidth="1"/>
    <col min="11522" max="11522" width="30.5703125" style="205" customWidth="1"/>
    <col min="11523" max="11523" width="32.140625" style="205" customWidth="1"/>
    <col min="11524" max="11524" width="36.140625" style="205" customWidth="1"/>
    <col min="11525" max="11776" width="11.42578125" style="205"/>
    <col min="11777" max="11777" width="27.85546875" style="205" customWidth="1"/>
    <col min="11778" max="11778" width="30.5703125" style="205" customWidth="1"/>
    <col min="11779" max="11779" width="32.140625" style="205" customWidth="1"/>
    <col min="11780" max="11780" width="36.140625" style="205" customWidth="1"/>
    <col min="11781" max="12032" width="11.42578125" style="205"/>
    <col min="12033" max="12033" width="27.85546875" style="205" customWidth="1"/>
    <col min="12034" max="12034" width="30.5703125" style="205" customWidth="1"/>
    <col min="12035" max="12035" width="32.140625" style="205" customWidth="1"/>
    <col min="12036" max="12036" width="36.140625" style="205" customWidth="1"/>
    <col min="12037" max="12288" width="11.42578125" style="205"/>
    <col min="12289" max="12289" width="27.85546875" style="205" customWidth="1"/>
    <col min="12290" max="12290" width="30.5703125" style="205" customWidth="1"/>
    <col min="12291" max="12291" width="32.140625" style="205" customWidth="1"/>
    <col min="12292" max="12292" width="36.140625" style="205" customWidth="1"/>
    <col min="12293" max="12544" width="11.42578125" style="205"/>
    <col min="12545" max="12545" width="27.85546875" style="205" customWidth="1"/>
    <col min="12546" max="12546" width="30.5703125" style="205" customWidth="1"/>
    <col min="12547" max="12547" width="32.140625" style="205" customWidth="1"/>
    <col min="12548" max="12548" width="36.140625" style="205" customWidth="1"/>
    <col min="12549" max="12800" width="11.42578125" style="205"/>
    <col min="12801" max="12801" width="27.85546875" style="205" customWidth="1"/>
    <col min="12802" max="12802" width="30.5703125" style="205" customWidth="1"/>
    <col min="12803" max="12803" width="32.140625" style="205" customWidth="1"/>
    <col min="12804" max="12804" width="36.140625" style="205" customWidth="1"/>
    <col min="12805" max="13056" width="11.42578125" style="205"/>
    <col min="13057" max="13057" width="27.85546875" style="205" customWidth="1"/>
    <col min="13058" max="13058" width="30.5703125" style="205" customWidth="1"/>
    <col min="13059" max="13059" width="32.140625" style="205" customWidth="1"/>
    <col min="13060" max="13060" width="36.140625" style="205" customWidth="1"/>
    <col min="13061" max="13312" width="11.42578125" style="205"/>
    <col min="13313" max="13313" width="27.85546875" style="205" customWidth="1"/>
    <col min="13314" max="13314" width="30.5703125" style="205" customWidth="1"/>
    <col min="13315" max="13315" width="32.140625" style="205" customWidth="1"/>
    <col min="13316" max="13316" width="36.140625" style="205" customWidth="1"/>
    <col min="13317" max="13568" width="11.42578125" style="205"/>
    <col min="13569" max="13569" width="27.85546875" style="205" customWidth="1"/>
    <col min="13570" max="13570" width="30.5703125" style="205" customWidth="1"/>
    <col min="13571" max="13571" width="32.140625" style="205" customWidth="1"/>
    <col min="13572" max="13572" width="36.140625" style="205" customWidth="1"/>
    <col min="13573" max="13824" width="11.42578125" style="205"/>
    <col min="13825" max="13825" width="27.85546875" style="205" customWidth="1"/>
    <col min="13826" max="13826" width="30.5703125" style="205" customWidth="1"/>
    <col min="13827" max="13827" width="32.140625" style="205" customWidth="1"/>
    <col min="13828" max="13828" width="36.140625" style="205" customWidth="1"/>
    <col min="13829" max="14080" width="11.42578125" style="205"/>
    <col min="14081" max="14081" width="27.85546875" style="205" customWidth="1"/>
    <col min="14082" max="14082" width="30.5703125" style="205" customWidth="1"/>
    <col min="14083" max="14083" width="32.140625" style="205" customWidth="1"/>
    <col min="14084" max="14084" width="36.140625" style="205" customWidth="1"/>
    <col min="14085" max="14336" width="11.42578125" style="205"/>
    <col min="14337" max="14337" width="27.85546875" style="205" customWidth="1"/>
    <col min="14338" max="14338" width="30.5703125" style="205" customWidth="1"/>
    <col min="14339" max="14339" width="32.140625" style="205" customWidth="1"/>
    <col min="14340" max="14340" width="36.140625" style="205" customWidth="1"/>
    <col min="14341" max="14592" width="11.42578125" style="205"/>
    <col min="14593" max="14593" width="27.85546875" style="205" customWidth="1"/>
    <col min="14594" max="14594" width="30.5703125" style="205" customWidth="1"/>
    <col min="14595" max="14595" width="32.140625" style="205" customWidth="1"/>
    <col min="14596" max="14596" width="36.140625" style="205" customWidth="1"/>
    <col min="14597" max="14848" width="11.42578125" style="205"/>
    <col min="14849" max="14849" width="27.85546875" style="205" customWidth="1"/>
    <col min="14850" max="14850" width="30.5703125" style="205" customWidth="1"/>
    <col min="14851" max="14851" width="32.140625" style="205" customWidth="1"/>
    <col min="14852" max="14852" width="36.140625" style="205" customWidth="1"/>
    <col min="14853" max="15104" width="11.42578125" style="205"/>
    <col min="15105" max="15105" width="27.85546875" style="205" customWidth="1"/>
    <col min="15106" max="15106" width="30.5703125" style="205" customWidth="1"/>
    <col min="15107" max="15107" width="32.140625" style="205" customWidth="1"/>
    <col min="15108" max="15108" width="36.140625" style="205" customWidth="1"/>
    <col min="15109" max="15360" width="11.42578125" style="205"/>
    <col min="15361" max="15361" width="27.85546875" style="205" customWidth="1"/>
    <col min="15362" max="15362" width="30.5703125" style="205" customWidth="1"/>
    <col min="15363" max="15363" width="32.140625" style="205" customWidth="1"/>
    <col min="15364" max="15364" width="36.140625" style="205" customWidth="1"/>
    <col min="15365" max="15616" width="11.42578125" style="205"/>
    <col min="15617" max="15617" width="27.85546875" style="205" customWidth="1"/>
    <col min="15618" max="15618" width="30.5703125" style="205" customWidth="1"/>
    <col min="15619" max="15619" width="32.140625" style="205" customWidth="1"/>
    <col min="15620" max="15620" width="36.140625" style="205" customWidth="1"/>
    <col min="15621" max="15872" width="11.42578125" style="205"/>
    <col min="15873" max="15873" width="27.85546875" style="205" customWidth="1"/>
    <col min="15874" max="15874" width="30.5703125" style="205" customWidth="1"/>
    <col min="15875" max="15875" width="32.140625" style="205" customWidth="1"/>
    <col min="15876" max="15876" width="36.140625" style="205" customWidth="1"/>
    <col min="15877" max="16128" width="11.42578125" style="205"/>
    <col min="16129" max="16129" width="27.85546875" style="205" customWidth="1"/>
    <col min="16130" max="16130" width="30.5703125" style="205" customWidth="1"/>
    <col min="16131" max="16131" width="32.140625" style="205" customWidth="1"/>
    <col min="16132" max="16132" width="36.140625" style="205" customWidth="1"/>
    <col min="16133" max="16384" width="11.42578125" style="205"/>
  </cols>
  <sheetData>
    <row r="1" spans="1:4" ht="14.25" customHeight="1" x14ac:dyDescent="0.2">
      <c r="A1" s="201"/>
      <c r="B1" s="201"/>
      <c r="C1" s="201"/>
      <c r="D1" s="201"/>
    </row>
    <row r="2" spans="1:4" ht="15.75" x14ac:dyDescent="0.2">
      <c r="A2" s="703" t="s">
        <v>336</v>
      </c>
      <c r="B2" s="703"/>
      <c r="C2" s="703"/>
      <c r="D2" s="703"/>
    </row>
    <row r="3" spans="1:4" ht="15.75" x14ac:dyDescent="0.2">
      <c r="A3" s="703" t="s">
        <v>354</v>
      </c>
      <c r="B3" s="703"/>
      <c r="C3" s="703"/>
      <c r="D3" s="703"/>
    </row>
    <row r="4" spans="1:4" ht="15.75" x14ac:dyDescent="0.2">
      <c r="A4" s="703" t="s">
        <v>169</v>
      </c>
      <c r="B4" s="703"/>
      <c r="C4" s="703"/>
      <c r="D4" s="703"/>
    </row>
    <row r="5" spans="1:4" ht="12.75" x14ac:dyDescent="0.2"/>
    <row r="6" spans="1:4" ht="13.5" thickBot="1" x14ac:dyDescent="0.25"/>
    <row r="7" spans="1:4" ht="28.5" customHeight="1" x14ac:dyDescent="0.2">
      <c r="A7" s="202" t="s">
        <v>170</v>
      </c>
      <c r="B7" s="203" t="s">
        <v>171</v>
      </c>
      <c r="C7" s="203" t="s">
        <v>172</v>
      </c>
      <c r="D7" s="204" t="s">
        <v>173</v>
      </c>
    </row>
    <row r="8" spans="1:4" ht="89.25" x14ac:dyDescent="0.2">
      <c r="A8" s="191" t="s">
        <v>312</v>
      </c>
      <c r="B8" s="192" t="s">
        <v>340</v>
      </c>
      <c r="C8" s="595" t="s">
        <v>341</v>
      </c>
      <c r="D8" s="193"/>
    </row>
    <row r="9" spans="1:4" ht="102" x14ac:dyDescent="0.2">
      <c r="A9" s="191" t="s">
        <v>315</v>
      </c>
      <c r="B9" s="192" t="s">
        <v>346</v>
      </c>
      <c r="C9" s="595" t="s">
        <v>347</v>
      </c>
      <c r="D9" s="194"/>
    </row>
    <row r="10" spans="1:4" ht="127.5" x14ac:dyDescent="0.2">
      <c r="A10" s="191" t="s">
        <v>318</v>
      </c>
      <c r="B10" s="192" t="s">
        <v>350</v>
      </c>
      <c r="C10" s="595" t="s">
        <v>339</v>
      </c>
      <c r="D10" s="193"/>
    </row>
    <row r="11" spans="1:4" ht="51.75" thickBot="1" x14ac:dyDescent="0.25">
      <c r="A11" s="195" t="s">
        <v>321</v>
      </c>
      <c r="B11" s="196" t="s">
        <v>351</v>
      </c>
      <c r="C11" s="596" t="s">
        <v>342</v>
      </c>
      <c r="D11" s="197"/>
    </row>
    <row r="12" spans="1:4" ht="64.5" thickBot="1" x14ac:dyDescent="0.25">
      <c r="A12" s="195" t="s">
        <v>324</v>
      </c>
      <c r="B12" s="196" t="s">
        <v>344</v>
      </c>
      <c r="C12" s="596" t="s">
        <v>343</v>
      </c>
      <c r="D12" s="197"/>
    </row>
    <row r="13" spans="1:4" ht="76.5" x14ac:dyDescent="0.2">
      <c r="A13" s="191" t="s">
        <v>327</v>
      </c>
      <c r="B13" s="192" t="s">
        <v>328</v>
      </c>
      <c r="C13" s="595" t="s">
        <v>329</v>
      </c>
      <c r="D13" s="193"/>
    </row>
    <row r="14" spans="1:4" ht="51" x14ac:dyDescent="0.2">
      <c r="A14" s="191" t="s">
        <v>330</v>
      </c>
      <c r="B14" s="192" t="s">
        <v>348</v>
      </c>
      <c r="C14" s="595" t="s">
        <v>349</v>
      </c>
      <c r="D14" s="193"/>
    </row>
    <row r="15" spans="1:4" ht="63.75" x14ac:dyDescent="0.2">
      <c r="A15" s="198" t="s">
        <v>333</v>
      </c>
      <c r="B15" s="192" t="s">
        <v>334</v>
      </c>
      <c r="C15" s="595" t="s">
        <v>345</v>
      </c>
      <c r="D15" s="199"/>
    </row>
    <row r="16" spans="1:4" ht="13.5" thickBot="1" x14ac:dyDescent="0.25">
      <c r="A16" s="704" t="s">
        <v>174</v>
      </c>
      <c r="B16" s="705"/>
      <c r="C16" s="705"/>
      <c r="D16" s="706"/>
    </row>
    <row r="17" spans="1:4" ht="12.75" x14ac:dyDescent="0.2"/>
    <row r="18" spans="1:4" ht="12.75" x14ac:dyDescent="0.2">
      <c r="A18" s="707"/>
      <c r="B18" s="707"/>
      <c r="C18" s="707"/>
      <c r="D18" s="707"/>
    </row>
    <row r="19" spans="1:4" ht="12.75" x14ac:dyDescent="0.2">
      <c r="A19" s="707"/>
      <c r="B19" s="707"/>
      <c r="C19" s="707"/>
      <c r="D19" s="707"/>
    </row>
    <row r="20" spans="1:4" ht="12.75" x14ac:dyDescent="0.2"/>
    <row r="21" spans="1:4" ht="12.75" x14ac:dyDescent="0.2">
      <c r="A21" s="2"/>
      <c r="B21" s="200"/>
      <c r="C21" s="200"/>
      <c r="D21" s="200"/>
    </row>
    <row r="22" spans="1:4" ht="12.75" x14ac:dyDescent="0.2">
      <c r="A22" s="99" t="s">
        <v>338</v>
      </c>
      <c r="B22" s="200"/>
      <c r="C22" s="200"/>
      <c r="D22" s="200"/>
    </row>
    <row r="23" spans="1:4" ht="12.75" x14ac:dyDescent="0.2">
      <c r="A23" s="99" t="s">
        <v>352</v>
      </c>
    </row>
    <row r="24" spans="1:4" ht="12.75" x14ac:dyDescent="0.2">
      <c r="A24" s="99"/>
    </row>
    <row r="25" spans="1:4" ht="12.75" x14ac:dyDescent="0.2">
      <c r="A25" s="2"/>
    </row>
    <row r="26" spans="1:4" ht="18" x14ac:dyDescent="0.25">
      <c r="A26" s="40" t="s">
        <v>21</v>
      </c>
    </row>
    <row r="27" spans="1:4" ht="12.75" x14ac:dyDescent="0.2"/>
    <row r="28" spans="1:4" ht="12.75" x14ac:dyDescent="0.2"/>
    <row r="29" spans="1:4" ht="12.75" x14ac:dyDescent="0.2"/>
    <row r="30" spans="1:4" ht="12.75" x14ac:dyDescent="0.2"/>
    <row r="31" spans="1:4" ht="12.75" x14ac:dyDescent="0.2"/>
    <row r="32" spans="1:4"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spans="2:2" ht="12.75" x14ac:dyDescent="0.2"/>
    <row r="50" spans="2:2" ht="12.75" x14ac:dyDescent="0.2"/>
    <row r="51" spans="2:2" ht="12.75" x14ac:dyDescent="0.2"/>
    <row r="52" spans="2:2" ht="12.75" x14ac:dyDescent="0.2"/>
    <row r="53" spans="2:2" ht="12.75" x14ac:dyDescent="0.2">
      <c r="B53" s="205" t="s">
        <v>363</v>
      </c>
    </row>
    <row r="54" spans="2:2" ht="12.75" x14ac:dyDescent="0.2"/>
    <row r="55" spans="2:2" ht="12.75" x14ac:dyDescent="0.2"/>
    <row r="56" spans="2:2" ht="12.75" x14ac:dyDescent="0.2"/>
    <row r="57" spans="2:2" ht="12.75" x14ac:dyDescent="0.2"/>
    <row r="58" spans="2:2" ht="12.75" x14ac:dyDescent="0.2"/>
    <row r="59" spans="2:2" ht="12.75" x14ac:dyDescent="0.2"/>
    <row r="60" spans="2:2" ht="12.75" x14ac:dyDescent="0.2"/>
    <row r="61" spans="2:2" ht="12.75" x14ac:dyDescent="0.2"/>
    <row r="62" spans="2:2" ht="12.75" x14ac:dyDescent="0.2"/>
    <row r="63" spans="2:2" ht="12.75" x14ac:dyDescent="0.2"/>
    <row r="64" spans="2:2"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5">
    <mergeCell ref="A2:D2"/>
    <mergeCell ref="A3:D3"/>
    <mergeCell ref="A4:D4"/>
    <mergeCell ref="A16:D16"/>
    <mergeCell ref="A18:D19"/>
  </mergeCells>
  <pageMargins left="0.7" right="0.7" top="0.75" bottom="0.75" header="0" footer="0"/>
  <pageSetup scale="97"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085F4-C25C-4E5C-B073-3731263978F3}">
  <dimension ref="A3:B20"/>
  <sheetViews>
    <sheetView showGridLines="0" topLeftCell="A4" workbookViewId="0">
      <selection activeCell="B53" sqref="B53"/>
    </sheetView>
  </sheetViews>
  <sheetFormatPr baseColWidth="10" defaultRowHeight="12.75" x14ac:dyDescent="0.2"/>
  <cols>
    <col min="1" max="1" width="54.42578125" style="594" customWidth="1"/>
    <col min="2" max="2" width="23" style="594" customWidth="1"/>
    <col min="3" max="256" width="11.42578125" style="594"/>
    <col min="257" max="257" width="54.42578125" style="594" customWidth="1"/>
    <col min="258" max="258" width="23" style="594" customWidth="1"/>
    <col min="259" max="512" width="11.42578125" style="594"/>
    <col min="513" max="513" width="54.42578125" style="594" customWidth="1"/>
    <col min="514" max="514" width="23" style="594" customWidth="1"/>
    <col min="515" max="768" width="11.42578125" style="594"/>
    <col min="769" max="769" width="54.42578125" style="594" customWidth="1"/>
    <col min="770" max="770" width="23" style="594" customWidth="1"/>
    <col min="771" max="1024" width="11.42578125" style="594"/>
    <col min="1025" max="1025" width="54.42578125" style="594" customWidth="1"/>
    <col min="1026" max="1026" width="23" style="594" customWidth="1"/>
    <col min="1027" max="1280" width="11.42578125" style="594"/>
    <col min="1281" max="1281" width="54.42578125" style="594" customWidth="1"/>
    <col min="1282" max="1282" width="23" style="594" customWidth="1"/>
    <col min="1283" max="1536" width="11.42578125" style="594"/>
    <col min="1537" max="1537" width="54.42578125" style="594" customWidth="1"/>
    <col min="1538" max="1538" width="23" style="594" customWidth="1"/>
    <col min="1539" max="1792" width="11.42578125" style="594"/>
    <col min="1793" max="1793" width="54.42578125" style="594" customWidth="1"/>
    <col min="1794" max="1794" width="23" style="594" customWidth="1"/>
    <col min="1795" max="2048" width="11.42578125" style="594"/>
    <col min="2049" max="2049" width="54.42578125" style="594" customWidth="1"/>
    <col min="2050" max="2050" width="23" style="594" customWidth="1"/>
    <col min="2051" max="2304" width="11.42578125" style="594"/>
    <col min="2305" max="2305" width="54.42578125" style="594" customWidth="1"/>
    <col min="2306" max="2306" width="23" style="594" customWidth="1"/>
    <col min="2307" max="2560" width="11.42578125" style="594"/>
    <col min="2561" max="2561" width="54.42578125" style="594" customWidth="1"/>
    <col min="2562" max="2562" width="23" style="594" customWidth="1"/>
    <col min="2563" max="2816" width="11.42578125" style="594"/>
    <col min="2817" max="2817" width="54.42578125" style="594" customWidth="1"/>
    <col min="2818" max="2818" width="23" style="594" customWidth="1"/>
    <col min="2819" max="3072" width="11.42578125" style="594"/>
    <col min="3073" max="3073" width="54.42578125" style="594" customWidth="1"/>
    <col min="3074" max="3074" width="23" style="594" customWidth="1"/>
    <col min="3075" max="3328" width="11.42578125" style="594"/>
    <col min="3329" max="3329" width="54.42578125" style="594" customWidth="1"/>
    <col min="3330" max="3330" width="23" style="594" customWidth="1"/>
    <col min="3331" max="3584" width="11.42578125" style="594"/>
    <col min="3585" max="3585" width="54.42578125" style="594" customWidth="1"/>
    <col min="3586" max="3586" width="23" style="594" customWidth="1"/>
    <col min="3587" max="3840" width="11.42578125" style="594"/>
    <col min="3841" max="3841" width="54.42578125" style="594" customWidth="1"/>
    <col min="3842" max="3842" width="23" style="594" customWidth="1"/>
    <col min="3843" max="4096" width="11.42578125" style="594"/>
    <col min="4097" max="4097" width="54.42578125" style="594" customWidth="1"/>
    <col min="4098" max="4098" width="23" style="594" customWidth="1"/>
    <col min="4099" max="4352" width="11.42578125" style="594"/>
    <col min="4353" max="4353" width="54.42578125" style="594" customWidth="1"/>
    <col min="4354" max="4354" width="23" style="594" customWidth="1"/>
    <col min="4355" max="4608" width="11.42578125" style="594"/>
    <col min="4609" max="4609" width="54.42578125" style="594" customWidth="1"/>
    <col min="4610" max="4610" width="23" style="594" customWidth="1"/>
    <col min="4611" max="4864" width="11.42578125" style="594"/>
    <col min="4865" max="4865" width="54.42578125" style="594" customWidth="1"/>
    <col min="4866" max="4866" width="23" style="594" customWidth="1"/>
    <col min="4867" max="5120" width="11.42578125" style="594"/>
    <col min="5121" max="5121" width="54.42578125" style="594" customWidth="1"/>
    <col min="5122" max="5122" width="23" style="594" customWidth="1"/>
    <col min="5123" max="5376" width="11.42578125" style="594"/>
    <col min="5377" max="5377" width="54.42578125" style="594" customWidth="1"/>
    <col min="5378" max="5378" width="23" style="594" customWidth="1"/>
    <col min="5379" max="5632" width="11.42578125" style="594"/>
    <col min="5633" max="5633" width="54.42578125" style="594" customWidth="1"/>
    <col min="5634" max="5634" width="23" style="594" customWidth="1"/>
    <col min="5635" max="5888" width="11.42578125" style="594"/>
    <col min="5889" max="5889" width="54.42578125" style="594" customWidth="1"/>
    <col min="5890" max="5890" width="23" style="594" customWidth="1"/>
    <col min="5891" max="6144" width="11.42578125" style="594"/>
    <col min="6145" max="6145" width="54.42578125" style="594" customWidth="1"/>
    <col min="6146" max="6146" width="23" style="594" customWidth="1"/>
    <col min="6147" max="6400" width="11.42578125" style="594"/>
    <col min="6401" max="6401" width="54.42578125" style="594" customWidth="1"/>
    <col min="6402" max="6402" width="23" style="594" customWidth="1"/>
    <col min="6403" max="6656" width="11.42578125" style="594"/>
    <col min="6657" max="6657" width="54.42578125" style="594" customWidth="1"/>
    <col min="6658" max="6658" width="23" style="594" customWidth="1"/>
    <col min="6659" max="6912" width="11.42578125" style="594"/>
    <col min="6913" max="6913" width="54.42578125" style="594" customWidth="1"/>
    <col min="6914" max="6914" width="23" style="594" customWidth="1"/>
    <col min="6915" max="7168" width="11.42578125" style="594"/>
    <col min="7169" max="7169" width="54.42578125" style="594" customWidth="1"/>
    <col min="7170" max="7170" width="23" style="594" customWidth="1"/>
    <col min="7171" max="7424" width="11.42578125" style="594"/>
    <col min="7425" max="7425" width="54.42578125" style="594" customWidth="1"/>
    <col min="7426" max="7426" width="23" style="594" customWidth="1"/>
    <col min="7427" max="7680" width="11.42578125" style="594"/>
    <col min="7681" max="7681" width="54.42578125" style="594" customWidth="1"/>
    <col min="7682" max="7682" width="23" style="594" customWidth="1"/>
    <col min="7683" max="7936" width="11.42578125" style="594"/>
    <col min="7937" max="7937" width="54.42578125" style="594" customWidth="1"/>
    <col min="7938" max="7938" width="23" style="594" customWidth="1"/>
    <col min="7939" max="8192" width="11.42578125" style="594"/>
    <col min="8193" max="8193" width="54.42578125" style="594" customWidth="1"/>
    <col min="8194" max="8194" width="23" style="594" customWidth="1"/>
    <col min="8195" max="8448" width="11.42578125" style="594"/>
    <col min="8449" max="8449" width="54.42578125" style="594" customWidth="1"/>
    <col min="8450" max="8450" width="23" style="594" customWidth="1"/>
    <col min="8451" max="8704" width="11.42578125" style="594"/>
    <col min="8705" max="8705" width="54.42578125" style="594" customWidth="1"/>
    <col min="8706" max="8706" width="23" style="594" customWidth="1"/>
    <col min="8707" max="8960" width="11.42578125" style="594"/>
    <col min="8961" max="8961" width="54.42578125" style="594" customWidth="1"/>
    <col min="8962" max="8962" width="23" style="594" customWidth="1"/>
    <col min="8963" max="9216" width="11.42578125" style="594"/>
    <col min="9217" max="9217" width="54.42578125" style="594" customWidth="1"/>
    <col min="9218" max="9218" width="23" style="594" customWidth="1"/>
    <col min="9219" max="9472" width="11.42578125" style="594"/>
    <col min="9473" max="9473" width="54.42578125" style="594" customWidth="1"/>
    <col min="9474" max="9474" width="23" style="594" customWidth="1"/>
    <col min="9475" max="9728" width="11.42578125" style="594"/>
    <col min="9729" max="9729" width="54.42578125" style="594" customWidth="1"/>
    <col min="9730" max="9730" width="23" style="594" customWidth="1"/>
    <col min="9731" max="9984" width="11.42578125" style="594"/>
    <col min="9985" max="9985" width="54.42578125" style="594" customWidth="1"/>
    <col min="9986" max="9986" width="23" style="594" customWidth="1"/>
    <col min="9987" max="10240" width="11.42578125" style="594"/>
    <col min="10241" max="10241" width="54.42578125" style="594" customWidth="1"/>
    <col min="10242" max="10242" width="23" style="594" customWidth="1"/>
    <col min="10243" max="10496" width="11.42578125" style="594"/>
    <col min="10497" max="10497" width="54.42578125" style="594" customWidth="1"/>
    <col min="10498" max="10498" width="23" style="594" customWidth="1"/>
    <col min="10499" max="10752" width="11.42578125" style="594"/>
    <col min="10753" max="10753" width="54.42578125" style="594" customWidth="1"/>
    <col min="10754" max="10754" width="23" style="594" customWidth="1"/>
    <col min="10755" max="11008" width="11.42578125" style="594"/>
    <col min="11009" max="11009" width="54.42578125" style="594" customWidth="1"/>
    <col min="11010" max="11010" width="23" style="594" customWidth="1"/>
    <col min="11011" max="11264" width="11.42578125" style="594"/>
    <col min="11265" max="11265" width="54.42578125" style="594" customWidth="1"/>
    <col min="11266" max="11266" width="23" style="594" customWidth="1"/>
    <col min="11267" max="11520" width="11.42578125" style="594"/>
    <col min="11521" max="11521" width="54.42578125" style="594" customWidth="1"/>
    <col min="11522" max="11522" width="23" style="594" customWidth="1"/>
    <col min="11523" max="11776" width="11.42578125" style="594"/>
    <col min="11777" max="11777" width="54.42578125" style="594" customWidth="1"/>
    <col min="11778" max="11778" width="23" style="594" customWidth="1"/>
    <col min="11779" max="12032" width="11.42578125" style="594"/>
    <col min="12033" max="12033" width="54.42578125" style="594" customWidth="1"/>
    <col min="12034" max="12034" width="23" style="594" customWidth="1"/>
    <col min="12035" max="12288" width="11.42578125" style="594"/>
    <col min="12289" max="12289" width="54.42578125" style="594" customWidth="1"/>
    <col min="12290" max="12290" width="23" style="594" customWidth="1"/>
    <col min="12291" max="12544" width="11.42578125" style="594"/>
    <col min="12545" max="12545" width="54.42578125" style="594" customWidth="1"/>
    <col min="12546" max="12546" width="23" style="594" customWidth="1"/>
    <col min="12547" max="12800" width="11.42578125" style="594"/>
    <col min="12801" max="12801" width="54.42578125" style="594" customWidth="1"/>
    <col min="12802" max="12802" width="23" style="594" customWidth="1"/>
    <col min="12803" max="13056" width="11.42578125" style="594"/>
    <col min="13057" max="13057" width="54.42578125" style="594" customWidth="1"/>
    <col min="13058" max="13058" width="23" style="594" customWidth="1"/>
    <col min="13059" max="13312" width="11.42578125" style="594"/>
    <col min="13313" max="13313" width="54.42578125" style="594" customWidth="1"/>
    <col min="13314" max="13314" width="23" style="594" customWidth="1"/>
    <col min="13315" max="13568" width="11.42578125" style="594"/>
    <col min="13569" max="13569" width="54.42578125" style="594" customWidth="1"/>
    <col min="13570" max="13570" width="23" style="594" customWidth="1"/>
    <col min="13571" max="13824" width="11.42578125" style="594"/>
    <col min="13825" max="13825" width="54.42578125" style="594" customWidth="1"/>
    <col min="13826" max="13826" width="23" style="594" customWidth="1"/>
    <col min="13827" max="14080" width="11.42578125" style="594"/>
    <col min="14081" max="14081" width="54.42578125" style="594" customWidth="1"/>
    <col min="14082" max="14082" width="23" style="594" customWidth="1"/>
    <col min="14083" max="14336" width="11.42578125" style="594"/>
    <col min="14337" max="14337" width="54.42578125" style="594" customWidth="1"/>
    <col min="14338" max="14338" width="23" style="594" customWidth="1"/>
    <col min="14339" max="14592" width="11.42578125" style="594"/>
    <col min="14593" max="14593" width="54.42578125" style="594" customWidth="1"/>
    <col min="14594" max="14594" width="23" style="594" customWidth="1"/>
    <col min="14595" max="14848" width="11.42578125" style="594"/>
    <col min="14849" max="14849" width="54.42578125" style="594" customWidth="1"/>
    <col min="14850" max="14850" width="23" style="594" customWidth="1"/>
    <col min="14851" max="15104" width="11.42578125" style="594"/>
    <col min="15105" max="15105" width="54.42578125" style="594" customWidth="1"/>
    <col min="15106" max="15106" width="23" style="594" customWidth="1"/>
    <col min="15107" max="15360" width="11.42578125" style="594"/>
    <col min="15361" max="15361" width="54.42578125" style="594" customWidth="1"/>
    <col min="15362" max="15362" width="23" style="594" customWidth="1"/>
    <col min="15363" max="15616" width="11.42578125" style="594"/>
    <col min="15617" max="15617" width="54.42578125" style="594" customWidth="1"/>
    <col min="15618" max="15618" width="23" style="594" customWidth="1"/>
    <col min="15619" max="15872" width="11.42578125" style="594"/>
    <col min="15873" max="15873" width="54.42578125" style="594" customWidth="1"/>
    <col min="15874" max="15874" width="23" style="594" customWidth="1"/>
    <col min="15875" max="16128" width="11.42578125" style="594"/>
    <col min="16129" max="16129" width="54.42578125" style="594" customWidth="1"/>
    <col min="16130" max="16130" width="23" style="594" customWidth="1"/>
    <col min="16131" max="16384" width="11.42578125" style="594"/>
  </cols>
  <sheetData>
    <row r="3" spans="1:2" x14ac:dyDescent="0.2">
      <c r="A3" s="708" t="str">
        <f>+'[6]ANEXO 1'!A2</f>
        <v>MUNICIPALIDAD DE ALAJUELA</v>
      </c>
      <c r="B3" s="708"/>
    </row>
    <row r="4" spans="1:2" x14ac:dyDescent="0.2">
      <c r="A4" s="708" t="s">
        <v>365</v>
      </c>
      <c r="B4" s="708"/>
    </row>
    <row r="5" spans="1:2" ht="36" customHeight="1" x14ac:dyDescent="0.2">
      <c r="A5" s="709" t="s">
        <v>366</v>
      </c>
      <c r="B5" s="709"/>
    </row>
    <row r="7" spans="1:2" ht="13.5" thickBot="1" x14ac:dyDescent="0.25"/>
    <row r="8" spans="1:2" ht="17.25" customHeight="1" x14ac:dyDescent="0.2">
      <c r="A8" s="605" t="s">
        <v>367</v>
      </c>
      <c r="B8" s="606" t="s">
        <v>2</v>
      </c>
    </row>
    <row r="9" spans="1:2" x14ac:dyDescent="0.2">
      <c r="A9" s="607"/>
      <c r="B9" s="436"/>
    </row>
    <row r="10" spans="1:2" x14ac:dyDescent="0.2">
      <c r="A10" s="608" t="s">
        <v>368</v>
      </c>
      <c r="B10" s="609">
        <f>+'[2]Detalle General de Egresos'!$E$11</f>
        <v>8661522706.1815987</v>
      </c>
    </row>
    <row r="11" spans="1:2" x14ac:dyDescent="0.2">
      <c r="A11" s="607"/>
      <c r="B11" s="436"/>
    </row>
    <row r="12" spans="1:2" x14ac:dyDescent="0.2">
      <c r="A12" s="608" t="s">
        <v>369</v>
      </c>
      <c r="B12" s="609">
        <f>+'[2]Detalle General de Egresos'!$E$13</f>
        <v>1252993571.4100001</v>
      </c>
    </row>
    <row r="13" spans="1:2" x14ac:dyDescent="0.2">
      <c r="A13" s="607"/>
      <c r="B13" s="436"/>
    </row>
    <row r="14" spans="1:2" x14ac:dyDescent="0.2">
      <c r="A14" s="608" t="s">
        <v>370</v>
      </c>
      <c r="B14" s="609">
        <f>+'[2]Detalle General de Egresos'!$E$17</f>
        <v>6893638168.0600004</v>
      </c>
    </row>
    <row r="15" spans="1:2" x14ac:dyDescent="0.2">
      <c r="A15" s="607"/>
      <c r="B15" s="436"/>
    </row>
    <row r="16" spans="1:2" s="612" customFormat="1" ht="15.75" thickBot="1" x14ac:dyDescent="0.3">
      <c r="A16" s="610" t="s">
        <v>115</v>
      </c>
      <c r="B16" s="611">
        <f>B10+B12+B14</f>
        <v>16808154445.6516</v>
      </c>
    </row>
    <row r="18" spans="1:1" s="239" customFormat="1" x14ac:dyDescent="0.2">
      <c r="A18" s="241" t="s">
        <v>371</v>
      </c>
    </row>
    <row r="19" spans="1:1" s="239" customFormat="1" ht="18" customHeight="1" x14ac:dyDescent="0.2">
      <c r="A19" s="241" t="s">
        <v>372</v>
      </c>
    </row>
    <row r="20" spans="1:1" s="239" customFormat="1" x14ac:dyDescent="0.2">
      <c r="A20" s="241"/>
    </row>
  </sheetData>
  <mergeCells count="3">
    <mergeCell ref="A3:B3"/>
    <mergeCell ref="A4:B4"/>
    <mergeCell ref="A5:B5"/>
  </mergeCells>
  <printOptions horizontalCentered="1" verticalCentered="1"/>
  <pageMargins left="0.75" right="0.75" top="1" bottom="1"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election activeCell="B53" sqref="B53"/>
    </sheetView>
  </sheetViews>
  <sheetFormatPr baseColWidth="10" defaultColWidth="14.42578125" defaultRowHeight="15" customHeight="1" x14ac:dyDescent="0.2"/>
  <cols>
    <col min="1" max="1" width="54.42578125" customWidth="1"/>
    <col min="2" max="2" width="23" customWidth="1"/>
    <col min="3" max="3" width="19.42578125" customWidth="1"/>
    <col min="4" max="4" width="15.5703125" customWidth="1"/>
    <col min="5" max="26" width="10" customWidth="1"/>
  </cols>
  <sheetData>
    <row r="1" spans="1:4" ht="12.75" customHeight="1" x14ac:dyDescent="0.2">
      <c r="D1" s="3"/>
    </row>
    <row r="2" spans="1:4" ht="12.75" customHeight="1" x14ac:dyDescent="0.2">
      <c r="D2" s="3"/>
    </row>
    <row r="3" spans="1:4" ht="15.75" customHeight="1" x14ac:dyDescent="0.2">
      <c r="A3" s="677" t="s">
        <v>55</v>
      </c>
      <c r="B3" s="642"/>
      <c r="C3" s="642"/>
      <c r="D3" s="642"/>
    </row>
    <row r="4" spans="1:4" ht="15.75" customHeight="1" x14ac:dyDescent="0.2">
      <c r="A4" s="677" t="s">
        <v>122</v>
      </c>
      <c r="B4" s="642"/>
      <c r="C4" s="642"/>
      <c r="D4" s="642"/>
    </row>
    <row r="5" spans="1:4" ht="12.75" customHeight="1" x14ac:dyDescent="0.2">
      <c r="A5" s="679" t="s">
        <v>123</v>
      </c>
      <c r="B5" s="642"/>
      <c r="C5" s="642"/>
      <c r="D5" s="642"/>
    </row>
    <row r="6" spans="1:4" ht="13.5" customHeight="1" x14ac:dyDescent="0.2">
      <c r="D6" s="3"/>
    </row>
    <row r="7" spans="1:4" ht="17.25" customHeight="1" x14ac:dyDescent="0.2">
      <c r="A7" s="113" t="s">
        <v>124</v>
      </c>
      <c r="B7" s="114" t="s">
        <v>125</v>
      </c>
      <c r="C7" s="114" t="s">
        <v>126</v>
      </c>
      <c r="D7" s="115" t="s">
        <v>2</v>
      </c>
    </row>
    <row r="8" spans="1:4" ht="12.75" customHeight="1" x14ac:dyDescent="0.2">
      <c r="A8" s="10"/>
      <c r="B8" s="9"/>
      <c r="C8" s="9"/>
      <c r="D8" s="116"/>
    </row>
    <row r="9" spans="1:4" ht="12.75" customHeight="1" x14ac:dyDescent="0.2">
      <c r="A9" s="10"/>
      <c r="B9" s="9"/>
      <c r="C9" s="9"/>
      <c r="D9" s="116"/>
    </row>
    <row r="10" spans="1:4" ht="12.75" customHeight="1" x14ac:dyDescent="0.2">
      <c r="A10" s="10"/>
      <c r="B10" s="9"/>
      <c r="C10" s="9"/>
      <c r="D10" s="116"/>
    </row>
    <row r="11" spans="1:4" ht="12.75" customHeight="1" x14ac:dyDescent="0.2">
      <c r="A11" s="10"/>
      <c r="B11" s="9"/>
      <c r="C11" s="9"/>
      <c r="D11" s="116"/>
    </row>
    <row r="12" spans="1:4" ht="12.75" customHeight="1" x14ac:dyDescent="0.2">
      <c r="A12" s="10"/>
      <c r="B12" s="9"/>
      <c r="C12" s="9"/>
      <c r="D12" s="116"/>
    </row>
    <row r="13" spans="1:4" ht="12.75" customHeight="1" x14ac:dyDescent="0.2">
      <c r="A13" s="10"/>
      <c r="B13" s="9"/>
      <c r="C13" s="9"/>
      <c r="D13" s="116"/>
    </row>
    <row r="14" spans="1:4" ht="12.75" customHeight="1" x14ac:dyDescent="0.2">
      <c r="A14" s="10"/>
      <c r="B14" s="9"/>
      <c r="C14" s="9"/>
      <c r="D14" s="116"/>
    </row>
    <row r="15" spans="1:4" ht="12.75" customHeight="1" x14ac:dyDescent="0.2">
      <c r="A15" s="10"/>
      <c r="B15" s="9"/>
      <c r="C15" s="9"/>
      <c r="D15" s="116"/>
    </row>
    <row r="16" spans="1:4" ht="12.75" customHeight="1" x14ac:dyDescent="0.2">
      <c r="A16" s="10"/>
      <c r="B16" s="9"/>
      <c r="C16" s="9"/>
      <c r="D16" s="116"/>
    </row>
    <row r="17" spans="1:26" ht="12.75" customHeight="1" x14ac:dyDescent="0.2">
      <c r="A17" s="10"/>
      <c r="B17" s="9"/>
      <c r="C17" s="9"/>
      <c r="D17" s="116"/>
    </row>
    <row r="18" spans="1:26" ht="12.75" customHeight="1" x14ac:dyDescent="0.2">
      <c r="A18" s="10"/>
      <c r="B18" s="9"/>
      <c r="C18" s="9"/>
      <c r="D18" s="116"/>
    </row>
    <row r="19" spans="1:26" ht="12.75" customHeight="1" x14ac:dyDescent="0.2">
      <c r="A19" s="10"/>
      <c r="B19" s="9"/>
      <c r="C19" s="9"/>
      <c r="D19" s="116"/>
    </row>
    <row r="20" spans="1:26" ht="12.75" customHeight="1" x14ac:dyDescent="0.2">
      <c r="A20" s="10"/>
      <c r="B20" s="9"/>
      <c r="C20" s="9"/>
      <c r="D20" s="116"/>
    </row>
    <row r="21" spans="1:26" ht="12.75" customHeight="1" x14ac:dyDescent="0.2">
      <c r="A21" s="10"/>
      <c r="B21" s="9"/>
      <c r="C21" s="9"/>
      <c r="D21" s="116"/>
    </row>
    <row r="22" spans="1:26" ht="15.75" customHeight="1" x14ac:dyDescent="0.25">
      <c r="A22" s="117" t="s">
        <v>127</v>
      </c>
      <c r="B22" s="118"/>
      <c r="C22" s="118"/>
      <c r="D22" s="119">
        <f>SUM(D8:D21)</f>
        <v>0</v>
      </c>
      <c r="E22" s="6"/>
      <c r="F22" s="6"/>
      <c r="G22" s="6"/>
      <c r="H22" s="6"/>
      <c r="I22" s="6"/>
      <c r="J22" s="6"/>
      <c r="K22" s="6"/>
      <c r="L22" s="6"/>
      <c r="M22" s="6"/>
      <c r="N22" s="6"/>
      <c r="O22" s="6"/>
      <c r="P22" s="6"/>
      <c r="Q22" s="6"/>
      <c r="R22" s="6"/>
      <c r="S22" s="6"/>
      <c r="T22" s="6"/>
      <c r="U22" s="6"/>
      <c r="V22" s="6"/>
      <c r="W22" s="6"/>
      <c r="X22" s="6"/>
      <c r="Y22" s="6"/>
      <c r="Z22" s="6"/>
    </row>
    <row r="23" spans="1:26" ht="12.75" customHeight="1" x14ac:dyDescent="0.2">
      <c r="D23" s="3"/>
    </row>
    <row r="24" spans="1:26" ht="12.75" customHeight="1" x14ac:dyDescent="0.2">
      <c r="A24" s="99" t="s">
        <v>104</v>
      </c>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8" customHeight="1" x14ac:dyDescent="0.2">
      <c r="A25" s="99" t="s">
        <v>105</v>
      </c>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2.75" customHeight="1" x14ac:dyDescent="0.2">
      <c r="A26" s="99"/>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2.75" customHeight="1" x14ac:dyDescent="0.2">
      <c r="D27" s="3"/>
    </row>
    <row r="28" spans="1:26" ht="18" customHeight="1" x14ac:dyDescent="0.25">
      <c r="A28" s="40" t="s">
        <v>21</v>
      </c>
      <c r="B28" s="41"/>
      <c r="C28" s="2"/>
      <c r="D28" s="2"/>
    </row>
    <row r="29" spans="1:26" ht="12.75" customHeight="1" x14ac:dyDescent="0.2">
      <c r="D29" s="3"/>
    </row>
    <row r="30" spans="1:26" ht="12.75" customHeight="1" x14ac:dyDescent="0.2">
      <c r="D30" s="3"/>
    </row>
    <row r="31" spans="1:26" ht="12.75" customHeight="1" x14ac:dyDescent="0.2">
      <c r="D31" s="3"/>
    </row>
    <row r="32" spans="1:26" ht="12.75" customHeight="1" x14ac:dyDescent="0.2">
      <c r="D32" s="3"/>
    </row>
    <row r="33" spans="4:4" ht="12.75" customHeight="1" x14ac:dyDescent="0.2">
      <c r="D33" s="3"/>
    </row>
    <row r="34" spans="4:4" ht="12.75" customHeight="1" x14ac:dyDescent="0.2">
      <c r="D34" s="3"/>
    </row>
    <row r="35" spans="4:4" ht="12.75" customHeight="1" x14ac:dyDescent="0.2">
      <c r="D35" s="3"/>
    </row>
    <row r="36" spans="4:4" ht="12.75" customHeight="1" x14ac:dyDescent="0.2">
      <c r="D36" s="3"/>
    </row>
    <row r="37" spans="4:4" ht="12.75" customHeight="1" x14ac:dyDescent="0.2">
      <c r="D37" s="3"/>
    </row>
    <row r="38" spans="4:4" ht="12.75" customHeight="1" x14ac:dyDescent="0.2">
      <c r="D38" s="3"/>
    </row>
    <row r="39" spans="4:4" ht="12.75" customHeight="1" x14ac:dyDescent="0.2">
      <c r="D39" s="3"/>
    </row>
    <row r="40" spans="4:4" ht="12.75" customHeight="1" x14ac:dyDescent="0.2">
      <c r="D40" s="3"/>
    </row>
    <row r="41" spans="4:4" ht="12.75" customHeight="1" x14ac:dyDescent="0.2">
      <c r="D41" s="3"/>
    </row>
    <row r="42" spans="4:4" ht="12.75" customHeight="1" x14ac:dyDescent="0.2">
      <c r="D42" s="3"/>
    </row>
    <row r="43" spans="4:4" ht="12.75" customHeight="1" x14ac:dyDescent="0.2">
      <c r="D43" s="3"/>
    </row>
    <row r="44" spans="4:4" ht="12.75" customHeight="1" x14ac:dyDescent="0.2">
      <c r="D44" s="3"/>
    </row>
    <row r="45" spans="4:4" ht="12.75" customHeight="1" x14ac:dyDescent="0.2">
      <c r="D45" s="3"/>
    </row>
    <row r="46" spans="4:4" ht="12.75" customHeight="1" x14ac:dyDescent="0.2">
      <c r="D46" s="3"/>
    </row>
    <row r="47" spans="4:4" ht="12.75" customHeight="1" x14ac:dyDescent="0.2">
      <c r="D47" s="3"/>
    </row>
    <row r="48" spans="4:4" ht="12.75" customHeight="1" x14ac:dyDescent="0.2">
      <c r="D48" s="3"/>
    </row>
    <row r="49" spans="4:4" ht="12.75" customHeight="1" x14ac:dyDescent="0.2">
      <c r="D49" s="3"/>
    </row>
    <row r="50" spans="4:4" ht="12.75" customHeight="1" x14ac:dyDescent="0.2">
      <c r="D50" s="3"/>
    </row>
    <row r="51" spans="4:4" ht="12.75" customHeight="1" x14ac:dyDescent="0.2">
      <c r="D51" s="3"/>
    </row>
    <row r="52" spans="4:4" ht="12.75" customHeight="1" x14ac:dyDescent="0.2">
      <c r="D52" s="3"/>
    </row>
    <row r="53" spans="4:4" ht="12.75" customHeight="1" x14ac:dyDescent="0.2">
      <c r="D53" s="3"/>
    </row>
    <row r="54" spans="4:4" ht="12.75" customHeight="1" x14ac:dyDescent="0.2">
      <c r="D54" s="3"/>
    </row>
    <row r="55" spans="4:4" ht="12.75" customHeight="1" x14ac:dyDescent="0.2">
      <c r="D55" s="3"/>
    </row>
    <row r="56" spans="4:4" ht="12.75" customHeight="1" x14ac:dyDescent="0.2">
      <c r="D56" s="3"/>
    </row>
    <row r="57" spans="4:4" ht="12.75" customHeight="1" x14ac:dyDescent="0.2">
      <c r="D57" s="3"/>
    </row>
    <row r="58" spans="4:4" ht="12.75" customHeight="1" x14ac:dyDescent="0.2">
      <c r="D58" s="3"/>
    </row>
    <row r="59" spans="4:4" ht="12.75" customHeight="1" x14ac:dyDescent="0.2">
      <c r="D59" s="3"/>
    </row>
    <row r="60" spans="4:4" ht="12.75" customHeight="1" x14ac:dyDescent="0.2">
      <c r="D60" s="3"/>
    </row>
    <row r="61" spans="4:4" ht="12.75" customHeight="1" x14ac:dyDescent="0.2">
      <c r="D61" s="3"/>
    </row>
    <row r="62" spans="4:4" ht="12.75" customHeight="1" x14ac:dyDescent="0.2">
      <c r="D62" s="3"/>
    </row>
    <row r="63" spans="4:4" ht="12.75" customHeight="1" x14ac:dyDescent="0.2">
      <c r="D63" s="3"/>
    </row>
    <row r="64" spans="4:4" ht="12.75" customHeight="1" x14ac:dyDescent="0.2">
      <c r="D64" s="3"/>
    </row>
    <row r="65" spans="4:4" ht="12.75" customHeight="1" x14ac:dyDescent="0.2">
      <c r="D65" s="3"/>
    </row>
    <row r="66" spans="4:4" ht="12.75" customHeight="1" x14ac:dyDescent="0.2">
      <c r="D66" s="3"/>
    </row>
    <row r="67" spans="4:4" ht="12.75" customHeight="1" x14ac:dyDescent="0.2">
      <c r="D67" s="3"/>
    </row>
    <row r="68" spans="4:4" ht="12.75" customHeight="1" x14ac:dyDescent="0.2">
      <c r="D68" s="3"/>
    </row>
    <row r="69" spans="4:4" ht="12.75" customHeight="1" x14ac:dyDescent="0.2">
      <c r="D69" s="3"/>
    </row>
    <row r="70" spans="4:4" ht="12.75" customHeight="1" x14ac:dyDescent="0.2">
      <c r="D70" s="3"/>
    </row>
    <row r="71" spans="4:4" ht="12.75" customHeight="1" x14ac:dyDescent="0.2">
      <c r="D71" s="3"/>
    </row>
    <row r="72" spans="4:4" ht="12.75" customHeight="1" x14ac:dyDescent="0.2">
      <c r="D72" s="3"/>
    </row>
    <row r="73" spans="4:4" ht="12.75" customHeight="1" x14ac:dyDescent="0.2">
      <c r="D73" s="3"/>
    </row>
    <row r="74" spans="4:4" ht="12.75" customHeight="1" x14ac:dyDescent="0.2">
      <c r="D74" s="3"/>
    </row>
    <row r="75" spans="4:4" ht="12.75" customHeight="1" x14ac:dyDescent="0.2">
      <c r="D75" s="3"/>
    </row>
    <row r="76" spans="4:4" ht="12.75" customHeight="1" x14ac:dyDescent="0.2">
      <c r="D76" s="3"/>
    </row>
    <row r="77" spans="4:4" ht="12.75" customHeight="1" x14ac:dyDescent="0.2">
      <c r="D77" s="3"/>
    </row>
    <row r="78" spans="4:4" ht="12.75" customHeight="1" x14ac:dyDescent="0.2">
      <c r="D78" s="3"/>
    </row>
    <row r="79" spans="4:4" ht="12.75" customHeight="1" x14ac:dyDescent="0.2">
      <c r="D79" s="3"/>
    </row>
    <row r="80" spans="4:4" ht="12.75" customHeight="1" x14ac:dyDescent="0.2">
      <c r="D80" s="3"/>
    </row>
    <row r="81" spans="4:4" ht="12.75" customHeight="1" x14ac:dyDescent="0.2">
      <c r="D81" s="3"/>
    </row>
    <row r="82" spans="4:4" ht="12.75" customHeight="1" x14ac:dyDescent="0.2">
      <c r="D82" s="3"/>
    </row>
    <row r="83" spans="4:4" ht="12.75" customHeight="1" x14ac:dyDescent="0.2">
      <c r="D83" s="3"/>
    </row>
    <row r="84" spans="4:4" ht="12.75" customHeight="1" x14ac:dyDescent="0.2">
      <c r="D84" s="3"/>
    </row>
    <row r="85" spans="4:4" ht="12.75" customHeight="1" x14ac:dyDescent="0.2">
      <c r="D85" s="3"/>
    </row>
    <row r="86" spans="4:4" ht="12.75" customHeight="1" x14ac:dyDescent="0.2">
      <c r="D86" s="3"/>
    </row>
    <row r="87" spans="4:4" ht="12.75" customHeight="1" x14ac:dyDescent="0.2">
      <c r="D87" s="3"/>
    </row>
    <row r="88" spans="4:4" ht="12.75" customHeight="1" x14ac:dyDescent="0.2">
      <c r="D88" s="3"/>
    </row>
    <row r="89" spans="4:4" ht="12.75" customHeight="1" x14ac:dyDescent="0.2">
      <c r="D89" s="3"/>
    </row>
    <row r="90" spans="4:4" ht="12.75" customHeight="1" x14ac:dyDescent="0.2">
      <c r="D90" s="3"/>
    </row>
    <row r="91" spans="4:4" ht="12.75" customHeight="1" x14ac:dyDescent="0.2">
      <c r="D91" s="3"/>
    </row>
    <row r="92" spans="4:4" ht="12.75" customHeight="1" x14ac:dyDescent="0.2">
      <c r="D92" s="3"/>
    </row>
    <row r="93" spans="4:4" ht="12.75" customHeight="1" x14ac:dyDescent="0.2">
      <c r="D93" s="3"/>
    </row>
    <row r="94" spans="4:4" ht="12.75" customHeight="1" x14ac:dyDescent="0.2">
      <c r="D94" s="3"/>
    </row>
    <row r="95" spans="4:4" ht="12.75" customHeight="1" x14ac:dyDescent="0.2">
      <c r="D95" s="3"/>
    </row>
    <row r="96" spans="4:4" ht="12.75" customHeight="1" x14ac:dyDescent="0.2">
      <c r="D96" s="3"/>
    </row>
    <row r="97" spans="4:4" ht="12.75" customHeight="1" x14ac:dyDescent="0.2">
      <c r="D97" s="3"/>
    </row>
    <row r="98" spans="4:4" ht="12.75" customHeight="1" x14ac:dyDescent="0.2">
      <c r="D98" s="3"/>
    </row>
    <row r="99" spans="4:4" ht="12.75" customHeight="1" x14ac:dyDescent="0.2">
      <c r="D99" s="3"/>
    </row>
    <row r="100" spans="4:4" ht="12.75" customHeight="1" x14ac:dyDescent="0.2">
      <c r="D100" s="3"/>
    </row>
    <row r="101" spans="4:4" ht="12.75" customHeight="1" x14ac:dyDescent="0.2">
      <c r="D101" s="3"/>
    </row>
    <row r="102" spans="4:4" ht="12.75" customHeight="1" x14ac:dyDescent="0.2">
      <c r="D102" s="3"/>
    </row>
    <row r="103" spans="4:4" ht="12.75" customHeight="1" x14ac:dyDescent="0.2">
      <c r="D103" s="3"/>
    </row>
    <row r="104" spans="4:4" ht="12.75" customHeight="1" x14ac:dyDescent="0.2">
      <c r="D104" s="3"/>
    </row>
    <row r="105" spans="4:4" ht="12.75" customHeight="1" x14ac:dyDescent="0.2">
      <c r="D105" s="3"/>
    </row>
    <row r="106" spans="4:4" ht="12.75" customHeight="1" x14ac:dyDescent="0.2">
      <c r="D106" s="3"/>
    </row>
    <row r="107" spans="4:4" ht="12.75" customHeight="1" x14ac:dyDescent="0.2">
      <c r="D107" s="3"/>
    </row>
    <row r="108" spans="4:4" ht="12.75" customHeight="1" x14ac:dyDescent="0.2">
      <c r="D108" s="3"/>
    </row>
    <row r="109" spans="4:4" ht="12.75" customHeight="1" x14ac:dyDescent="0.2">
      <c r="D109" s="3"/>
    </row>
    <row r="110" spans="4:4" ht="12.75" customHeight="1" x14ac:dyDescent="0.2">
      <c r="D110" s="3"/>
    </row>
    <row r="111" spans="4:4" ht="12.75" customHeight="1" x14ac:dyDescent="0.2">
      <c r="D111" s="3"/>
    </row>
    <row r="112" spans="4:4" ht="12.75" customHeight="1" x14ac:dyDescent="0.2">
      <c r="D112" s="3"/>
    </row>
    <row r="113" spans="4:4" ht="12.75" customHeight="1" x14ac:dyDescent="0.2">
      <c r="D113" s="3"/>
    </row>
    <row r="114" spans="4:4" ht="12.75" customHeight="1" x14ac:dyDescent="0.2">
      <c r="D114" s="3"/>
    </row>
    <row r="115" spans="4:4" ht="12.75" customHeight="1" x14ac:dyDescent="0.2">
      <c r="D115" s="3"/>
    </row>
    <row r="116" spans="4:4" ht="12.75" customHeight="1" x14ac:dyDescent="0.2">
      <c r="D116" s="3"/>
    </row>
    <row r="117" spans="4:4" ht="12.75" customHeight="1" x14ac:dyDescent="0.2">
      <c r="D117" s="3"/>
    </row>
    <row r="118" spans="4:4" ht="12.75" customHeight="1" x14ac:dyDescent="0.2">
      <c r="D118" s="3"/>
    </row>
    <row r="119" spans="4:4" ht="12.75" customHeight="1" x14ac:dyDescent="0.2">
      <c r="D119" s="3"/>
    </row>
    <row r="120" spans="4:4" ht="12.75" customHeight="1" x14ac:dyDescent="0.2">
      <c r="D120" s="3"/>
    </row>
    <row r="121" spans="4:4" ht="12.75" customHeight="1" x14ac:dyDescent="0.2">
      <c r="D121" s="3"/>
    </row>
    <row r="122" spans="4:4" ht="12.75" customHeight="1" x14ac:dyDescent="0.2">
      <c r="D122" s="3"/>
    </row>
    <row r="123" spans="4:4" ht="12.75" customHeight="1" x14ac:dyDescent="0.2">
      <c r="D123" s="3"/>
    </row>
    <row r="124" spans="4:4" ht="12.75" customHeight="1" x14ac:dyDescent="0.2">
      <c r="D124" s="3"/>
    </row>
    <row r="125" spans="4:4" ht="12.75" customHeight="1" x14ac:dyDescent="0.2">
      <c r="D125" s="3"/>
    </row>
    <row r="126" spans="4:4" ht="12.75" customHeight="1" x14ac:dyDescent="0.2">
      <c r="D126" s="3"/>
    </row>
    <row r="127" spans="4:4" ht="12.75" customHeight="1" x14ac:dyDescent="0.2">
      <c r="D127" s="3"/>
    </row>
    <row r="128" spans="4:4" ht="12.75" customHeight="1" x14ac:dyDescent="0.2">
      <c r="D128" s="3"/>
    </row>
    <row r="129" spans="4:4" ht="12.75" customHeight="1" x14ac:dyDescent="0.2">
      <c r="D129" s="3"/>
    </row>
    <row r="130" spans="4:4" ht="12.75" customHeight="1" x14ac:dyDescent="0.2">
      <c r="D130" s="3"/>
    </row>
    <row r="131" spans="4:4" ht="12.75" customHeight="1" x14ac:dyDescent="0.2">
      <c r="D131" s="3"/>
    </row>
    <row r="132" spans="4:4" ht="12.75" customHeight="1" x14ac:dyDescent="0.2">
      <c r="D132" s="3"/>
    </row>
    <row r="133" spans="4:4" ht="12.75" customHeight="1" x14ac:dyDescent="0.2">
      <c r="D133" s="3"/>
    </row>
    <row r="134" spans="4:4" ht="12.75" customHeight="1" x14ac:dyDescent="0.2">
      <c r="D134" s="3"/>
    </row>
    <row r="135" spans="4:4" ht="12.75" customHeight="1" x14ac:dyDescent="0.2">
      <c r="D135" s="3"/>
    </row>
    <row r="136" spans="4:4" ht="12.75" customHeight="1" x14ac:dyDescent="0.2">
      <c r="D136" s="3"/>
    </row>
    <row r="137" spans="4:4" ht="12.75" customHeight="1" x14ac:dyDescent="0.2">
      <c r="D137" s="3"/>
    </row>
    <row r="138" spans="4:4" ht="12.75" customHeight="1" x14ac:dyDescent="0.2">
      <c r="D138" s="3"/>
    </row>
    <row r="139" spans="4:4" ht="12.75" customHeight="1" x14ac:dyDescent="0.2">
      <c r="D139" s="3"/>
    </row>
    <row r="140" spans="4:4" ht="12.75" customHeight="1" x14ac:dyDescent="0.2">
      <c r="D140" s="3"/>
    </row>
    <row r="141" spans="4:4" ht="12.75" customHeight="1" x14ac:dyDescent="0.2">
      <c r="D141" s="3"/>
    </row>
    <row r="142" spans="4:4" ht="12.75" customHeight="1" x14ac:dyDescent="0.2">
      <c r="D142" s="3"/>
    </row>
    <row r="143" spans="4:4" ht="12.75" customHeight="1" x14ac:dyDescent="0.2">
      <c r="D143" s="3"/>
    </row>
    <row r="144" spans="4:4" ht="12.75" customHeight="1" x14ac:dyDescent="0.2">
      <c r="D144" s="3"/>
    </row>
    <row r="145" spans="4:4" ht="12.75" customHeight="1" x14ac:dyDescent="0.2">
      <c r="D145" s="3"/>
    </row>
    <row r="146" spans="4:4" ht="12.75" customHeight="1" x14ac:dyDescent="0.2">
      <c r="D146" s="3"/>
    </row>
    <row r="147" spans="4:4" ht="12.75" customHeight="1" x14ac:dyDescent="0.2">
      <c r="D147" s="3"/>
    </row>
    <row r="148" spans="4:4" ht="12.75" customHeight="1" x14ac:dyDescent="0.2">
      <c r="D148" s="3"/>
    </row>
    <row r="149" spans="4:4" ht="12.75" customHeight="1" x14ac:dyDescent="0.2">
      <c r="D149" s="3"/>
    </row>
    <row r="150" spans="4:4" ht="12.75" customHeight="1" x14ac:dyDescent="0.2">
      <c r="D150" s="3"/>
    </row>
    <row r="151" spans="4:4" ht="12.75" customHeight="1" x14ac:dyDescent="0.2">
      <c r="D151" s="3"/>
    </row>
    <row r="152" spans="4:4" ht="12.75" customHeight="1" x14ac:dyDescent="0.2">
      <c r="D152" s="3"/>
    </row>
    <row r="153" spans="4:4" ht="12.75" customHeight="1" x14ac:dyDescent="0.2">
      <c r="D153" s="3"/>
    </row>
    <row r="154" spans="4:4" ht="12.75" customHeight="1" x14ac:dyDescent="0.2">
      <c r="D154" s="3"/>
    </row>
    <row r="155" spans="4:4" ht="12.75" customHeight="1" x14ac:dyDescent="0.2">
      <c r="D155" s="3"/>
    </row>
    <row r="156" spans="4:4" ht="12.75" customHeight="1" x14ac:dyDescent="0.2">
      <c r="D156" s="3"/>
    </row>
    <row r="157" spans="4:4" ht="12.75" customHeight="1" x14ac:dyDescent="0.2">
      <c r="D157" s="3"/>
    </row>
    <row r="158" spans="4:4" ht="12.75" customHeight="1" x14ac:dyDescent="0.2">
      <c r="D158" s="3"/>
    </row>
    <row r="159" spans="4:4" ht="12.75" customHeight="1" x14ac:dyDescent="0.2">
      <c r="D159" s="3"/>
    </row>
    <row r="160" spans="4:4" ht="12.75" customHeight="1" x14ac:dyDescent="0.2">
      <c r="D160" s="3"/>
    </row>
    <row r="161" spans="4:4" ht="12.75" customHeight="1" x14ac:dyDescent="0.2">
      <c r="D161" s="3"/>
    </row>
    <row r="162" spans="4:4" ht="12.75" customHeight="1" x14ac:dyDescent="0.2">
      <c r="D162" s="3"/>
    </row>
    <row r="163" spans="4:4" ht="12.75" customHeight="1" x14ac:dyDescent="0.2">
      <c r="D163" s="3"/>
    </row>
    <row r="164" spans="4:4" ht="12.75" customHeight="1" x14ac:dyDescent="0.2">
      <c r="D164" s="3"/>
    </row>
    <row r="165" spans="4:4" ht="12.75" customHeight="1" x14ac:dyDescent="0.2">
      <c r="D165" s="3"/>
    </row>
    <row r="166" spans="4:4" ht="12.75" customHeight="1" x14ac:dyDescent="0.2">
      <c r="D166" s="3"/>
    </row>
    <row r="167" spans="4:4" ht="12.75" customHeight="1" x14ac:dyDescent="0.2">
      <c r="D167" s="3"/>
    </row>
    <row r="168" spans="4:4" ht="12.75" customHeight="1" x14ac:dyDescent="0.2">
      <c r="D168" s="3"/>
    </row>
    <row r="169" spans="4:4" ht="12.75" customHeight="1" x14ac:dyDescent="0.2">
      <c r="D169" s="3"/>
    </row>
    <row r="170" spans="4:4" ht="12.75" customHeight="1" x14ac:dyDescent="0.2">
      <c r="D170" s="3"/>
    </row>
    <row r="171" spans="4:4" ht="12.75" customHeight="1" x14ac:dyDescent="0.2">
      <c r="D171" s="3"/>
    </row>
    <row r="172" spans="4:4" ht="12.75" customHeight="1" x14ac:dyDescent="0.2">
      <c r="D172" s="3"/>
    </row>
    <row r="173" spans="4:4" ht="12.75" customHeight="1" x14ac:dyDescent="0.2">
      <c r="D173" s="3"/>
    </row>
    <row r="174" spans="4:4" ht="12.75" customHeight="1" x14ac:dyDescent="0.2">
      <c r="D174" s="3"/>
    </row>
    <row r="175" spans="4:4" ht="12.75" customHeight="1" x14ac:dyDescent="0.2">
      <c r="D175" s="3"/>
    </row>
    <row r="176" spans="4:4" ht="12.75" customHeight="1" x14ac:dyDescent="0.2">
      <c r="D176" s="3"/>
    </row>
    <row r="177" spans="4:4" ht="12.75" customHeight="1" x14ac:dyDescent="0.2">
      <c r="D177" s="3"/>
    </row>
    <row r="178" spans="4:4" ht="12.75" customHeight="1" x14ac:dyDescent="0.2">
      <c r="D178" s="3"/>
    </row>
    <row r="179" spans="4:4" ht="12.75" customHeight="1" x14ac:dyDescent="0.2">
      <c r="D179" s="3"/>
    </row>
    <row r="180" spans="4:4" ht="12.75" customHeight="1" x14ac:dyDescent="0.2">
      <c r="D180" s="3"/>
    </row>
    <row r="181" spans="4:4" ht="12.75" customHeight="1" x14ac:dyDescent="0.2">
      <c r="D181" s="3"/>
    </row>
    <row r="182" spans="4:4" ht="12.75" customHeight="1" x14ac:dyDescent="0.2">
      <c r="D182" s="3"/>
    </row>
    <row r="183" spans="4:4" ht="12.75" customHeight="1" x14ac:dyDescent="0.2">
      <c r="D183" s="3"/>
    </row>
    <row r="184" spans="4:4" ht="12.75" customHeight="1" x14ac:dyDescent="0.2">
      <c r="D184" s="3"/>
    </row>
    <row r="185" spans="4:4" ht="12.75" customHeight="1" x14ac:dyDescent="0.2">
      <c r="D185" s="3"/>
    </row>
    <row r="186" spans="4:4" ht="12.75" customHeight="1" x14ac:dyDescent="0.2">
      <c r="D186" s="3"/>
    </row>
    <row r="187" spans="4:4" ht="12.75" customHeight="1" x14ac:dyDescent="0.2">
      <c r="D187" s="3"/>
    </row>
    <row r="188" spans="4:4" ht="12.75" customHeight="1" x14ac:dyDescent="0.2">
      <c r="D188" s="3"/>
    </row>
    <row r="189" spans="4:4" ht="12.75" customHeight="1" x14ac:dyDescent="0.2">
      <c r="D189" s="3"/>
    </row>
    <row r="190" spans="4:4" ht="12.75" customHeight="1" x14ac:dyDescent="0.2">
      <c r="D190" s="3"/>
    </row>
    <row r="191" spans="4:4" ht="12.75" customHeight="1" x14ac:dyDescent="0.2">
      <c r="D191" s="3"/>
    </row>
    <row r="192" spans="4:4" ht="12.75" customHeight="1" x14ac:dyDescent="0.2">
      <c r="D192" s="3"/>
    </row>
    <row r="193" spans="4:4" ht="12.75" customHeight="1" x14ac:dyDescent="0.2">
      <c r="D193" s="3"/>
    </row>
    <row r="194" spans="4:4" ht="12.75" customHeight="1" x14ac:dyDescent="0.2">
      <c r="D194" s="3"/>
    </row>
    <row r="195" spans="4:4" ht="12.75" customHeight="1" x14ac:dyDescent="0.2">
      <c r="D195" s="3"/>
    </row>
    <row r="196" spans="4:4" ht="12.75" customHeight="1" x14ac:dyDescent="0.2">
      <c r="D196" s="3"/>
    </row>
    <row r="197" spans="4:4" ht="12.75" customHeight="1" x14ac:dyDescent="0.2">
      <c r="D197" s="3"/>
    </row>
    <row r="198" spans="4:4" ht="12.75" customHeight="1" x14ac:dyDescent="0.2">
      <c r="D198" s="3"/>
    </row>
    <row r="199" spans="4:4" ht="12.75" customHeight="1" x14ac:dyDescent="0.2">
      <c r="D199" s="3"/>
    </row>
    <row r="200" spans="4:4" ht="12.75" customHeight="1" x14ac:dyDescent="0.2">
      <c r="D200" s="3"/>
    </row>
    <row r="201" spans="4:4" ht="12.75" customHeight="1" x14ac:dyDescent="0.2">
      <c r="D201" s="3"/>
    </row>
    <row r="202" spans="4:4" ht="12.75" customHeight="1" x14ac:dyDescent="0.2">
      <c r="D202" s="3"/>
    </row>
    <row r="203" spans="4:4" ht="12.75" customHeight="1" x14ac:dyDescent="0.2">
      <c r="D203" s="3"/>
    </row>
    <row r="204" spans="4:4" ht="12.75" customHeight="1" x14ac:dyDescent="0.2">
      <c r="D204" s="3"/>
    </row>
    <row r="205" spans="4:4" ht="12.75" customHeight="1" x14ac:dyDescent="0.2">
      <c r="D205" s="3"/>
    </row>
    <row r="206" spans="4:4" ht="12.75" customHeight="1" x14ac:dyDescent="0.2">
      <c r="D206" s="3"/>
    </row>
    <row r="207" spans="4:4" ht="12.75" customHeight="1" x14ac:dyDescent="0.2">
      <c r="D207" s="3"/>
    </row>
    <row r="208" spans="4:4" ht="12.75" customHeight="1" x14ac:dyDescent="0.2">
      <c r="D208" s="3"/>
    </row>
    <row r="209" spans="4:4" ht="12.75" customHeight="1" x14ac:dyDescent="0.2">
      <c r="D209" s="3"/>
    </row>
    <row r="210" spans="4:4" ht="12.75" customHeight="1" x14ac:dyDescent="0.2">
      <c r="D210" s="3"/>
    </row>
    <row r="211" spans="4:4" ht="12.75" customHeight="1" x14ac:dyDescent="0.2">
      <c r="D211" s="3"/>
    </row>
    <row r="212" spans="4:4" ht="12.75" customHeight="1" x14ac:dyDescent="0.2">
      <c r="D212" s="3"/>
    </row>
    <row r="213" spans="4:4" ht="12.75" customHeight="1" x14ac:dyDescent="0.2">
      <c r="D213" s="3"/>
    </row>
    <row r="214" spans="4:4" ht="12.75" customHeight="1" x14ac:dyDescent="0.2">
      <c r="D214" s="3"/>
    </row>
    <row r="215" spans="4:4" ht="12.75" customHeight="1" x14ac:dyDescent="0.2">
      <c r="D215" s="3"/>
    </row>
    <row r="216" spans="4:4" ht="12.75" customHeight="1" x14ac:dyDescent="0.2">
      <c r="D216" s="3"/>
    </row>
    <row r="217" spans="4:4" ht="12.75" customHeight="1" x14ac:dyDescent="0.2">
      <c r="D217" s="3"/>
    </row>
    <row r="218" spans="4:4" ht="12.75" customHeight="1" x14ac:dyDescent="0.2">
      <c r="D218" s="3"/>
    </row>
    <row r="219" spans="4:4" ht="12.75" customHeight="1" x14ac:dyDescent="0.2">
      <c r="D219" s="3"/>
    </row>
    <row r="220" spans="4:4" ht="12.75" customHeight="1" x14ac:dyDescent="0.2">
      <c r="D220" s="3"/>
    </row>
    <row r="221" spans="4:4" ht="12.75" customHeight="1" x14ac:dyDescent="0.2">
      <c r="D221" s="3"/>
    </row>
    <row r="222" spans="4:4" ht="12.75" customHeight="1" x14ac:dyDescent="0.2">
      <c r="D222" s="3"/>
    </row>
    <row r="223" spans="4:4" ht="12.75" customHeight="1" x14ac:dyDescent="0.2">
      <c r="D223" s="3"/>
    </row>
    <row r="224" spans="4:4" ht="12.75" customHeight="1" x14ac:dyDescent="0.2">
      <c r="D224" s="3"/>
    </row>
    <row r="225" spans="4:4" ht="12.75" customHeight="1" x14ac:dyDescent="0.2">
      <c r="D225" s="3"/>
    </row>
    <row r="226" spans="4:4" ht="12.75" customHeight="1" x14ac:dyDescent="0.2">
      <c r="D226" s="3"/>
    </row>
    <row r="227" spans="4:4" ht="12.75" customHeight="1" x14ac:dyDescent="0.2">
      <c r="D227" s="3"/>
    </row>
    <row r="228" spans="4:4" ht="12.75" customHeight="1" x14ac:dyDescent="0.2">
      <c r="D228" s="3"/>
    </row>
    <row r="229" spans="4:4" ht="12.75" customHeight="1" x14ac:dyDescent="0.2">
      <c r="D229" s="3"/>
    </row>
    <row r="230" spans="4:4" ht="12.75" customHeight="1" x14ac:dyDescent="0.2">
      <c r="D230" s="3"/>
    </row>
    <row r="231" spans="4:4" ht="12.75" customHeight="1" x14ac:dyDescent="0.2">
      <c r="D231" s="3"/>
    </row>
    <row r="232" spans="4:4" ht="12.75" customHeight="1" x14ac:dyDescent="0.2">
      <c r="D232" s="3"/>
    </row>
    <row r="233" spans="4:4" ht="12.75" customHeight="1" x14ac:dyDescent="0.2">
      <c r="D233" s="3"/>
    </row>
    <row r="234" spans="4:4" ht="12.75" customHeight="1" x14ac:dyDescent="0.2">
      <c r="D234" s="3"/>
    </row>
    <row r="235" spans="4:4" ht="12.75" customHeight="1" x14ac:dyDescent="0.2">
      <c r="D235" s="3"/>
    </row>
    <row r="236" spans="4:4" ht="12.75" customHeight="1" x14ac:dyDescent="0.2">
      <c r="D236" s="3"/>
    </row>
    <row r="237" spans="4:4" ht="12.75" customHeight="1" x14ac:dyDescent="0.2">
      <c r="D237" s="3"/>
    </row>
    <row r="238" spans="4:4" ht="12.75" customHeight="1" x14ac:dyDescent="0.2">
      <c r="D238" s="3"/>
    </row>
    <row r="239" spans="4:4" ht="12.75" customHeight="1" x14ac:dyDescent="0.2">
      <c r="D239" s="3"/>
    </row>
    <row r="240" spans="4:4" ht="12.75" customHeight="1" x14ac:dyDescent="0.2">
      <c r="D240" s="3"/>
    </row>
    <row r="241" spans="4:4" ht="12.75" customHeight="1" x14ac:dyDescent="0.2">
      <c r="D241" s="3"/>
    </row>
    <row r="242" spans="4:4" ht="12.75" customHeight="1" x14ac:dyDescent="0.2">
      <c r="D242" s="3"/>
    </row>
    <row r="243" spans="4:4" ht="12.75" customHeight="1" x14ac:dyDescent="0.2">
      <c r="D243" s="3"/>
    </row>
    <row r="244" spans="4:4" ht="12.75" customHeight="1" x14ac:dyDescent="0.2">
      <c r="D244" s="3"/>
    </row>
    <row r="245" spans="4:4" ht="12.75" customHeight="1" x14ac:dyDescent="0.2">
      <c r="D245" s="3"/>
    </row>
    <row r="246" spans="4:4" ht="12.75" customHeight="1" x14ac:dyDescent="0.2">
      <c r="D246" s="3"/>
    </row>
    <row r="247" spans="4:4" ht="12.75" customHeight="1" x14ac:dyDescent="0.2">
      <c r="D247" s="3"/>
    </row>
    <row r="248" spans="4:4" ht="12.75" customHeight="1" x14ac:dyDescent="0.2">
      <c r="D248" s="3"/>
    </row>
    <row r="249" spans="4:4" ht="12.75" customHeight="1" x14ac:dyDescent="0.2">
      <c r="D249" s="3"/>
    </row>
    <row r="250" spans="4:4" ht="12.75" customHeight="1" x14ac:dyDescent="0.2">
      <c r="D250" s="3"/>
    </row>
    <row r="251" spans="4:4" ht="12.75" customHeight="1" x14ac:dyDescent="0.2">
      <c r="D251" s="3"/>
    </row>
    <row r="252" spans="4:4" ht="12.75" customHeight="1" x14ac:dyDescent="0.2">
      <c r="D252" s="3"/>
    </row>
    <row r="253" spans="4:4" ht="12.75" customHeight="1" x14ac:dyDescent="0.2">
      <c r="D253" s="3"/>
    </row>
    <row r="254" spans="4:4" ht="12.75" customHeight="1" x14ac:dyDescent="0.2">
      <c r="D254" s="3"/>
    </row>
    <row r="255" spans="4:4" ht="12.75" customHeight="1" x14ac:dyDescent="0.2">
      <c r="D255" s="3"/>
    </row>
    <row r="256" spans="4:4" ht="12.75" customHeight="1" x14ac:dyDescent="0.2">
      <c r="D256" s="3"/>
    </row>
    <row r="257" spans="4:4" ht="12.75" customHeight="1" x14ac:dyDescent="0.2">
      <c r="D257" s="3"/>
    </row>
    <row r="258" spans="4:4" ht="12.75" customHeight="1" x14ac:dyDescent="0.2">
      <c r="D258" s="3"/>
    </row>
    <row r="259" spans="4:4" ht="12.75" customHeight="1" x14ac:dyDescent="0.2">
      <c r="D259" s="3"/>
    </row>
    <row r="260" spans="4:4" ht="12.75" customHeight="1" x14ac:dyDescent="0.2">
      <c r="D260" s="3"/>
    </row>
    <row r="261" spans="4:4" ht="12.75" customHeight="1" x14ac:dyDescent="0.2">
      <c r="D261" s="3"/>
    </row>
    <row r="262" spans="4:4" ht="12.75" customHeight="1" x14ac:dyDescent="0.2">
      <c r="D262" s="3"/>
    </row>
    <row r="263" spans="4:4" ht="12.75" customHeight="1" x14ac:dyDescent="0.2">
      <c r="D263" s="3"/>
    </row>
    <row r="264" spans="4:4" ht="12.75" customHeight="1" x14ac:dyDescent="0.2">
      <c r="D264" s="3"/>
    </row>
    <row r="265" spans="4:4" ht="12.75" customHeight="1" x14ac:dyDescent="0.2">
      <c r="D265" s="3"/>
    </row>
    <row r="266" spans="4:4" ht="12.75" customHeight="1" x14ac:dyDescent="0.2">
      <c r="D266" s="3"/>
    </row>
    <row r="267" spans="4:4" ht="12.75" customHeight="1" x14ac:dyDescent="0.2">
      <c r="D267" s="3"/>
    </row>
    <row r="268" spans="4:4" ht="12.75" customHeight="1" x14ac:dyDescent="0.2">
      <c r="D268" s="3"/>
    </row>
    <row r="269" spans="4:4" ht="12.75" customHeight="1" x14ac:dyDescent="0.2">
      <c r="D269" s="3"/>
    </row>
    <row r="270" spans="4:4" ht="12.75" customHeight="1" x14ac:dyDescent="0.2">
      <c r="D270" s="3"/>
    </row>
    <row r="271" spans="4:4" ht="12.75" customHeight="1" x14ac:dyDescent="0.2">
      <c r="D271" s="3"/>
    </row>
    <row r="272" spans="4:4" ht="12.75" customHeight="1" x14ac:dyDescent="0.2">
      <c r="D272" s="3"/>
    </row>
    <row r="273" spans="4:4" ht="12.75" customHeight="1" x14ac:dyDescent="0.2">
      <c r="D273" s="3"/>
    </row>
    <row r="274" spans="4:4" ht="12.75" customHeight="1" x14ac:dyDescent="0.2">
      <c r="D274" s="3"/>
    </row>
    <row r="275" spans="4:4" ht="12.75" customHeight="1" x14ac:dyDescent="0.2">
      <c r="D275" s="3"/>
    </row>
    <row r="276" spans="4:4" ht="12.75" customHeight="1" x14ac:dyDescent="0.2">
      <c r="D276" s="3"/>
    </row>
    <row r="277" spans="4:4" ht="12.75" customHeight="1" x14ac:dyDescent="0.2">
      <c r="D277" s="3"/>
    </row>
    <row r="278" spans="4:4" ht="12.75" customHeight="1" x14ac:dyDescent="0.2">
      <c r="D278" s="3"/>
    </row>
    <row r="279" spans="4:4" ht="12.75" customHeight="1" x14ac:dyDescent="0.2">
      <c r="D279" s="3"/>
    </row>
    <row r="280" spans="4:4" ht="12.75" customHeight="1" x14ac:dyDescent="0.2">
      <c r="D280" s="3"/>
    </row>
    <row r="281" spans="4:4" ht="12.75" customHeight="1" x14ac:dyDescent="0.2">
      <c r="D281" s="3"/>
    </row>
    <row r="282" spans="4:4" ht="12.75" customHeight="1" x14ac:dyDescent="0.2">
      <c r="D282" s="3"/>
    </row>
    <row r="283" spans="4:4" ht="12.75" customHeight="1" x14ac:dyDescent="0.2">
      <c r="D283" s="3"/>
    </row>
    <row r="284" spans="4:4" ht="12.75" customHeight="1" x14ac:dyDescent="0.2">
      <c r="D284" s="3"/>
    </row>
    <row r="285" spans="4:4" ht="12.75" customHeight="1" x14ac:dyDescent="0.2">
      <c r="D285" s="3"/>
    </row>
    <row r="286" spans="4:4" ht="12.75" customHeight="1" x14ac:dyDescent="0.2">
      <c r="D286" s="3"/>
    </row>
    <row r="287" spans="4:4" ht="12.75" customHeight="1" x14ac:dyDescent="0.2">
      <c r="D287" s="3"/>
    </row>
    <row r="288" spans="4:4" ht="12.75" customHeight="1" x14ac:dyDescent="0.2">
      <c r="D288" s="3"/>
    </row>
    <row r="289" spans="4:4" ht="12.75" customHeight="1" x14ac:dyDescent="0.2">
      <c r="D289" s="3"/>
    </row>
    <row r="290" spans="4:4" ht="12.75" customHeight="1" x14ac:dyDescent="0.2">
      <c r="D290" s="3"/>
    </row>
    <row r="291" spans="4:4" ht="12.75" customHeight="1" x14ac:dyDescent="0.2">
      <c r="D291" s="3"/>
    </row>
    <row r="292" spans="4:4" ht="12.75" customHeight="1" x14ac:dyDescent="0.2">
      <c r="D292" s="3"/>
    </row>
    <row r="293" spans="4:4" ht="12.75" customHeight="1" x14ac:dyDescent="0.2">
      <c r="D293" s="3"/>
    </row>
    <row r="294" spans="4:4" ht="12.75" customHeight="1" x14ac:dyDescent="0.2">
      <c r="D294" s="3"/>
    </row>
    <row r="295" spans="4:4" ht="12.75" customHeight="1" x14ac:dyDescent="0.2">
      <c r="D295" s="3"/>
    </row>
    <row r="296" spans="4:4" ht="12.75" customHeight="1" x14ac:dyDescent="0.2">
      <c r="D296" s="3"/>
    </row>
    <row r="297" spans="4:4" ht="12.75" customHeight="1" x14ac:dyDescent="0.2">
      <c r="D297" s="3"/>
    </row>
    <row r="298" spans="4:4" ht="12.75" customHeight="1" x14ac:dyDescent="0.2">
      <c r="D298" s="3"/>
    </row>
    <row r="299" spans="4:4" ht="12.75" customHeight="1" x14ac:dyDescent="0.2">
      <c r="D299" s="3"/>
    </row>
    <row r="300" spans="4:4" ht="12.75" customHeight="1" x14ac:dyDescent="0.2">
      <c r="D300" s="3"/>
    </row>
    <row r="301" spans="4:4" ht="12.75" customHeight="1" x14ac:dyDescent="0.2">
      <c r="D301" s="3"/>
    </row>
    <row r="302" spans="4:4" ht="12.75" customHeight="1" x14ac:dyDescent="0.2">
      <c r="D302" s="3"/>
    </row>
    <row r="303" spans="4:4" ht="12.75" customHeight="1" x14ac:dyDescent="0.2">
      <c r="D303" s="3"/>
    </row>
    <row r="304" spans="4:4" ht="12.75" customHeight="1" x14ac:dyDescent="0.2">
      <c r="D304" s="3"/>
    </row>
    <row r="305" spans="4:4" ht="12.75" customHeight="1" x14ac:dyDescent="0.2">
      <c r="D305" s="3"/>
    </row>
    <row r="306" spans="4:4" ht="12.75" customHeight="1" x14ac:dyDescent="0.2">
      <c r="D306" s="3"/>
    </row>
    <row r="307" spans="4:4" ht="12.75" customHeight="1" x14ac:dyDescent="0.2">
      <c r="D307" s="3"/>
    </row>
    <row r="308" spans="4:4" ht="12.75" customHeight="1" x14ac:dyDescent="0.2">
      <c r="D308" s="3"/>
    </row>
    <row r="309" spans="4:4" ht="12.75" customHeight="1" x14ac:dyDescent="0.2">
      <c r="D309" s="3"/>
    </row>
    <row r="310" spans="4:4" ht="12.75" customHeight="1" x14ac:dyDescent="0.2">
      <c r="D310" s="3"/>
    </row>
    <row r="311" spans="4:4" ht="12.75" customHeight="1" x14ac:dyDescent="0.2">
      <c r="D311" s="3"/>
    </row>
    <row r="312" spans="4:4" ht="12.75" customHeight="1" x14ac:dyDescent="0.2">
      <c r="D312" s="3"/>
    </row>
    <row r="313" spans="4:4" ht="12.75" customHeight="1" x14ac:dyDescent="0.2">
      <c r="D313" s="3"/>
    </row>
    <row r="314" spans="4:4" ht="12.75" customHeight="1" x14ac:dyDescent="0.2">
      <c r="D314" s="3"/>
    </row>
    <row r="315" spans="4:4" ht="12.75" customHeight="1" x14ac:dyDescent="0.2">
      <c r="D315" s="3"/>
    </row>
    <row r="316" spans="4:4" ht="12.75" customHeight="1" x14ac:dyDescent="0.2">
      <c r="D316" s="3"/>
    </row>
    <row r="317" spans="4:4" ht="12.75" customHeight="1" x14ac:dyDescent="0.2">
      <c r="D317" s="3"/>
    </row>
    <row r="318" spans="4:4" ht="12.75" customHeight="1" x14ac:dyDescent="0.2">
      <c r="D318" s="3"/>
    </row>
    <row r="319" spans="4:4" ht="12.75" customHeight="1" x14ac:dyDescent="0.2">
      <c r="D319" s="3"/>
    </row>
    <row r="320" spans="4:4" ht="12.75" customHeight="1" x14ac:dyDescent="0.2">
      <c r="D320" s="3"/>
    </row>
    <row r="321" spans="4:4" ht="12.75" customHeight="1" x14ac:dyDescent="0.2">
      <c r="D321" s="3"/>
    </row>
    <row r="322" spans="4:4" ht="12.75" customHeight="1" x14ac:dyDescent="0.2">
      <c r="D322" s="3"/>
    </row>
    <row r="323" spans="4:4" ht="12.75" customHeight="1" x14ac:dyDescent="0.2">
      <c r="D323" s="3"/>
    </row>
    <row r="324" spans="4:4" ht="12.75" customHeight="1" x14ac:dyDescent="0.2">
      <c r="D324" s="3"/>
    </row>
    <row r="325" spans="4:4" ht="12.75" customHeight="1" x14ac:dyDescent="0.2">
      <c r="D325" s="3"/>
    </row>
    <row r="326" spans="4:4" ht="12.75" customHeight="1" x14ac:dyDescent="0.2">
      <c r="D326" s="3"/>
    </row>
    <row r="327" spans="4:4" ht="12.75" customHeight="1" x14ac:dyDescent="0.2">
      <c r="D327" s="3"/>
    </row>
    <row r="328" spans="4:4" ht="12.75" customHeight="1" x14ac:dyDescent="0.2">
      <c r="D328" s="3"/>
    </row>
    <row r="329" spans="4:4" ht="12.75" customHeight="1" x14ac:dyDescent="0.2">
      <c r="D329" s="3"/>
    </row>
    <row r="330" spans="4:4" ht="12.75" customHeight="1" x14ac:dyDescent="0.2">
      <c r="D330" s="3"/>
    </row>
    <row r="331" spans="4:4" ht="12.75" customHeight="1" x14ac:dyDescent="0.2">
      <c r="D331" s="3"/>
    </row>
    <row r="332" spans="4:4" ht="12.75" customHeight="1" x14ac:dyDescent="0.2">
      <c r="D332" s="3"/>
    </row>
    <row r="333" spans="4:4" ht="12.75" customHeight="1" x14ac:dyDescent="0.2">
      <c r="D333" s="3"/>
    </row>
    <row r="334" spans="4:4" ht="12.75" customHeight="1" x14ac:dyDescent="0.2">
      <c r="D334" s="3"/>
    </row>
    <row r="335" spans="4:4" ht="12.75" customHeight="1" x14ac:dyDescent="0.2">
      <c r="D335" s="3"/>
    </row>
    <row r="336" spans="4:4" ht="12.75" customHeight="1" x14ac:dyDescent="0.2">
      <c r="D336" s="3"/>
    </row>
    <row r="337" spans="4:4" ht="12.75" customHeight="1" x14ac:dyDescent="0.2">
      <c r="D337" s="3"/>
    </row>
    <row r="338" spans="4:4" ht="12.75" customHeight="1" x14ac:dyDescent="0.2">
      <c r="D338" s="3"/>
    </row>
    <row r="339" spans="4:4" ht="12.75" customHeight="1" x14ac:dyDescent="0.2">
      <c r="D339" s="3"/>
    </row>
    <row r="340" spans="4:4" ht="12.75" customHeight="1" x14ac:dyDescent="0.2">
      <c r="D340" s="3"/>
    </row>
    <row r="341" spans="4:4" ht="12.75" customHeight="1" x14ac:dyDescent="0.2">
      <c r="D341" s="3"/>
    </row>
    <row r="342" spans="4:4" ht="12.75" customHeight="1" x14ac:dyDescent="0.2">
      <c r="D342" s="3"/>
    </row>
    <row r="343" spans="4:4" ht="12.75" customHeight="1" x14ac:dyDescent="0.2">
      <c r="D343" s="3"/>
    </row>
    <row r="344" spans="4:4" ht="12.75" customHeight="1" x14ac:dyDescent="0.2">
      <c r="D344" s="3"/>
    </row>
    <row r="345" spans="4:4" ht="12.75" customHeight="1" x14ac:dyDescent="0.2">
      <c r="D345" s="3"/>
    </row>
    <row r="346" spans="4:4" ht="12.75" customHeight="1" x14ac:dyDescent="0.2">
      <c r="D346" s="3"/>
    </row>
    <row r="347" spans="4:4" ht="12.75" customHeight="1" x14ac:dyDescent="0.2">
      <c r="D347" s="3"/>
    </row>
    <row r="348" spans="4:4" ht="12.75" customHeight="1" x14ac:dyDescent="0.2">
      <c r="D348" s="3"/>
    </row>
    <row r="349" spans="4:4" ht="12.75" customHeight="1" x14ac:dyDescent="0.2">
      <c r="D349" s="3"/>
    </row>
    <row r="350" spans="4:4" ht="12.75" customHeight="1" x14ac:dyDescent="0.2">
      <c r="D350" s="3"/>
    </row>
    <row r="351" spans="4:4" ht="12.75" customHeight="1" x14ac:dyDescent="0.2">
      <c r="D351" s="3"/>
    </row>
    <row r="352" spans="4:4" ht="12.75" customHeight="1" x14ac:dyDescent="0.2">
      <c r="D352" s="3"/>
    </row>
    <row r="353" spans="4:4" ht="12.75" customHeight="1" x14ac:dyDescent="0.2">
      <c r="D353" s="3"/>
    </row>
    <row r="354" spans="4:4" ht="12.75" customHeight="1" x14ac:dyDescent="0.2">
      <c r="D354" s="3"/>
    </row>
    <row r="355" spans="4:4" ht="12.75" customHeight="1" x14ac:dyDescent="0.2">
      <c r="D355" s="3"/>
    </row>
    <row r="356" spans="4:4" ht="12.75" customHeight="1" x14ac:dyDescent="0.2">
      <c r="D356" s="3"/>
    </row>
    <row r="357" spans="4:4" ht="12.75" customHeight="1" x14ac:dyDescent="0.2">
      <c r="D357" s="3"/>
    </row>
    <row r="358" spans="4:4" ht="12.75" customHeight="1" x14ac:dyDescent="0.2">
      <c r="D358" s="3"/>
    </row>
    <row r="359" spans="4:4" ht="12.75" customHeight="1" x14ac:dyDescent="0.2">
      <c r="D359" s="3"/>
    </row>
    <row r="360" spans="4:4" ht="12.75" customHeight="1" x14ac:dyDescent="0.2">
      <c r="D360" s="3"/>
    </row>
    <row r="361" spans="4:4" ht="12.75" customHeight="1" x14ac:dyDescent="0.2">
      <c r="D361" s="3"/>
    </row>
    <row r="362" spans="4:4" ht="12.75" customHeight="1" x14ac:dyDescent="0.2">
      <c r="D362" s="3"/>
    </row>
    <row r="363" spans="4:4" ht="12.75" customHeight="1" x14ac:dyDescent="0.2">
      <c r="D363" s="3"/>
    </row>
    <row r="364" spans="4:4" ht="12.75" customHeight="1" x14ac:dyDescent="0.2">
      <c r="D364" s="3"/>
    </row>
    <row r="365" spans="4:4" ht="12.75" customHeight="1" x14ac:dyDescent="0.2">
      <c r="D365" s="3"/>
    </row>
    <row r="366" spans="4:4" ht="12.75" customHeight="1" x14ac:dyDescent="0.2">
      <c r="D366" s="3"/>
    </row>
    <row r="367" spans="4:4" ht="12.75" customHeight="1" x14ac:dyDescent="0.2">
      <c r="D367" s="3"/>
    </row>
    <row r="368" spans="4:4" ht="12.75" customHeight="1" x14ac:dyDescent="0.2">
      <c r="D368" s="3"/>
    </row>
    <row r="369" spans="4:4" ht="12.75" customHeight="1" x14ac:dyDescent="0.2">
      <c r="D369" s="3"/>
    </row>
    <row r="370" spans="4:4" ht="12.75" customHeight="1" x14ac:dyDescent="0.2">
      <c r="D370" s="3"/>
    </row>
    <row r="371" spans="4:4" ht="12.75" customHeight="1" x14ac:dyDescent="0.2">
      <c r="D371" s="3"/>
    </row>
    <row r="372" spans="4:4" ht="12.75" customHeight="1" x14ac:dyDescent="0.2">
      <c r="D372" s="3"/>
    </row>
    <row r="373" spans="4:4" ht="12.75" customHeight="1" x14ac:dyDescent="0.2">
      <c r="D373" s="3"/>
    </row>
    <row r="374" spans="4:4" ht="12.75" customHeight="1" x14ac:dyDescent="0.2">
      <c r="D374" s="3"/>
    </row>
    <row r="375" spans="4:4" ht="12.75" customHeight="1" x14ac:dyDescent="0.2">
      <c r="D375" s="3"/>
    </row>
    <row r="376" spans="4:4" ht="12.75" customHeight="1" x14ac:dyDescent="0.2">
      <c r="D376" s="3"/>
    </row>
    <row r="377" spans="4:4" ht="12.75" customHeight="1" x14ac:dyDescent="0.2">
      <c r="D377" s="3"/>
    </row>
    <row r="378" spans="4:4" ht="12.75" customHeight="1" x14ac:dyDescent="0.2">
      <c r="D378" s="3"/>
    </row>
    <row r="379" spans="4:4" ht="12.75" customHeight="1" x14ac:dyDescent="0.2">
      <c r="D379" s="3"/>
    </row>
    <row r="380" spans="4:4" ht="12.75" customHeight="1" x14ac:dyDescent="0.2">
      <c r="D380" s="3"/>
    </row>
    <row r="381" spans="4:4" ht="12.75" customHeight="1" x14ac:dyDescent="0.2">
      <c r="D381" s="3"/>
    </row>
    <row r="382" spans="4:4" ht="12.75" customHeight="1" x14ac:dyDescent="0.2">
      <c r="D382" s="3"/>
    </row>
    <row r="383" spans="4:4" ht="12.75" customHeight="1" x14ac:dyDescent="0.2">
      <c r="D383" s="3"/>
    </row>
    <row r="384" spans="4:4" ht="12.75" customHeight="1" x14ac:dyDescent="0.2">
      <c r="D384" s="3"/>
    </row>
    <row r="385" spans="4:4" ht="12.75" customHeight="1" x14ac:dyDescent="0.2">
      <c r="D385" s="3"/>
    </row>
    <row r="386" spans="4:4" ht="12.75" customHeight="1" x14ac:dyDescent="0.2">
      <c r="D386" s="3"/>
    </row>
    <row r="387" spans="4:4" ht="12.75" customHeight="1" x14ac:dyDescent="0.2">
      <c r="D387" s="3"/>
    </row>
    <row r="388" spans="4:4" ht="12.75" customHeight="1" x14ac:dyDescent="0.2">
      <c r="D388" s="3"/>
    </row>
    <row r="389" spans="4:4" ht="12.75" customHeight="1" x14ac:dyDescent="0.2">
      <c r="D389" s="3"/>
    </row>
    <row r="390" spans="4:4" ht="12.75" customHeight="1" x14ac:dyDescent="0.2">
      <c r="D390" s="3"/>
    </row>
    <row r="391" spans="4:4" ht="12.75" customHeight="1" x14ac:dyDescent="0.2">
      <c r="D391" s="3"/>
    </row>
    <row r="392" spans="4:4" ht="12.75" customHeight="1" x14ac:dyDescent="0.2">
      <c r="D392" s="3"/>
    </row>
    <row r="393" spans="4:4" ht="12.75" customHeight="1" x14ac:dyDescent="0.2">
      <c r="D393" s="3"/>
    </row>
    <row r="394" spans="4:4" ht="12.75" customHeight="1" x14ac:dyDescent="0.2">
      <c r="D394" s="3"/>
    </row>
    <row r="395" spans="4:4" ht="12.75" customHeight="1" x14ac:dyDescent="0.2">
      <c r="D395" s="3"/>
    </row>
    <row r="396" spans="4:4" ht="12.75" customHeight="1" x14ac:dyDescent="0.2">
      <c r="D396" s="3"/>
    </row>
    <row r="397" spans="4:4" ht="12.75" customHeight="1" x14ac:dyDescent="0.2">
      <c r="D397" s="3"/>
    </row>
    <row r="398" spans="4:4" ht="12.75" customHeight="1" x14ac:dyDescent="0.2">
      <c r="D398" s="3"/>
    </row>
    <row r="399" spans="4:4" ht="12.75" customHeight="1" x14ac:dyDescent="0.2">
      <c r="D399" s="3"/>
    </row>
    <row r="400" spans="4:4" ht="12.75" customHeight="1" x14ac:dyDescent="0.2">
      <c r="D400" s="3"/>
    </row>
    <row r="401" spans="4:4" ht="12.75" customHeight="1" x14ac:dyDescent="0.2">
      <c r="D401" s="3"/>
    </row>
    <row r="402" spans="4:4" ht="12.75" customHeight="1" x14ac:dyDescent="0.2">
      <c r="D402" s="3"/>
    </row>
    <row r="403" spans="4:4" ht="12.75" customHeight="1" x14ac:dyDescent="0.2">
      <c r="D403" s="3"/>
    </row>
    <row r="404" spans="4:4" ht="12.75" customHeight="1" x14ac:dyDescent="0.2">
      <c r="D404" s="3"/>
    </row>
    <row r="405" spans="4:4" ht="12.75" customHeight="1" x14ac:dyDescent="0.2">
      <c r="D405" s="3"/>
    </row>
    <row r="406" spans="4:4" ht="12.75" customHeight="1" x14ac:dyDescent="0.2">
      <c r="D406" s="3"/>
    </row>
    <row r="407" spans="4:4" ht="12.75" customHeight="1" x14ac:dyDescent="0.2">
      <c r="D407" s="3"/>
    </row>
    <row r="408" spans="4:4" ht="12.75" customHeight="1" x14ac:dyDescent="0.2">
      <c r="D408" s="3"/>
    </row>
    <row r="409" spans="4:4" ht="12.75" customHeight="1" x14ac:dyDescent="0.2">
      <c r="D409" s="3"/>
    </row>
    <row r="410" spans="4:4" ht="12.75" customHeight="1" x14ac:dyDescent="0.2">
      <c r="D410" s="3"/>
    </row>
    <row r="411" spans="4:4" ht="12.75" customHeight="1" x14ac:dyDescent="0.2">
      <c r="D411" s="3"/>
    </row>
    <row r="412" spans="4:4" ht="12.75" customHeight="1" x14ac:dyDescent="0.2">
      <c r="D412" s="3"/>
    </row>
    <row r="413" spans="4:4" ht="12.75" customHeight="1" x14ac:dyDescent="0.2">
      <c r="D413" s="3"/>
    </row>
    <row r="414" spans="4:4" ht="12.75" customHeight="1" x14ac:dyDescent="0.2">
      <c r="D414" s="3"/>
    </row>
    <row r="415" spans="4:4" ht="12.75" customHeight="1" x14ac:dyDescent="0.2">
      <c r="D415" s="3"/>
    </row>
    <row r="416" spans="4:4" ht="12.75" customHeight="1" x14ac:dyDescent="0.2">
      <c r="D416" s="3"/>
    </row>
    <row r="417" spans="4:4" ht="12.75" customHeight="1" x14ac:dyDescent="0.2">
      <c r="D417" s="3"/>
    </row>
    <row r="418" spans="4:4" ht="12.75" customHeight="1" x14ac:dyDescent="0.2">
      <c r="D418" s="3"/>
    </row>
    <row r="419" spans="4:4" ht="12.75" customHeight="1" x14ac:dyDescent="0.2">
      <c r="D419" s="3"/>
    </row>
    <row r="420" spans="4:4" ht="12.75" customHeight="1" x14ac:dyDescent="0.2">
      <c r="D420" s="3"/>
    </row>
    <row r="421" spans="4:4" ht="12.75" customHeight="1" x14ac:dyDescent="0.2">
      <c r="D421" s="3"/>
    </row>
    <row r="422" spans="4:4" ht="12.75" customHeight="1" x14ac:dyDescent="0.2">
      <c r="D422" s="3"/>
    </row>
    <row r="423" spans="4:4" ht="12.75" customHeight="1" x14ac:dyDescent="0.2">
      <c r="D423" s="3"/>
    </row>
    <row r="424" spans="4:4" ht="12.75" customHeight="1" x14ac:dyDescent="0.2">
      <c r="D424" s="3"/>
    </row>
    <row r="425" spans="4:4" ht="12.75" customHeight="1" x14ac:dyDescent="0.2">
      <c r="D425" s="3"/>
    </row>
    <row r="426" spans="4:4" ht="12.75" customHeight="1" x14ac:dyDescent="0.2">
      <c r="D426" s="3"/>
    </row>
    <row r="427" spans="4:4" ht="12.75" customHeight="1" x14ac:dyDescent="0.2">
      <c r="D427" s="3"/>
    </row>
    <row r="428" spans="4:4" ht="12.75" customHeight="1" x14ac:dyDescent="0.2">
      <c r="D428" s="3"/>
    </row>
    <row r="429" spans="4:4" ht="12.75" customHeight="1" x14ac:dyDescent="0.2">
      <c r="D429" s="3"/>
    </row>
    <row r="430" spans="4:4" ht="12.75" customHeight="1" x14ac:dyDescent="0.2">
      <c r="D430" s="3"/>
    </row>
    <row r="431" spans="4:4" ht="12.75" customHeight="1" x14ac:dyDescent="0.2">
      <c r="D431" s="3"/>
    </row>
    <row r="432" spans="4:4" ht="12.75" customHeight="1" x14ac:dyDescent="0.2">
      <c r="D432" s="3"/>
    </row>
    <row r="433" spans="4:4" ht="12.75" customHeight="1" x14ac:dyDescent="0.2">
      <c r="D433" s="3"/>
    </row>
    <row r="434" spans="4:4" ht="12.75" customHeight="1" x14ac:dyDescent="0.2">
      <c r="D434" s="3"/>
    </row>
    <row r="435" spans="4:4" ht="12.75" customHeight="1" x14ac:dyDescent="0.2">
      <c r="D435" s="3"/>
    </row>
    <row r="436" spans="4:4" ht="12.75" customHeight="1" x14ac:dyDescent="0.2">
      <c r="D436" s="3"/>
    </row>
    <row r="437" spans="4:4" ht="12.75" customHeight="1" x14ac:dyDescent="0.2">
      <c r="D437" s="3"/>
    </row>
    <row r="438" spans="4:4" ht="12.75" customHeight="1" x14ac:dyDescent="0.2">
      <c r="D438" s="3"/>
    </row>
    <row r="439" spans="4:4" ht="12.75" customHeight="1" x14ac:dyDescent="0.2">
      <c r="D439" s="3"/>
    </row>
    <row r="440" spans="4:4" ht="12.75" customHeight="1" x14ac:dyDescent="0.2">
      <c r="D440" s="3"/>
    </row>
    <row r="441" spans="4:4" ht="12.75" customHeight="1" x14ac:dyDescent="0.2">
      <c r="D441" s="3"/>
    </row>
    <row r="442" spans="4:4" ht="12.75" customHeight="1" x14ac:dyDescent="0.2">
      <c r="D442" s="3"/>
    </row>
    <row r="443" spans="4:4" ht="12.75" customHeight="1" x14ac:dyDescent="0.2">
      <c r="D443" s="3"/>
    </row>
    <row r="444" spans="4:4" ht="12.75" customHeight="1" x14ac:dyDescent="0.2">
      <c r="D444" s="3"/>
    </row>
    <row r="445" spans="4:4" ht="12.75" customHeight="1" x14ac:dyDescent="0.2">
      <c r="D445" s="3"/>
    </row>
    <row r="446" spans="4:4" ht="12.75" customHeight="1" x14ac:dyDescent="0.2">
      <c r="D446" s="3"/>
    </row>
    <row r="447" spans="4:4" ht="12.75" customHeight="1" x14ac:dyDescent="0.2">
      <c r="D447" s="3"/>
    </row>
    <row r="448" spans="4:4" ht="12.75" customHeight="1" x14ac:dyDescent="0.2">
      <c r="D448" s="3"/>
    </row>
    <row r="449" spans="4:4" ht="12.75" customHeight="1" x14ac:dyDescent="0.2">
      <c r="D449" s="3"/>
    </row>
    <row r="450" spans="4:4" ht="12.75" customHeight="1" x14ac:dyDescent="0.2">
      <c r="D450" s="3"/>
    </row>
    <row r="451" spans="4:4" ht="12.75" customHeight="1" x14ac:dyDescent="0.2">
      <c r="D451" s="3"/>
    </row>
    <row r="452" spans="4:4" ht="12.75" customHeight="1" x14ac:dyDescent="0.2">
      <c r="D452" s="3"/>
    </row>
    <row r="453" spans="4:4" ht="12.75" customHeight="1" x14ac:dyDescent="0.2">
      <c r="D453" s="3"/>
    </row>
    <row r="454" spans="4:4" ht="12.75" customHeight="1" x14ac:dyDescent="0.2">
      <c r="D454" s="3"/>
    </row>
    <row r="455" spans="4:4" ht="12.75" customHeight="1" x14ac:dyDescent="0.2">
      <c r="D455" s="3"/>
    </row>
    <row r="456" spans="4:4" ht="12.75" customHeight="1" x14ac:dyDescent="0.2">
      <c r="D456" s="3"/>
    </row>
    <row r="457" spans="4:4" ht="12.75" customHeight="1" x14ac:dyDescent="0.2">
      <c r="D457" s="3"/>
    </row>
    <row r="458" spans="4:4" ht="12.75" customHeight="1" x14ac:dyDescent="0.2">
      <c r="D458" s="3"/>
    </row>
    <row r="459" spans="4:4" ht="12.75" customHeight="1" x14ac:dyDescent="0.2">
      <c r="D459" s="3"/>
    </row>
    <row r="460" spans="4:4" ht="12.75" customHeight="1" x14ac:dyDescent="0.2">
      <c r="D460" s="3"/>
    </row>
    <row r="461" spans="4:4" ht="12.75" customHeight="1" x14ac:dyDescent="0.2">
      <c r="D461" s="3"/>
    </row>
    <row r="462" spans="4:4" ht="12.75" customHeight="1" x14ac:dyDescent="0.2">
      <c r="D462" s="3"/>
    </row>
    <row r="463" spans="4:4" ht="12.75" customHeight="1" x14ac:dyDescent="0.2">
      <c r="D463" s="3"/>
    </row>
    <row r="464" spans="4:4" ht="12.75" customHeight="1" x14ac:dyDescent="0.2">
      <c r="D464" s="3"/>
    </row>
    <row r="465" spans="4:4" ht="12.75" customHeight="1" x14ac:dyDescent="0.2">
      <c r="D465" s="3"/>
    </row>
    <row r="466" spans="4:4" ht="12.75" customHeight="1" x14ac:dyDescent="0.2">
      <c r="D466" s="3"/>
    </row>
    <row r="467" spans="4:4" ht="12.75" customHeight="1" x14ac:dyDescent="0.2">
      <c r="D467" s="3"/>
    </row>
    <row r="468" spans="4:4" ht="12.75" customHeight="1" x14ac:dyDescent="0.2">
      <c r="D468" s="3"/>
    </row>
    <row r="469" spans="4:4" ht="12.75" customHeight="1" x14ac:dyDescent="0.2">
      <c r="D469" s="3"/>
    </row>
    <row r="470" spans="4:4" ht="12.75" customHeight="1" x14ac:dyDescent="0.2">
      <c r="D470" s="3"/>
    </row>
    <row r="471" spans="4:4" ht="12.75" customHeight="1" x14ac:dyDescent="0.2">
      <c r="D471" s="3"/>
    </row>
    <row r="472" spans="4:4" ht="12.75" customHeight="1" x14ac:dyDescent="0.2">
      <c r="D472" s="3"/>
    </row>
    <row r="473" spans="4:4" ht="12.75" customHeight="1" x14ac:dyDescent="0.2">
      <c r="D473" s="3"/>
    </row>
    <row r="474" spans="4:4" ht="12.75" customHeight="1" x14ac:dyDescent="0.2">
      <c r="D474" s="3"/>
    </row>
    <row r="475" spans="4:4" ht="12.75" customHeight="1" x14ac:dyDescent="0.2">
      <c r="D475" s="3"/>
    </row>
    <row r="476" spans="4:4" ht="12.75" customHeight="1" x14ac:dyDescent="0.2">
      <c r="D476" s="3"/>
    </row>
    <row r="477" spans="4:4" ht="12.75" customHeight="1" x14ac:dyDescent="0.2">
      <c r="D477" s="3"/>
    </row>
    <row r="478" spans="4:4" ht="12.75" customHeight="1" x14ac:dyDescent="0.2">
      <c r="D478" s="3"/>
    </row>
    <row r="479" spans="4:4" ht="12.75" customHeight="1" x14ac:dyDescent="0.2">
      <c r="D479" s="3"/>
    </row>
    <row r="480" spans="4:4" ht="12.75" customHeight="1" x14ac:dyDescent="0.2">
      <c r="D480" s="3"/>
    </row>
    <row r="481" spans="4:4" ht="12.75" customHeight="1" x14ac:dyDescent="0.2">
      <c r="D481" s="3"/>
    </row>
    <row r="482" spans="4:4" ht="12.75" customHeight="1" x14ac:dyDescent="0.2">
      <c r="D482" s="3"/>
    </row>
    <row r="483" spans="4:4" ht="12.75" customHeight="1" x14ac:dyDescent="0.2">
      <c r="D483" s="3"/>
    </row>
    <row r="484" spans="4:4" ht="12.75" customHeight="1" x14ac:dyDescent="0.2">
      <c r="D484" s="3"/>
    </row>
    <row r="485" spans="4:4" ht="12.75" customHeight="1" x14ac:dyDescent="0.2">
      <c r="D485" s="3"/>
    </row>
    <row r="486" spans="4:4" ht="12.75" customHeight="1" x14ac:dyDescent="0.2">
      <c r="D486" s="3"/>
    </row>
    <row r="487" spans="4:4" ht="12.75" customHeight="1" x14ac:dyDescent="0.2">
      <c r="D487" s="3"/>
    </row>
    <row r="488" spans="4:4" ht="12.75" customHeight="1" x14ac:dyDescent="0.2">
      <c r="D488" s="3"/>
    </row>
    <row r="489" spans="4:4" ht="12.75" customHeight="1" x14ac:dyDescent="0.2">
      <c r="D489" s="3"/>
    </row>
    <row r="490" spans="4:4" ht="12.75" customHeight="1" x14ac:dyDescent="0.2">
      <c r="D490" s="3"/>
    </row>
    <row r="491" spans="4:4" ht="12.75" customHeight="1" x14ac:dyDescent="0.2">
      <c r="D491" s="3"/>
    </row>
    <row r="492" spans="4:4" ht="12.75" customHeight="1" x14ac:dyDescent="0.2">
      <c r="D492" s="3"/>
    </row>
    <row r="493" spans="4:4" ht="12.75" customHeight="1" x14ac:dyDescent="0.2">
      <c r="D493" s="3"/>
    </row>
    <row r="494" spans="4:4" ht="12.75" customHeight="1" x14ac:dyDescent="0.2">
      <c r="D494" s="3"/>
    </row>
    <row r="495" spans="4:4" ht="12.75" customHeight="1" x14ac:dyDescent="0.2">
      <c r="D495" s="3"/>
    </row>
    <row r="496" spans="4:4" ht="12.75" customHeight="1" x14ac:dyDescent="0.2">
      <c r="D496" s="3"/>
    </row>
    <row r="497" spans="4:4" ht="12.75" customHeight="1" x14ac:dyDescent="0.2">
      <c r="D497" s="3"/>
    </row>
    <row r="498" spans="4:4" ht="12.75" customHeight="1" x14ac:dyDescent="0.2">
      <c r="D498" s="3"/>
    </row>
    <row r="499" spans="4:4" ht="12.75" customHeight="1" x14ac:dyDescent="0.2">
      <c r="D499" s="3"/>
    </row>
    <row r="500" spans="4:4" ht="12.75" customHeight="1" x14ac:dyDescent="0.2">
      <c r="D500" s="3"/>
    </row>
    <row r="501" spans="4:4" ht="12.75" customHeight="1" x14ac:dyDescent="0.2">
      <c r="D501" s="3"/>
    </row>
    <row r="502" spans="4:4" ht="12.75" customHeight="1" x14ac:dyDescent="0.2">
      <c r="D502" s="3"/>
    </row>
    <row r="503" spans="4:4" ht="12.75" customHeight="1" x14ac:dyDescent="0.2">
      <c r="D503" s="3"/>
    </row>
    <row r="504" spans="4:4" ht="12.75" customHeight="1" x14ac:dyDescent="0.2">
      <c r="D504" s="3"/>
    </row>
    <row r="505" spans="4:4" ht="12.75" customHeight="1" x14ac:dyDescent="0.2">
      <c r="D505" s="3"/>
    </row>
    <row r="506" spans="4:4" ht="12.75" customHeight="1" x14ac:dyDescent="0.2">
      <c r="D506" s="3"/>
    </row>
    <row r="507" spans="4:4" ht="12.75" customHeight="1" x14ac:dyDescent="0.2">
      <c r="D507" s="3"/>
    </row>
    <row r="508" spans="4:4" ht="12.75" customHeight="1" x14ac:dyDescent="0.2">
      <c r="D508" s="3"/>
    </row>
    <row r="509" spans="4:4" ht="12.75" customHeight="1" x14ac:dyDescent="0.2">
      <c r="D509" s="3"/>
    </row>
    <row r="510" spans="4:4" ht="12.75" customHeight="1" x14ac:dyDescent="0.2">
      <c r="D510" s="3"/>
    </row>
    <row r="511" spans="4:4" ht="12.75" customHeight="1" x14ac:dyDescent="0.2">
      <c r="D511" s="3"/>
    </row>
    <row r="512" spans="4:4" ht="12.75" customHeight="1" x14ac:dyDescent="0.2">
      <c r="D512" s="3"/>
    </row>
    <row r="513" spans="4:4" ht="12.75" customHeight="1" x14ac:dyDescent="0.2">
      <c r="D513" s="3"/>
    </row>
    <row r="514" spans="4:4" ht="12.75" customHeight="1" x14ac:dyDescent="0.2">
      <c r="D514" s="3"/>
    </row>
    <row r="515" spans="4:4" ht="12.75" customHeight="1" x14ac:dyDescent="0.2">
      <c r="D515" s="3"/>
    </row>
    <row r="516" spans="4:4" ht="12.75" customHeight="1" x14ac:dyDescent="0.2">
      <c r="D516" s="3"/>
    </row>
    <row r="517" spans="4:4" ht="12.75" customHeight="1" x14ac:dyDescent="0.2">
      <c r="D517" s="3"/>
    </row>
    <row r="518" spans="4:4" ht="12.75" customHeight="1" x14ac:dyDescent="0.2">
      <c r="D518" s="3"/>
    </row>
    <row r="519" spans="4:4" ht="12.75" customHeight="1" x14ac:dyDescent="0.2">
      <c r="D519" s="3"/>
    </row>
    <row r="520" spans="4:4" ht="12.75" customHeight="1" x14ac:dyDescent="0.2">
      <c r="D520" s="3"/>
    </row>
    <row r="521" spans="4:4" ht="12.75" customHeight="1" x14ac:dyDescent="0.2">
      <c r="D521" s="3"/>
    </row>
    <row r="522" spans="4:4" ht="12.75" customHeight="1" x14ac:dyDescent="0.2">
      <c r="D522" s="3"/>
    </row>
    <row r="523" spans="4:4" ht="12.75" customHeight="1" x14ac:dyDescent="0.2">
      <c r="D523" s="3"/>
    </row>
    <row r="524" spans="4:4" ht="12.75" customHeight="1" x14ac:dyDescent="0.2">
      <c r="D524" s="3"/>
    </row>
    <row r="525" spans="4:4" ht="12.75" customHeight="1" x14ac:dyDescent="0.2">
      <c r="D525" s="3"/>
    </row>
    <row r="526" spans="4:4" ht="12.75" customHeight="1" x14ac:dyDescent="0.2">
      <c r="D526" s="3"/>
    </row>
    <row r="527" spans="4:4" ht="12.75" customHeight="1" x14ac:dyDescent="0.2">
      <c r="D527" s="3"/>
    </row>
    <row r="528" spans="4:4" ht="12.75" customHeight="1" x14ac:dyDescent="0.2">
      <c r="D528" s="3"/>
    </row>
    <row r="529" spans="4:4" ht="12.75" customHeight="1" x14ac:dyDescent="0.2">
      <c r="D529" s="3"/>
    </row>
    <row r="530" spans="4:4" ht="12.75" customHeight="1" x14ac:dyDescent="0.2">
      <c r="D530" s="3"/>
    </row>
    <row r="531" spans="4:4" ht="12.75" customHeight="1" x14ac:dyDescent="0.2">
      <c r="D531" s="3"/>
    </row>
    <row r="532" spans="4:4" ht="12.75" customHeight="1" x14ac:dyDescent="0.2">
      <c r="D532" s="3"/>
    </row>
    <row r="533" spans="4:4" ht="12.75" customHeight="1" x14ac:dyDescent="0.2">
      <c r="D533" s="3"/>
    </row>
    <row r="534" spans="4:4" ht="12.75" customHeight="1" x14ac:dyDescent="0.2">
      <c r="D534" s="3"/>
    </row>
    <row r="535" spans="4:4" ht="12.75" customHeight="1" x14ac:dyDescent="0.2">
      <c r="D535" s="3"/>
    </row>
    <row r="536" spans="4:4" ht="12.75" customHeight="1" x14ac:dyDescent="0.2">
      <c r="D536" s="3"/>
    </row>
    <row r="537" spans="4:4" ht="12.75" customHeight="1" x14ac:dyDescent="0.2">
      <c r="D537" s="3"/>
    </row>
    <row r="538" spans="4:4" ht="12.75" customHeight="1" x14ac:dyDescent="0.2">
      <c r="D538" s="3"/>
    </row>
    <row r="539" spans="4:4" ht="12.75" customHeight="1" x14ac:dyDescent="0.2">
      <c r="D539" s="3"/>
    </row>
    <row r="540" spans="4:4" ht="12.75" customHeight="1" x14ac:dyDescent="0.2">
      <c r="D540" s="3"/>
    </row>
    <row r="541" spans="4:4" ht="12.75" customHeight="1" x14ac:dyDescent="0.2">
      <c r="D541" s="3"/>
    </row>
    <row r="542" spans="4:4" ht="12.75" customHeight="1" x14ac:dyDescent="0.2">
      <c r="D542" s="3"/>
    </row>
    <row r="543" spans="4:4" ht="12.75" customHeight="1" x14ac:dyDescent="0.2">
      <c r="D543" s="3"/>
    </row>
    <row r="544" spans="4:4" ht="12.75" customHeight="1" x14ac:dyDescent="0.2">
      <c r="D544" s="3"/>
    </row>
    <row r="545" spans="4:4" ht="12.75" customHeight="1" x14ac:dyDescent="0.2">
      <c r="D545" s="3"/>
    </row>
    <row r="546" spans="4:4" ht="12.75" customHeight="1" x14ac:dyDescent="0.2">
      <c r="D546" s="3"/>
    </row>
    <row r="547" spans="4:4" ht="12.75" customHeight="1" x14ac:dyDescent="0.2">
      <c r="D547" s="3"/>
    </row>
    <row r="548" spans="4:4" ht="12.75" customHeight="1" x14ac:dyDescent="0.2">
      <c r="D548" s="3"/>
    </row>
    <row r="549" spans="4:4" ht="12.75" customHeight="1" x14ac:dyDescent="0.2">
      <c r="D549" s="3"/>
    </row>
    <row r="550" spans="4:4" ht="12.75" customHeight="1" x14ac:dyDescent="0.2">
      <c r="D550" s="3"/>
    </row>
    <row r="551" spans="4:4" ht="12.75" customHeight="1" x14ac:dyDescent="0.2">
      <c r="D551" s="3"/>
    </row>
    <row r="552" spans="4:4" ht="12.75" customHeight="1" x14ac:dyDescent="0.2">
      <c r="D552" s="3"/>
    </row>
    <row r="553" spans="4:4" ht="12.75" customHeight="1" x14ac:dyDescent="0.2">
      <c r="D553" s="3"/>
    </row>
    <row r="554" spans="4:4" ht="12.75" customHeight="1" x14ac:dyDescent="0.2">
      <c r="D554" s="3"/>
    </row>
    <row r="555" spans="4:4" ht="12.75" customHeight="1" x14ac:dyDescent="0.2">
      <c r="D555" s="3"/>
    </row>
    <row r="556" spans="4:4" ht="12.75" customHeight="1" x14ac:dyDescent="0.2">
      <c r="D556" s="3"/>
    </row>
    <row r="557" spans="4:4" ht="12.75" customHeight="1" x14ac:dyDescent="0.2">
      <c r="D557" s="3"/>
    </row>
    <row r="558" spans="4:4" ht="12.75" customHeight="1" x14ac:dyDescent="0.2">
      <c r="D558" s="3"/>
    </row>
    <row r="559" spans="4:4" ht="12.75" customHeight="1" x14ac:dyDescent="0.2">
      <c r="D559" s="3"/>
    </row>
    <row r="560" spans="4:4" ht="12.75" customHeight="1" x14ac:dyDescent="0.2">
      <c r="D560" s="3"/>
    </row>
    <row r="561" spans="4:4" ht="12.75" customHeight="1" x14ac:dyDescent="0.2">
      <c r="D561" s="3"/>
    </row>
    <row r="562" spans="4:4" ht="12.75" customHeight="1" x14ac:dyDescent="0.2">
      <c r="D562" s="3"/>
    </row>
    <row r="563" spans="4:4" ht="12.75" customHeight="1" x14ac:dyDescent="0.2">
      <c r="D563" s="3"/>
    </row>
    <row r="564" spans="4:4" ht="12.75" customHeight="1" x14ac:dyDescent="0.2">
      <c r="D564" s="3"/>
    </row>
    <row r="565" spans="4:4" ht="12.75" customHeight="1" x14ac:dyDescent="0.2">
      <c r="D565" s="3"/>
    </row>
    <row r="566" spans="4:4" ht="12.75" customHeight="1" x14ac:dyDescent="0.2">
      <c r="D566" s="3"/>
    </row>
    <row r="567" spans="4:4" ht="12.75" customHeight="1" x14ac:dyDescent="0.2">
      <c r="D567" s="3"/>
    </row>
    <row r="568" spans="4:4" ht="12.75" customHeight="1" x14ac:dyDescent="0.2">
      <c r="D568" s="3"/>
    </row>
    <row r="569" spans="4:4" ht="12.75" customHeight="1" x14ac:dyDescent="0.2">
      <c r="D569" s="3"/>
    </row>
    <row r="570" spans="4:4" ht="12.75" customHeight="1" x14ac:dyDescent="0.2">
      <c r="D570" s="3"/>
    </row>
    <row r="571" spans="4:4" ht="12.75" customHeight="1" x14ac:dyDescent="0.2">
      <c r="D571" s="3"/>
    </row>
    <row r="572" spans="4:4" ht="12.75" customHeight="1" x14ac:dyDescent="0.2">
      <c r="D572" s="3"/>
    </row>
    <row r="573" spans="4:4" ht="12.75" customHeight="1" x14ac:dyDescent="0.2">
      <c r="D573" s="3"/>
    </row>
    <row r="574" spans="4:4" ht="12.75" customHeight="1" x14ac:dyDescent="0.2">
      <c r="D574" s="3"/>
    </row>
    <row r="575" spans="4:4" ht="12.75" customHeight="1" x14ac:dyDescent="0.2">
      <c r="D575" s="3"/>
    </row>
    <row r="576" spans="4:4" ht="12.75" customHeight="1" x14ac:dyDescent="0.2">
      <c r="D576" s="3"/>
    </row>
    <row r="577" spans="4:4" ht="12.75" customHeight="1" x14ac:dyDescent="0.2">
      <c r="D577" s="3"/>
    </row>
    <row r="578" spans="4:4" ht="12.75" customHeight="1" x14ac:dyDescent="0.2">
      <c r="D578" s="3"/>
    </row>
    <row r="579" spans="4:4" ht="12.75" customHeight="1" x14ac:dyDescent="0.2">
      <c r="D579" s="3"/>
    </row>
    <row r="580" spans="4:4" ht="12.75" customHeight="1" x14ac:dyDescent="0.2">
      <c r="D580" s="3"/>
    </row>
    <row r="581" spans="4:4" ht="12.75" customHeight="1" x14ac:dyDescent="0.2">
      <c r="D581" s="3"/>
    </row>
    <row r="582" spans="4:4" ht="12.75" customHeight="1" x14ac:dyDescent="0.2">
      <c r="D582" s="3"/>
    </row>
    <row r="583" spans="4:4" ht="12.75" customHeight="1" x14ac:dyDescent="0.2">
      <c r="D583" s="3"/>
    </row>
    <row r="584" spans="4:4" ht="12.75" customHeight="1" x14ac:dyDescent="0.2">
      <c r="D584" s="3"/>
    </row>
    <row r="585" spans="4:4" ht="12.75" customHeight="1" x14ac:dyDescent="0.2">
      <c r="D585" s="3"/>
    </row>
    <row r="586" spans="4:4" ht="12.75" customHeight="1" x14ac:dyDescent="0.2">
      <c r="D586" s="3"/>
    </row>
    <row r="587" spans="4:4" ht="12.75" customHeight="1" x14ac:dyDescent="0.2">
      <c r="D587" s="3"/>
    </row>
    <row r="588" spans="4:4" ht="12.75" customHeight="1" x14ac:dyDescent="0.2">
      <c r="D588" s="3"/>
    </row>
    <row r="589" spans="4:4" ht="12.75" customHeight="1" x14ac:dyDescent="0.2">
      <c r="D589" s="3"/>
    </row>
    <row r="590" spans="4:4" ht="12.75" customHeight="1" x14ac:dyDescent="0.2">
      <c r="D590" s="3"/>
    </row>
    <row r="591" spans="4:4" ht="12.75" customHeight="1" x14ac:dyDescent="0.2">
      <c r="D591" s="3"/>
    </row>
    <row r="592" spans="4:4" ht="12.75" customHeight="1" x14ac:dyDescent="0.2">
      <c r="D592" s="3"/>
    </row>
    <row r="593" spans="4:4" ht="12.75" customHeight="1" x14ac:dyDescent="0.2">
      <c r="D593" s="3"/>
    </row>
    <row r="594" spans="4:4" ht="12.75" customHeight="1" x14ac:dyDescent="0.2">
      <c r="D594" s="3"/>
    </row>
    <row r="595" spans="4:4" ht="12.75" customHeight="1" x14ac:dyDescent="0.2">
      <c r="D595" s="3"/>
    </row>
    <row r="596" spans="4:4" ht="12.75" customHeight="1" x14ac:dyDescent="0.2">
      <c r="D596" s="3"/>
    </row>
    <row r="597" spans="4:4" ht="12.75" customHeight="1" x14ac:dyDescent="0.2">
      <c r="D597" s="3"/>
    </row>
    <row r="598" spans="4:4" ht="12.75" customHeight="1" x14ac:dyDescent="0.2">
      <c r="D598" s="3"/>
    </row>
    <row r="599" spans="4:4" ht="12.75" customHeight="1" x14ac:dyDescent="0.2">
      <c r="D599" s="3"/>
    </row>
    <row r="600" spans="4:4" ht="12.75" customHeight="1" x14ac:dyDescent="0.2">
      <c r="D600" s="3"/>
    </row>
    <row r="601" spans="4:4" ht="12.75" customHeight="1" x14ac:dyDescent="0.2">
      <c r="D601" s="3"/>
    </row>
    <row r="602" spans="4:4" ht="12.75" customHeight="1" x14ac:dyDescent="0.2">
      <c r="D602" s="3"/>
    </row>
    <row r="603" spans="4:4" ht="12.75" customHeight="1" x14ac:dyDescent="0.2">
      <c r="D603" s="3"/>
    </row>
    <row r="604" spans="4:4" ht="12.75" customHeight="1" x14ac:dyDescent="0.2">
      <c r="D604" s="3"/>
    </row>
    <row r="605" spans="4:4" ht="12.75" customHeight="1" x14ac:dyDescent="0.2">
      <c r="D605" s="3"/>
    </row>
    <row r="606" spans="4:4" ht="12.75" customHeight="1" x14ac:dyDescent="0.2">
      <c r="D606" s="3"/>
    </row>
    <row r="607" spans="4:4" ht="12.75" customHeight="1" x14ac:dyDescent="0.2">
      <c r="D607" s="3"/>
    </row>
    <row r="608" spans="4:4" ht="12.75" customHeight="1" x14ac:dyDescent="0.2">
      <c r="D608" s="3"/>
    </row>
    <row r="609" spans="4:4" ht="12.75" customHeight="1" x14ac:dyDescent="0.2">
      <c r="D609" s="3"/>
    </row>
    <row r="610" spans="4:4" ht="12.75" customHeight="1" x14ac:dyDescent="0.2">
      <c r="D610" s="3"/>
    </row>
    <row r="611" spans="4:4" ht="12.75" customHeight="1" x14ac:dyDescent="0.2">
      <c r="D611" s="3"/>
    </row>
    <row r="612" spans="4:4" ht="12.75" customHeight="1" x14ac:dyDescent="0.2">
      <c r="D612" s="3"/>
    </row>
    <row r="613" spans="4:4" ht="12.75" customHeight="1" x14ac:dyDescent="0.2">
      <c r="D613" s="3"/>
    </row>
    <row r="614" spans="4:4" ht="12.75" customHeight="1" x14ac:dyDescent="0.2">
      <c r="D614" s="3"/>
    </row>
    <row r="615" spans="4:4" ht="12.75" customHeight="1" x14ac:dyDescent="0.2">
      <c r="D615" s="3"/>
    </row>
    <row r="616" spans="4:4" ht="12.75" customHeight="1" x14ac:dyDescent="0.2">
      <c r="D616" s="3"/>
    </row>
    <row r="617" spans="4:4" ht="12.75" customHeight="1" x14ac:dyDescent="0.2">
      <c r="D617" s="3"/>
    </row>
    <row r="618" spans="4:4" ht="12.75" customHeight="1" x14ac:dyDescent="0.2">
      <c r="D618" s="3"/>
    </row>
    <row r="619" spans="4:4" ht="12.75" customHeight="1" x14ac:dyDescent="0.2">
      <c r="D619" s="3"/>
    </row>
    <row r="620" spans="4:4" ht="12.75" customHeight="1" x14ac:dyDescent="0.2">
      <c r="D620" s="3"/>
    </row>
    <row r="621" spans="4:4" ht="12.75" customHeight="1" x14ac:dyDescent="0.2">
      <c r="D621" s="3"/>
    </row>
    <row r="622" spans="4:4" ht="12.75" customHeight="1" x14ac:dyDescent="0.2">
      <c r="D622" s="3"/>
    </row>
    <row r="623" spans="4:4" ht="12.75" customHeight="1" x14ac:dyDescent="0.2">
      <c r="D623" s="3"/>
    </row>
    <row r="624" spans="4:4" ht="12.75" customHeight="1" x14ac:dyDescent="0.2">
      <c r="D624" s="3"/>
    </row>
    <row r="625" spans="4:4" ht="12.75" customHeight="1" x14ac:dyDescent="0.2">
      <c r="D625" s="3"/>
    </row>
    <row r="626" spans="4:4" ht="12.75" customHeight="1" x14ac:dyDescent="0.2">
      <c r="D626" s="3"/>
    </row>
    <row r="627" spans="4:4" ht="12.75" customHeight="1" x14ac:dyDescent="0.2">
      <c r="D627" s="3"/>
    </row>
    <row r="628" spans="4:4" ht="12.75" customHeight="1" x14ac:dyDescent="0.2">
      <c r="D628" s="3"/>
    </row>
    <row r="629" spans="4:4" ht="12.75" customHeight="1" x14ac:dyDescent="0.2">
      <c r="D629" s="3"/>
    </row>
    <row r="630" spans="4:4" ht="12.75" customHeight="1" x14ac:dyDescent="0.2">
      <c r="D630" s="3"/>
    </row>
    <row r="631" spans="4:4" ht="12.75" customHeight="1" x14ac:dyDescent="0.2">
      <c r="D631" s="3"/>
    </row>
    <row r="632" spans="4:4" ht="12.75" customHeight="1" x14ac:dyDescent="0.2">
      <c r="D632" s="3"/>
    </row>
    <row r="633" spans="4:4" ht="12.75" customHeight="1" x14ac:dyDescent="0.2">
      <c r="D633" s="3"/>
    </row>
    <row r="634" spans="4:4" ht="12.75" customHeight="1" x14ac:dyDescent="0.2">
      <c r="D634" s="3"/>
    </row>
    <row r="635" spans="4:4" ht="12.75" customHeight="1" x14ac:dyDescent="0.2">
      <c r="D635" s="3"/>
    </row>
    <row r="636" spans="4:4" ht="12.75" customHeight="1" x14ac:dyDescent="0.2">
      <c r="D636" s="3"/>
    </row>
    <row r="637" spans="4:4" ht="12.75" customHeight="1" x14ac:dyDescent="0.2">
      <c r="D637" s="3"/>
    </row>
    <row r="638" spans="4:4" ht="12.75" customHeight="1" x14ac:dyDescent="0.2">
      <c r="D638" s="3"/>
    </row>
    <row r="639" spans="4:4" ht="12.75" customHeight="1" x14ac:dyDescent="0.2">
      <c r="D639" s="3"/>
    </row>
    <row r="640" spans="4:4" ht="12.75" customHeight="1" x14ac:dyDescent="0.2">
      <c r="D640" s="3"/>
    </row>
    <row r="641" spans="4:4" ht="12.75" customHeight="1" x14ac:dyDescent="0.2">
      <c r="D641" s="3"/>
    </row>
    <row r="642" spans="4:4" ht="12.75" customHeight="1" x14ac:dyDescent="0.2">
      <c r="D642" s="3"/>
    </row>
    <row r="643" spans="4:4" ht="12.75" customHeight="1" x14ac:dyDescent="0.2">
      <c r="D643" s="3"/>
    </row>
    <row r="644" spans="4:4" ht="12.75" customHeight="1" x14ac:dyDescent="0.2">
      <c r="D644" s="3"/>
    </row>
    <row r="645" spans="4:4" ht="12.75" customHeight="1" x14ac:dyDescent="0.2">
      <c r="D645" s="3"/>
    </row>
    <row r="646" spans="4:4" ht="12.75" customHeight="1" x14ac:dyDescent="0.2">
      <c r="D646" s="3"/>
    </row>
    <row r="647" spans="4:4" ht="12.75" customHeight="1" x14ac:dyDescent="0.2">
      <c r="D647" s="3"/>
    </row>
    <row r="648" spans="4:4" ht="12.75" customHeight="1" x14ac:dyDescent="0.2">
      <c r="D648" s="3"/>
    </row>
    <row r="649" spans="4:4" ht="12.75" customHeight="1" x14ac:dyDescent="0.2">
      <c r="D649" s="3"/>
    </row>
    <row r="650" spans="4:4" ht="12.75" customHeight="1" x14ac:dyDescent="0.2">
      <c r="D650" s="3"/>
    </row>
    <row r="651" spans="4:4" ht="12.75" customHeight="1" x14ac:dyDescent="0.2">
      <c r="D651" s="3"/>
    </row>
    <row r="652" spans="4:4" ht="12.75" customHeight="1" x14ac:dyDescent="0.2">
      <c r="D652" s="3"/>
    </row>
    <row r="653" spans="4:4" ht="12.75" customHeight="1" x14ac:dyDescent="0.2">
      <c r="D653" s="3"/>
    </row>
    <row r="654" spans="4:4" ht="12.75" customHeight="1" x14ac:dyDescent="0.2">
      <c r="D654" s="3"/>
    </row>
    <row r="655" spans="4:4" ht="12.75" customHeight="1" x14ac:dyDescent="0.2">
      <c r="D655" s="3"/>
    </row>
    <row r="656" spans="4:4" ht="12.75" customHeight="1" x14ac:dyDescent="0.2">
      <c r="D656" s="3"/>
    </row>
    <row r="657" spans="4:4" ht="12.75" customHeight="1" x14ac:dyDescent="0.2">
      <c r="D657" s="3"/>
    </row>
    <row r="658" spans="4:4" ht="12.75" customHeight="1" x14ac:dyDescent="0.2">
      <c r="D658" s="3"/>
    </row>
    <row r="659" spans="4:4" ht="12.75" customHeight="1" x14ac:dyDescent="0.2">
      <c r="D659" s="3"/>
    </row>
    <row r="660" spans="4:4" ht="12.75" customHeight="1" x14ac:dyDescent="0.2">
      <c r="D660" s="3"/>
    </row>
    <row r="661" spans="4:4" ht="12.75" customHeight="1" x14ac:dyDescent="0.2">
      <c r="D661" s="3"/>
    </row>
    <row r="662" spans="4:4" ht="12.75" customHeight="1" x14ac:dyDescent="0.2">
      <c r="D662" s="3"/>
    </row>
    <row r="663" spans="4:4" ht="12.75" customHeight="1" x14ac:dyDescent="0.2">
      <c r="D663" s="3"/>
    </row>
    <row r="664" spans="4:4" ht="12.75" customHeight="1" x14ac:dyDescent="0.2">
      <c r="D664" s="3"/>
    </row>
    <row r="665" spans="4:4" ht="12.75" customHeight="1" x14ac:dyDescent="0.2">
      <c r="D665" s="3"/>
    </row>
    <row r="666" spans="4:4" ht="12.75" customHeight="1" x14ac:dyDescent="0.2">
      <c r="D666" s="3"/>
    </row>
    <row r="667" spans="4:4" ht="12.75" customHeight="1" x14ac:dyDescent="0.2">
      <c r="D667" s="3"/>
    </row>
    <row r="668" spans="4:4" ht="12.75" customHeight="1" x14ac:dyDescent="0.2">
      <c r="D668" s="3"/>
    </row>
    <row r="669" spans="4:4" ht="12.75" customHeight="1" x14ac:dyDescent="0.2">
      <c r="D669" s="3"/>
    </row>
    <row r="670" spans="4:4" ht="12.75" customHeight="1" x14ac:dyDescent="0.2">
      <c r="D670" s="3"/>
    </row>
    <row r="671" spans="4:4" ht="12.75" customHeight="1" x14ac:dyDescent="0.2">
      <c r="D671" s="3"/>
    </row>
    <row r="672" spans="4:4" ht="12.75" customHeight="1" x14ac:dyDescent="0.2">
      <c r="D672" s="3"/>
    </row>
    <row r="673" spans="4:4" ht="12.75" customHeight="1" x14ac:dyDescent="0.2">
      <c r="D673" s="3"/>
    </row>
    <row r="674" spans="4:4" ht="12.75" customHeight="1" x14ac:dyDescent="0.2">
      <c r="D674" s="3"/>
    </row>
    <row r="675" spans="4:4" ht="12.75" customHeight="1" x14ac:dyDescent="0.2">
      <c r="D675" s="3"/>
    </row>
    <row r="676" spans="4:4" ht="12.75" customHeight="1" x14ac:dyDescent="0.2">
      <c r="D676" s="3"/>
    </row>
    <row r="677" spans="4:4" ht="12.75" customHeight="1" x14ac:dyDescent="0.2">
      <c r="D677" s="3"/>
    </row>
    <row r="678" spans="4:4" ht="12.75" customHeight="1" x14ac:dyDescent="0.2">
      <c r="D678" s="3"/>
    </row>
    <row r="679" spans="4:4" ht="12.75" customHeight="1" x14ac:dyDescent="0.2">
      <c r="D679" s="3"/>
    </row>
    <row r="680" spans="4:4" ht="12.75" customHeight="1" x14ac:dyDescent="0.2">
      <c r="D680" s="3"/>
    </row>
    <row r="681" spans="4:4" ht="12.75" customHeight="1" x14ac:dyDescent="0.2">
      <c r="D681" s="3"/>
    </row>
    <row r="682" spans="4:4" ht="12.75" customHeight="1" x14ac:dyDescent="0.2">
      <c r="D682" s="3"/>
    </row>
    <row r="683" spans="4:4" ht="12.75" customHeight="1" x14ac:dyDescent="0.2">
      <c r="D683" s="3"/>
    </row>
    <row r="684" spans="4:4" ht="12.75" customHeight="1" x14ac:dyDescent="0.2">
      <c r="D684" s="3"/>
    </row>
    <row r="685" spans="4:4" ht="12.75" customHeight="1" x14ac:dyDescent="0.2">
      <c r="D685" s="3"/>
    </row>
    <row r="686" spans="4:4" ht="12.75" customHeight="1" x14ac:dyDescent="0.2">
      <c r="D686" s="3"/>
    </row>
    <row r="687" spans="4:4" ht="12.75" customHeight="1" x14ac:dyDescent="0.2">
      <c r="D687" s="3"/>
    </row>
    <row r="688" spans="4:4" ht="12.75" customHeight="1" x14ac:dyDescent="0.2">
      <c r="D688" s="3"/>
    </row>
    <row r="689" spans="4:4" ht="12.75" customHeight="1" x14ac:dyDescent="0.2">
      <c r="D689" s="3"/>
    </row>
    <row r="690" spans="4:4" ht="12.75" customHeight="1" x14ac:dyDescent="0.2">
      <c r="D690" s="3"/>
    </row>
    <row r="691" spans="4:4" ht="12.75" customHeight="1" x14ac:dyDescent="0.2">
      <c r="D691" s="3"/>
    </row>
    <row r="692" spans="4:4" ht="12.75" customHeight="1" x14ac:dyDescent="0.2">
      <c r="D692" s="3"/>
    </row>
    <row r="693" spans="4:4" ht="12.75" customHeight="1" x14ac:dyDescent="0.2">
      <c r="D693" s="3"/>
    </row>
    <row r="694" spans="4:4" ht="12.75" customHeight="1" x14ac:dyDescent="0.2">
      <c r="D694" s="3"/>
    </row>
    <row r="695" spans="4:4" ht="12.75" customHeight="1" x14ac:dyDescent="0.2">
      <c r="D695" s="3"/>
    </row>
    <row r="696" spans="4:4" ht="12.75" customHeight="1" x14ac:dyDescent="0.2">
      <c r="D696" s="3"/>
    </row>
    <row r="697" spans="4:4" ht="12.75" customHeight="1" x14ac:dyDescent="0.2">
      <c r="D697" s="3"/>
    </row>
    <row r="698" spans="4:4" ht="12.75" customHeight="1" x14ac:dyDescent="0.2">
      <c r="D698" s="3"/>
    </row>
    <row r="699" spans="4:4" ht="12.75" customHeight="1" x14ac:dyDescent="0.2">
      <c r="D699" s="3"/>
    </row>
    <row r="700" spans="4:4" ht="12.75" customHeight="1" x14ac:dyDescent="0.2">
      <c r="D700" s="3"/>
    </row>
    <row r="701" spans="4:4" ht="12.75" customHeight="1" x14ac:dyDescent="0.2">
      <c r="D701" s="3"/>
    </row>
    <row r="702" spans="4:4" ht="12.75" customHeight="1" x14ac:dyDescent="0.2">
      <c r="D702" s="3"/>
    </row>
    <row r="703" spans="4:4" ht="12.75" customHeight="1" x14ac:dyDescent="0.2">
      <c r="D703" s="3"/>
    </row>
    <row r="704" spans="4:4" ht="12.75" customHeight="1" x14ac:dyDescent="0.2">
      <c r="D704" s="3"/>
    </row>
    <row r="705" spans="4:4" ht="12.75" customHeight="1" x14ac:dyDescent="0.2">
      <c r="D705" s="3"/>
    </row>
    <row r="706" spans="4:4" ht="12.75" customHeight="1" x14ac:dyDescent="0.2">
      <c r="D706" s="3"/>
    </row>
    <row r="707" spans="4:4" ht="12.75" customHeight="1" x14ac:dyDescent="0.2">
      <c r="D707" s="3"/>
    </row>
    <row r="708" spans="4:4" ht="12.75" customHeight="1" x14ac:dyDescent="0.2">
      <c r="D708" s="3"/>
    </row>
    <row r="709" spans="4:4" ht="12.75" customHeight="1" x14ac:dyDescent="0.2">
      <c r="D709" s="3"/>
    </row>
    <row r="710" spans="4:4" ht="12.75" customHeight="1" x14ac:dyDescent="0.2">
      <c r="D710" s="3"/>
    </row>
    <row r="711" spans="4:4" ht="12.75" customHeight="1" x14ac:dyDescent="0.2">
      <c r="D711" s="3"/>
    </row>
    <row r="712" spans="4:4" ht="12.75" customHeight="1" x14ac:dyDescent="0.2">
      <c r="D712" s="3"/>
    </row>
    <row r="713" spans="4:4" ht="12.75" customHeight="1" x14ac:dyDescent="0.2">
      <c r="D713" s="3"/>
    </row>
    <row r="714" spans="4:4" ht="12.75" customHeight="1" x14ac:dyDescent="0.2">
      <c r="D714" s="3"/>
    </row>
    <row r="715" spans="4:4" ht="12.75" customHeight="1" x14ac:dyDescent="0.2">
      <c r="D715" s="3"/>
    </row>
    <row r="716" spans="4:4" ht="12.75" customHeight="1" x14ac:dyDescent="0.2">
      <c r="D716" s="3"/>
    </row>
    <row r="717" spans="4:4" ht="12.75" customHeight="1" x14ac:dyDescent="0.2">
      <c r="D717" s="3"/>
    </row>
    <row r="718" spans="4:4" ht="12.75" customHeight="1" x14ac:dyDescent="0.2">
      <c r="D718" s="3"/>
    </row>
    <row r="719" spans="4:4" ht="12.75" customHeight="1" x14ac:dyDescent="0.2">
      <c r="D719" s="3"/>
    </row>
    <row r="720" spans="4:4" ht="12.75" customHeight="1" x14ac:dyDescent="0.2">
      <c r="D720" s="3"/>
    </row>
    <row r="721" spans="4:4" ht="12.75" customHeight="1" x14ac:dyDescent="0.2">
      <c r="D721" s="3"/>
    </row>
    <row r="722" spans="4:4" ht="12.75" customHeight="1" x14ac:dyDescent="0.2">
      <c r="D722" s="3"/>
    </row>
    <row r="723" spans="4:4" ht="12.75" customHeight="1" x14ac:dyDescent="0.2">
      <c r="D723" s="3"/>
    </row>
    <row r="724" spans="4:4" ht="12.75" customHeight="1" x14ac:dyDescent="0.2">
      <c r="D724" s="3"/>
    </row>
    <row r="725" spans="4:4" ht="12.75" customHeight="1" x14ac:dyDescent="0.2">
      <c r="D725" s="3"/>
    </row>
    <row r="726" spans="4:4" ht="12.75" customHeight="1" x14ac:dyDescent="0.2">
      <c r="D726" s="3"/>
    </row>
    <row r="727" spans="4:4" ht="12.75" customHeight="1" x14ac:dyDescent="0.2">
      <c r="D727" s="3"/>
    </row>
    <row r="728" spans="4:4" ht="12.75" customHeight="1" x14ac:dyDescent="0.2">
      <c r="D728" s="3"/>
    </row>
    <row r="729" spans="4:4" ht="12.75" customHeight="1" x14ac:dyDescent="0.2">
      <c r="D729" s="3"/>
    </row>
    <row r="730" spans="4:4" ht="12.75" customHeight="1" x14ac:dyDescent="0.2">
      <c r="D730" s="3"/>
    </row>
    <row r="731" spans="4:4" ht="12.75" customHeight="1" x14ac:dyDescent="0.2">
      <c r="D731" s="3"/>
    </row>
    <row r="732" spans="4:4" ht="12.75" customHeight="1" x14ac:dyDescent="0.2">
      <c r="D732" s="3"/>
    </row>
    <row r="733" spans="4:4" ht="12.75" customHeight="1" x14ac:dyDescent="0.2">
      <c r="D733" s="3"/>
    </row>
    <row r="734" spans="4:4" ht="12.75" customHeight="1" x14ac:dyDescent="0.2">
      <c r="D734" s="3"/>
    </row>
    <row r="735" spans="4:4" ht="12.75" customHeight="1" x14ac:dyDescent="0.2">
      <c r="D735" s="3"/>
    </row>
    <row r="736" spans="4:4" ht="12.75" customHeight="1" x14ac:dyDescent="0.2">
      <c r="D736" s="3"/>
    </row>
    <row r="737" spans="4:4" ht="12.75" customHeight="1" x14ac:dyDescent="0.2">
      <c r="D737" s="3"/>
    </row>
    <row r="738" spans="4:4" ht="12.75" customHeight="1" x14ac:dyDescent="0.2">
      <c r="D738" s="3"/>
    </row>
    <row r="739" spans="4:4" ht="12.75" customHeight="1" x14ac:dyDescent="0.2">
      <c r="D739" s="3"/>
    </row>
    <row r="740" spans="4:4" ht="12.75" customHeight="1" x14ac:dyDescent="0.2">
      <c r="D740" s="3"/>
    </row>
    <row r="741" spans="4:4" ht="12.75" customHeight="1" x14ac:dyDescent="0.2">
      <c r="D741" s="3"/>
    </row>
    <row r="742" spans="4:4" ht="12.75" customHeight="1" x14ac:dyDescent="0.2">
      <c r="D742" s="3"/>
    </row>
    <row r="743" spans="4:4" ht="12.75" customHeight="1" x14ac:dyDescent="0.2">
      <c r="D743" s="3"/>
    </row>
    <row r="744" spans="4:4" ht="12.75" customHeight="1" x14ac:dyDescent="0.2">
      <c r="D744" s="3"/>
    </row>
    <row r="745" spans="4:4" ht="12.75" customHeight="1" x14ac:dyDescent="0.2">
      <c r="D745" s="3"/>
    </row>
    <row r="746" spans="4:4" ht="12.75" customHeight="1" x14ac:dyDescent="0.2">
      <c r="D746" s="3"/>
    </row>
    <row r="747" spans="4:4" ht="12.75" customHeight="1" x14ac:dyDescent="0.2">
      <c r="D747" s="3"/>
    </row>
    <row r="748" spans="4:4" ht="12.75" customHeight="1" x14ac:dyDescent="0.2">
      <c r="D748" s="3"/>
    </row>
    <row r="749" spans="4:4" ht="12.75" customHeight="1" x14ac:dyDescent="0.2">
      <c r="D749" s="3"/>
    </row>
    <row r="750" spans="4:4" ht="12.75" customHeight="1" x14ac:dyDescent="0.2">
      <c r="D750" s="3"/>
    </row>
    <row r="751" spans="4:4" ht="12.75" customHeight="1" x14ac:dyDescent="0.2">
      <c r="D751" s="3"/>
    </row>
    <row r="752" spans="4:4" ht="12.75" customHeight="1" x14ac:dyDescent="0.2">
      <c r="D752" s="3"/>
    </row>
    <row r="753" spans="4:4" ht="12.75" customHeight="1" x14ac:dyDescent="0.2">
      <c r="D753" s="3"/>
    </row>
    <row r="754" spans="4:4" ht="12.75" customHeight="1" x14ac:dyDescent="0.2">
      <c r="D754" s="3"/>
    </row>
    <row r="755" spans="4:4" ht="12.75" customHeight="1" x14ac:dyDescent="0.2">
      <c r="D755" s="3"/>
    </row>
    <row r="756" spans="4:4" ht="12.75" customHeight="1" x14ac:dyDescent="0.2">
      <c r="D756" s="3"/>
    </row>
    <row r="757" spans="4:4" ht="12.75" customHeight="1" x14ac:dyDescent="0.2">
      <c r="D757" s="3"/>
    </row>
    <row r="758" spans="4:4" ht="12.75" customHeight="1" x14ac:dyDescent="0.2">
      <c r="D758" s="3"/>
    </row>
    <row r="759" spans="4:4" ht="12.75" customHeight="1" x14ac:dyDescent="0.2">
      <c r="D759" s="3"/>
    </row>
    <row r="760" spans="4:4" ht="12.75" customHeight="1" x14ac:dyDescent="0.2">
      <c r="D760" s="3"/>
    </row>
    <row r="761" spans="4:4" ht="12.75" customHeight="1" x14ac:dyDescent="0.2">
      <c r="D761" s="3"/>
    </row>
    <row r="762" spans="4:4" ht="12.75" customHeight="1" x14ac:dyDescent="0.2">
      <c r="D762" s="3"/>
    </row>
    <row r="763" spans="4:4" ht="12.75" customHeight="1" x14ac:dyDescent="0.2">
      <c r="D763" s="3"/>
    </row>
    <row r="764" spans="4:4" ht="12.75" customHeight="1" x14ac:dyDescent="0.2">
      <c r="D764" s="3"/>
    </row>
    <row r="765" spans="4:4" ht="12.75" customHeight="1" x14ac:dyDescent="0.2">
      <c r="D765" s="3"/>
    </row>
    <row r="766" spans="4:4" ht="12.75" customHeight="1" x14ac:dyDescent="0.2">
      <c r="D766" s="3"/>
    </row>
    <row r="767" spans="4:4" ht="12.75" customHeight="1" x14ac:dyDescent="0.2">
      <c r="D767" s="3"/>
    </row>
    <row r="768" spans="4:4" ht="12.75" customHeight="1" x14ac:dyDescent="0.2">
      <c r="D768" s="3"/>
    </row>
    <row r="769" spans="4:4" ht="12.75" customHeight="1" x14ac:dyDescent="0.2">
      <c r="D769" s="3"/>
    </row>
    <row r="770" spans="4:4" ht="12.75" customHeight="1" x14ac:dyDescent="0.2">
      <c r="D770" s="3"/>
    </row>
    <row r="771" spans="4:4" ht="12.75" customHeight="1" x14ac:dyDescent="0.2">
      <c r="D771" s="3"/>
    </row>
    <row r="772" spans="4:4" ht="12.75" customHeight="1" x14ac:dyDescent="0.2">
      <c r="D772" s="3"/>
    </row>
    <row r="773" spans="4:4" ht="12.75" customHeight="1" x14ac:dyDescent="0.2">
      <c r="D773" s="3"/>
    </row>
    <row r="774" spans="4:4" ht="12.75" customHeight="1" x14ac:dyDescent="0.2">
      <c r="D774" s="3"/>
    </row>
    <row r="775" spans="4:4" ht="12.75" customHeight="1" x14ac:dyDescent="0.2">
      <c r="D775" s="3"/>
    </row>
    <row r="776" spans="4:4" ht="12.75" customHeight="1" x14ac:dyDescent="0.2">
      <c r="D776" s="3"/>
    </row>
    <row r="777" spans="4:4" ht="12.75" customHeight="1" x14ac:dyDescent="0.2">
      <c r="D777" s="3"/>
    </row>
    <row r="778" spans="4:4" ht="12.75" customHeight="1" x14ac:dyDescent="0.2">
      <c r="D778" s="3"/>
    </row>
    <row r="779" spans="4:4" ht="12.75" customHeight="1" x14ac:dyDescent="0.2">
      <c r="D779" s="3"/>
    </row>
    <row r="780" spans="4:4" ht="12.75" customHeight="1" x14ac:dyDescent="0.2">
      <c r="D780" s="3"/>
    </row>
    <row r="781" spans="4:4" ht="12.75" customHeight="1" x14ac:dyDescent="0.2">
      <c r="D781" s="3"/>
    </row>
    <row r="782" spans="4:4" ht="12.75" customHeight="1" x14ac:dyDescent="0.2">
      <c r="D782" s="3"/>
    </row>
    <row r="783" spans="4:4" ht="12.75" customHeight="1" x14ac:dyDescent="0.2">
      <c r="D783" s="3"/>
    </row>
    <row r="784" spans="4:4" ht="12.75" customHeight="1" x14ac:dyDescent="0.2">
      <c r="D784" s="3"/>
    </row>
    <row r="785" spans="4:4" ht="12.75" customHeight="1" x14ac:dyDescent="0.2">
      <c r="D785" s="3"/>
    </row>
    <row r="786" spans="4:4" ht="12.75" customHeight="1" x14ac:dyDescent="0.2">
      <c r="D786" s="3"/>
    </row>
    <row r="787" spans="4:4" ht="12.75" customHeight="1" x14ac:dyDescent="0.2">
      <c r="D787" s="3"/>
    </row>
    <row r="788" spans="4:4" ht="12.75" customHeight="1" x14ac:dyDescent="0.2">
      <c r="D788" s="3"/>
    </row>
    <row r="789" spans="4:4" ht="12.75" customHeight="1" x14ac:dyDescent="0.2">
      <c r="D789" s="3"/>
    </row>
    <row r="790" spans="4:4" ht="12.75" customHeight="1" x14ac:dyDescent="0.2">
      <c r="D790" s="3"/>
    </row>
    <row r="791" spans="4:4" ht="12.75" customHeight="1" x14ac:dyDescent="0.2">
      <c r="D791" s="3"/>
    </row>
    <row r="792" spans="4:4" ht="12.75" customHeight="1" x14ac:dyDescent="0.2">
      <c r="D792" s="3"/>
    </row>
    <row r="793" spans="4:4" ht="12.75" customHeight="1" x14ac:dyDescent="0.2">
      <c r="D793" s="3"/>
    </row>
    <row r="794" spans="4:4" ht="12.75" customHeight="1" x14ac:dyDescent="0.2">
      <c r="D794" s="3"/>
    </row>
    <row r="795" spans="4:4" ht="12.75" customHeight="1" x14ac:dyDescent="0.2">
      <c r="D795" s="3"/>
    </row>
    <row r="796" spans="4:4" ht="12.75" customHeight="1" x14ac:dyDescent="0.2">
      <c r="D796" s="3"/>
    </row>
    <row r="797" spans="4:4" ht="12.75" customHeight="1" x14ac:dyDescent="0.2">
      <c r="D797" s="3"/>
    </row>
    <row r="798" spans="4:4" ht="12.75" customHeight="1" x14ac:dyDescent="0.2">
      <c r="D798" s="3"/>
    </row>
    <row r="799" spans="4:4" ht="12.75" customHeight="1" x14ac:dyDescent="0.2">
      <c r="D799" s="3"/>
    </row>
    <row r="800" spans="4:4" ht="12.75" customHeight="1" x14ac:dyDescent="0.2">
      <c r="D800" s="3"/>
    </row>
    <row r="801" spans="4:4" ht="12.75" customHeight="1" x14ac:dyDescent="0.2">
      <c r="D801" s="3"/>
    </row>
    <row r="802" spans="4:4" ht="12.75" customHeight="1" x14ac:dyDescent="0.2">
      <c r="D802" s="3"/>
    </row>
    <row r="803" spans="4:4" ht="12.75" customHeight="1" x14ac:dyDescent="0.2">
      <c r="D803" s="3"/>
    </row>
    <row r="804" spans="4:4" ht="12.75" customHeight="1" x14ac:dyDescent="0.2">
      <c r="D804" s="3"/>
    </row>
    <row r="805" spans="4:4" ht="12.75" customHeight="1" x14ac:dyDescent="0.2">
      <c r="D805" s="3"/>
    </row>
    <row r="806" spans="4:4" ht="12.75" customHeight="1" x14ac:dyDescent="0.2">
      <c r="D806" s="3"/>
    </row>
    <row r="807" spans="4:4" ht="12.75" customHeight="1" x14ac:dyDescent="0.2">
      <c r="D807" s="3"/>
    </row>
    <row r="808" spans="4:4" ht="12.75" customHeight="1" x14ac:dyDescent="0.2">
      <c r="D808" s="3"/>
    </row>
    <row r="809" spans="4:4" ht="12.75" customHeight="1" x14ac:dyDescent="0.2">
      <c r="D809" s="3"/>
    </row>
    <row r="810" spans="4:4" ht="12.75" customHeight="1" x14ac:dyDescent="0.2">
      <c r="D810" s="3"/>
    </row>
    <row r="811" spans="4:4" ht="12.75" customHeight="1" x14ac:dyDescent="0.2">
      <c r="D811" s="3"/>
    </row>
    <row r="812" spans="4:4" ht="12.75" customHeight="1" x14ac:dyDescent="0.2">
      <c r="D812" s="3"/>
    </row>
    <row r="813" spans="4:4" ht="12.75" customHeight="1" x14ac:dyDescent="0.2">
      <c r="D813" s="3"/>
    </row>
    <row r="814" spans="4:4" ht="12.75" customHeight="1" x14ac:dyDescent="0.2">
      <c r="D814" s="3"/>
    </row>
    <row r="815" spans="4:4" ht="12.75" customHeight="1" x14ac:dyDescent="0.2">
      <c r="D815" s="3"/>
    </row>
    <row r="816" spans="4:4" ht="12.75" customHeight="1" x14ac:dyDescent="0.2">
      <c r="D816" s="3"/>
    </row>
    <row r="817" spans="4:4" ht="12.75" customHeight="1" x14ac:dyDescent="0.2">
      <c r="D817" s="3"/>
    </row>
    <row r="818" spans="4:4" ht="12.75" customHeight="1" x14ac:dyDescent="0.2">
      <c r="D818" s="3"/>
    </row>
    <row r="819" spans="4:4" ht="12.75" customHeight="1" x14ac:dyDescent="0.2">
      <c r="D819" s="3"/>
    </row>
    <row r="820" spans="4:4" ht="12.75" customHeight="1" x14ac:dyDescent="0.2">
      <c r="D820" s="3"/>
    </row>
    <row r="821" spans="4:4" ht="12.75" customHeight="1" x14ac:dyDescent="0.2">
      <c r="D821" s="3"/>
    </row>
    <row r="822" spans="4:4" ht="12.75" customHeight="1" x14ac:dyDescent="0.2">
      <c r="D822" s="3"/>
    </row>
    <row r="823" spans="4:4" ht="12.75" customHeight="1" x14ac:dyDescent="0.2">
      <c r="D823" s="3"/>
    </row>
    <row r="824" spans="4:4" ht="12.75" customHeight="1" x14ac:dyDescent="0.2">
      <c r="D824" s="3"/>
    </row>
    <row r="825" spans="4:4" ht="12.75" customHeight="1" x14ac:dyDescent="0.2">
      <c r="D825" s="3"/>
    </row>
    <row r="826" spans="4:4" ht="12.75" customHeight="1" x14ac:dyDescent="0.2">
      <c r="D826" s="3"/>
    </row>
    <row r="827" spans="4:4" ht="12.75" customHeight="1" x14ac:dyDescent="0.2">
      <c r="D827" s="3"/>
    </row>
    <row r="828" spans="4:4" ht="12.75" customHeight="1" x14ac:dyDescent="0.2">
      <c r="D828" s="3"/>
    </row>
    <row r="829" spans="4:4" ht="12.75" customHeight="1" x14ac:dyDescent="0.2">
      <c r="D829" s="3"/>
    </row>
    <row r="830" spans="4:4" ht="12.75" customHeight="1" x14ac:dyDescent="0.2">
      <c r="D830" s="3"/>
    </row>
    <row r="831" spans="4:4" ht="12.75" customHeight="1" x14ac:dyDescent="0.2">
      <c r="D831" s="3"/>
    </row>
    <row r="832" spans="4:4" ht="12.75" customHeight="1" x14ac:dyDescent="0.2">
      <c r="D832" s="3"/>
    </row>
    <row r="833" spans="4:4" ht="12.75" customHeight="1" x14ac:dyDescent="0.2">
      <c r="D833" s="3"/>
    </row>
    <row r="834" spans="4:4" ht="12.75" customHeight="1" x14ac:dyDescent="0.2">
      <c r="D834" s="3"/>
    </row>
    <row r="835" spans="4:4" ht="12.75" customHeight="1" x14ac:dyDescent="0.2">
      <c r="D835" s="3"/>
    </row>
    <row r="836" spans="4:4" ht="12.75" customHeight="1" x14ac:dyDescent="0.2">
      <c r="D836" s="3"/>
    </row>
    <row r="837" spans="4:4" ht="12.75" customHeight="1" x14ac:dyDescent="0.2">
      <c r="D837" s="3"/>
    </row>
    <row r="838" spans="4:4" ht="12.75" customHeight="1" x14ac:dyDescent="0.2">
      <c r="D838" s="3"/>
    </row>
    <row r="839" spans="4:4" ht="12.75" customHeight="1" x14ac:dyDescent="0.2">
      <c r="D839" s="3"/>
    </row>
    <row r="840" spans="4:4" ht="12.75" customHeight="1" x14ac:dyDescent="0.2">
      <c r="D840" s="3"/>
    </row>
    <row r="841" spans="4:4" ht="12.75" customHeight="1" x14ac:dyDescent="0.2">
      <c r="D841" s="3"/>
    </row>
    <row r="842" spans="4:4" ht="12.75" customHeight="1" x14ac:dyDescent="0.2">
      <c r="D842" s="3"/>
    </row>
    <row r="843" spans="4:4" ht="12.75" customHeight="1" x14ac:dyDescent="0.2">
      <c r="D843" s="3"/>
    </row>
    <row r="844" spans="4:4" ht="12.75" customHeight="1" x14ac:dyDescent="0.2">
      <c r="D844" s="3"/>
    </row>
    <row r="845" spans="4:4" ht="12.75" customHeight="1" x14ac:dyDescent="0.2">
      <c r="D845" s="3"/>
    </row>
    <row r="846" spans="4:4" ht="12.75" customHeight="1" x14ac:dyDescent="0.2">
      <c r="D846" s="3"/>
    </row>
    <row r="847" spans="4:4" ht="12.75" customHeight="1" x14ac:dyDescent="0.2">
      <c r="D847" s="3"/>
    </row>
    <row r="848" spans="4:4" ht="12.75" customHeight="1" x14ac:dyDescent="0.2">
      <c r="D848" s="3"/>
    </row>
    <row r="849" spans="4:4" ht="12.75" customHeight="1" x14ac:dyDescent="0.2">
      <c r="D849" s="3"/>
    </row>
    <row r="850" spans="4:4" ht="12.75" customHeight="1" x14ac:dyDescent="0.2">
      <c r="D850" s="3"/>
    </row>
    <row r="851" spans="4:4" ht="12.75" customHeight="1" x14ac:dyDescent="0.2">
      <c r="D851" s="3"/>
    </row>
    <row r="852" spans="4:4" ht="12.75" customHeight="1" x14ac:dyDescent="0.2">
      <c r="D852" s="3"/>
    </row>
    <row r="853" spans="4:4" ht="12.75" customHeight="1" x14ac:dyDescent="0.2">
      <c r="D853" s="3"/>
    </row>
    <row r="854" spans="4:4" ht="12.75" customHeight="1" x14ac:dyDescent="0.2">
      <c r="D854" s="3"/>
    </row>
    <row r="855" spans="4:4" ht="12.75" customHeight="1" x14ac:dyDescent="0.2">
      <c r="D855" s="3"/>
    </row>
    <row r="856" spans="4:4" ht="12.75" customHeight="1" x14ac:dyDescent="0.2">
      <c r="D856" s="3"/>
    </row>
    <row r="857" spans="4:4" ht="12.75" customHeight="1" x14ac:dyDescent="0.2">
      <c r="D857" s="3"/>
    </row>
    <row r="858" spans="4:4" ht="12.75" customHeight="1" x14ac:dyDescent="0.2">
      <c r="D858" s="3"/>
    </row>
    <row r="859" spans="4:4" ht="12.75" customHeight="1" x14ac:dyDescent="0.2">
      <c r="D859" s="3"/>
    </row>
    <row r="860" spans="4:4" ht="12.75" customHeight="1" x14ac:dyDescent="0.2">
      <c r="D860" s="3"/>
    </row>
    <row r="861" spans="4:4" ht="12.75" customHeight="1" x14ac:dyDescent="0.2">
      <c r="D861" s="3"/>
    </row>
    <row r="862" spans="4:4" ht="12.75" customHeight="1" x14ac:dyDescent="0.2">
      <c r="D862" s="3"/>
    </row>
    <row r="863" spans="4:4" ht="12.75" customHeight="1" x14ac:dyDescent="0.2">
      <c r="D863" s="3"/>
    </row>
    <row r="864" spans="4:4" ht="12.75" customHeight="1" x14ac:dyDescent="0.2">
      <c r="D864" s="3"/>
    </row>
    <row r="865" spans="4:4" ht="12.75" customHeight="1" x14ac:dyDescent="0.2">
      <c r="D865" s="3"/>
    </row>
    <row r="866" spans="4:4" ht="12.75" customHeight="1" x14ac:dyDescent="0.2">
      <c r="D866" s="3"/>
    </row>
    <row r="867" spans="4:4" ht="12.75" customHeight="1" x14ac:dyDescent="0.2">
      <c r="D867" s="3"/>
    </row>
    <row r="868" spans="4:4" ht="12.75" customHeight="1" x14ac:dyDescent="0.2">
      <c r="D868" s="3"/>
    </row>
    <row r="869" spans="4:4" ht="12.75" customHeight="1" x14ac:dyDescent="0.2">
      <c r="D869" s="3"/>
    </row>
    <row r="870" spans="4:4" ht="12.75" customHeight="1" x14ac:dyDescent="0.2">
      <c r="D870" s="3"/>
    </row>
    <row r="871" spans="4:4" ht="12.75" customHeight="1" x14ac:dyDescent="0.2">
      <c r="D871" s="3"/>
    </row>
    <row r="872" spans="4:4" ht="12.75" customHeight="1" x14ac:dyDescent="0.2">
      <c r="D872" s="3"/>
    </row>
    <row r="873" spans="4:4" ht="12.75" customHeight="1" x14ac:dyDescent="0.2">
      <c r="D873" s="3"/>
    </row>
    <row r="874" spans="4:4" ht="12.75" customHeight="1" x14ac:dyDescent="0.2">
      <c r="D874" s="3"/>
    </row>
    <row r="875" spans="4:4" ht="12.75" customHeight="1" x14ac:dyDescent="0.2">
      <c r="D875" s="3"/>
    </row>
    <row r="876" spans="4:4" ht="12.75" customHeight="1" x14ac:dyDescent="0.2">
      <c r="D876" s="3"/>
    </row>
    <row r="877" spans="4:4" ht="12.75" customHeight="1" x14ac:dyDescent="0.2">
      <c r="D877" s="3"/>
    </row>
    <row r="878" spans="4:4" ht="12.75" customHeight="1" x14ac:dyDescent="0.2">
      <c r="D878" s="3"/>
    </row>
    <row r="879" spans="4:4" ht="12.75" customHeight="1" x14ac:dyDescent="0.2">
      <c r="D879" s="3"/>
    </row>
    <row r="880" spans="4:4" ht="12.75" customHeight="1" x14ac:dyDescent="0.2">
      <c r="D880" s="3"/>
    </row>
    <row r="881" spans="4:4" ht="12.75" customHeight="1" x14ac:dyDescent="0.2">
      <c r="D881" s="3"/>
    </row>
    <row r="882" spans="4:4" ht="12.75" customHeight="1" x14ac:dyDescent="0.2">
      <c r="D882" s="3"/>
    </row>
    <row r="883" spans="4:4" ht="12.75" customHeight="1" x14ac:dyDescent="0.2">
      <c r="D883" s="3"/>
    </row>
    <row r="884" spans="4:4" ht="12.75" customHeight="1" x14ac:dyDescent="0.2">
      <c r="D884" s="3"/>
    </row>
    <row r="885" spans="4:4" ht="12.75" customHeight="1" x14ac:dyDescent="0.2">
      <c r="D885" s="3"/>
    </row>
    <row r="886" spans="4:4" ht="12.75" customHeight="1" x14ac:dyDescent="0.2">
      <c r="D886" s="3"/>
    </row>
    <row r="887" spans="4:4" ht="12.75" customHeight="1" x14ac:dyDescent="0.2">
      <c r="D887" s="3"/>
    </row>
    <row r="888" spans="4:4" ht="12.75" customHeight="1" x14ac:dyDescent="0.2">
      <c r="D888" s="3"/>
    </row>
    <row r="889" spans="4:4" ht="12.75" customHeight="1" x14ac:dyDescent="0.2">
      <c r="D889" s="3"/>
    </row>
    <row r="890" spans="4:4" ht="12.75" customHeight="1" x14ac:dyDescent="0.2">
      <c r="D890" s="3"/>
    </row>
    <row r="891" spans="4:4" ht="12.75" customHeight="1" x14ac:dyDescent="0.2">
      <c r="D891" s="3"/>
    </row>
    <row r="892" spans="4:4" ht="12.75" customHeight="1" x14ac:dyDescent="0.2">
      <c r="D892" s="3"/>
    </row>
    <row r="893" spans="4:4" ht="12.75" customHeight="1" x14ac:dyDescent="0.2">
      <c r="D893" s="3"/>
    </row>
    <row r="894" spans="4:4" ht="12.75" customHeight="1" x14ac:dyDescent="0.2">
      <c r="D894" s="3"/>
    </row>
    <row r="895" spans="4:4" ht="12.75" customHeight="1" x14ac:dyDescent="0.2">
      <c r="D895" s="3"/>
    </row>
    <row r="896" spans="4:4" ht="12.75" customHeight="1" x14ac:dyDescent="0.2">
      <c r="D896" s="3"/>
    </row>
    <row r="897" spans="4:4" ht="12.75" customHeight="1" x14ac:dyDescent="0.2">
      <c r="D897" s="3"/>
    </row>
    <row r="898" spans="4:4" ht="12.75" customHeight="1" x14ac:dyDescent="0.2">
      <c r="D898" s="3"/>
    </row>
    <row r="899" spans="4:4" ht="12.75" customHeight="1" x14ac:dyDescent="0.2">
      <c r="D899" s="3"/>
    </row>
    <row r="900" spans="4:4" ht="12.75" customHeight="1" x14ac:dyDescent="0.2">
      <c r="D900" s="3"/>
    </row>
    <row r="901" spans="4:4" ht="12.75" customHeight="1" x14ac:dyDescent="0.2">
      <c r="D901" s="3"/>
    </row>
    <row r="902" spans="4:4" ht="12.75" customHeight="1" x14ac:dyDescent="0.2">
      <c r="D902" s="3"/>
    </row>
    <row r="903" spans="4:4" ht="12.75" customHeight="1" x14ac:dyDescent="0.2">
      <c r="D903" s="3"/>
    </row>
    <row r="904" spans="4:4" ht="12.75" customHeight="1" x14ac:dyDescent="0.2">
      <c r="D904" s="3"/>
    </row>
    <row r="905" spans="4:4" ht="12.75" customHeight="1" x14ac:dyDescent="0.2">
      <c r="D905" s="3"/>
    </row>
    <row r="906" spans="4:4" ht="12.75" customHeight="1" x14ac:dyDescent="0.2">
      <c r="D906" s="3"/>
    </row>
    <row r="907" spans="4:4" ht="12.75" customHeight="1" x14ac:dyDescent="0.2">
      <c r="D907" s="3"/>
    </row>
    <row r="908" spans="4:4" ht="12.75" customHeight="1" x14ac:dyDescent="0.2">
      <c r="D908" s="3"/>
    </row>
    <row r="909" spans="4:4" ht="12.75" customHeight="1" x14ac:dyDescent="0.2">
      <c r="D909" s="3"/>
    </row>
    <row r="910" spans="4:4" ht="12.75" customHeight="1" x14ac:dyDescent="0.2">
      <c r="D910" s="3"/>
    </row>
    <row r="911" spans="4:4" ht="12.75" customHeight="1" x14ac:dyDescent="0.2">
      <c r="D911" s="3"/>
    </row>
    <row r="912" spans="4:4" ht="12.75" customHeight="1" x14ac:dyDescent="0.2">
      <c r="D912" s="3"/>
    </row>
    <row r="913" spans="4:4" ht="12.75" customHeight="1" x14ac:dyDescent="0.2">
      <c r="D913" s="3"/>
    </row>
    <row r="914" spans="4:4" ht="12.75" customHeight="1" x14ac:dyDescent="0.2">
      <c r="D914" s="3"/>
    </row>
    <row r="915" spans="4:4" ht="12.75" customHeight="1" x14ac:dyDescent="0.2">
      <c r="D915" s="3"/>
    </row>
    <row r="916" spans="4:4" ht="12.75" customHeight="1" x14ac:dyDescent="0.2">
      <c r="D916" s="3"/>
    </row>
    <row r="917" spans="4:4" ht="12.75" customHeight="1" x14ac:dyDescent="0.2">
      <c r="D917" s="3"/>
    </row>
    <row r="918" spans="4:4" ht="12.75" customHeight="1" x14ac:dyDescent="0.2">
      <c r="D918" s="3"/>
    </row>
    <row r="919" spans="4:4" ht="12.75" customHeight="1" x14ac:dyDescent="0.2">
      <c r="D919" s="3"/>
    </row>
    <row r="920" spans="4:4" ht="12.75" customHeight="1" x14ac:dyDescent="0.2">
      <c r="D920" s="3"/>
    </row>
    <row r="921" spans="4:4" ht="12.75" customHeight="1" x14ac:dyDescent="0.2">
      <c r="D921" s="3"/>
    </row>
    <row r="922" spans="4:4" ht="12.75" customHeight="1" x14ac:dyDescent="0.2">
      <c r="D922" s="3"/>
    </row>
    <row r="923" spans="4:4" ht="12.75" customHeight="1" x14ac:dyDescent="0.2">
      <c r="D923" s="3"/>
    </row>
    <row r="924" spans="4:4" ht="12.75" customHeight="1" x14ac:dyDescent="0.2">
      <c r="D924" s="3"/>
    </row>
    <row r="925" spans="4:4" ht="12.75" customHeight="1" x14ac:dyDescent="0.2">
      <c r="D925" s="3"/>
    </row>
    <row r="926" spans="4:4" ht="12.75" customHeight="1" x14ac:dyDescent="0.2">
      <c r="D926" s="3"/>
    </row>
    <row r="927" spans="4:4" ht="12.75" customHeight="1" x14ac:dyDescent="0.2">
      <c r="D927" s="3"/>
    </row>
    <row r="928" spans="4:4" ht="12.75" customHeight="1" x14ac:dyDescent="0.2">
      <c r="D928" s="3"/>
    </row>
    <row r="929" spans="4:4" ht="12.75" customHeight="1" x14ac:dyDescent="0.2">
      <c r="D929" s="3"/>
    </row>
    <row r="930" spans="4:4" ht="12.75" customHeight="1" x14ac:dyDescent="0.2">
      <c r="D930" s="3"/>
    </row>
    <row r="931" spans="4:4" ht="12.75" customHeight="1" x14ac:dyDescent="0.2">
      <c r="D931" s="3"/>
    </row>
    <row r="932" spans="4:4" ht="12.75" customHeight="1" x14ac:dyDescent="0.2">
      <c r="D932" s="3"/>
    </row>
    <row r="933" spans="4:4" ht="12.75" customHeight="1" x14ac:dyDescent="0.2">
      <c r="D933" s="3"/>
    </row>
    <row r="934" spans="4:4" ht="12.75" customHeight="1" x14ac:dyDescent="0.2">
      <c r="D934" s="3"/>
    </row>
    <row r="935" spans="4:4" ht="12.75" customHeight="1" x14ac:dyDescent="0.2">
      <c r="D935" s="3"/>
    </row>
    <row r="936" spans="4:4" ht="12.75" customHeight="1" x14ac:dyDescent="0.2">
      <c r="D936" s="3"/>
    </row>
    <row r="937" spans="4:4" ht="12.75" customHeight="1" x14ac:dyDescent="0.2">
      <c r="D937" s="3"/>
    </row>
    <row r="938" spans="4:4" ht="12.75" customHeight="1" x14ac:dyDescent="0.2">
      <c r="D938" s="3"/>
    </row>
    <row r="939" spans="4:4" ht="12.75" customHeight="1" x14ac:dyDescent="0.2">
      <c r="D939" s="3"/>
    </row>
    <row r="940" spans="4:4" ht="12.75" customHeight="1" x14ac:dyDescent="0.2">
      <c r="D940" s="3"/>
    </row>
    <row r="941" spans="4:4" ht="12.75" customHeight="1" x14ac:dyDescent="0.2">
      <c r="D941" s="3"/>
    </row>
    <row r="942" spans="4:4" ht="12.75" customHeight="1" x14ac:dyDescent="0.2">
      <c r="D942" s="3"/>
    </row>
    <row r="943" spans="4:4" ht="12.75" customHeight="1" x14ac:dyDescent="0.2">
      <c r="D943" s="3"/>
    </row>
    <row r="944" spans="4:4" ht="12.75" customHeight="1" x14ac:dyDescent="0.2">
      <c r="D944" s="3"/>
    </row>
    <row r="945" spans="4:4" ht="12.75" customHeight="1" x14ac:dyDescent="0.2">
      <c r="D945" s="3"/>
    </row>
    <row r="946" spans="4:4" ht="12.75" customHeight="1" x14ac:dyDescent="0.2">
      <c r="D946" s="3"/>
    </row>
    <row r="947" spans="4:4" ht="12.75" customHeight="1" x14ac:dyDescent="0.2">
      <c r="D947" s="3"/>
    </row>
    <row r="948" spans="4:4" ht="12.75" customHeight="1" x14ac:dyDescent="0.2">
      <c r="D948" s="3"/>
    </row>
    <row r="949" spans="4:4" ht="12.75" customHeight="1" x14ac:dyDescent="0.2">
      <c r="D949" s="3"/>
    </row>
    <row r="950" spans="4:4" ht="12.75" customHeight="1" x14ac:dyDescent="0.2">
      <c r="D950" s="3"/>
    </row>
    <row r="951" spans="4:4" ht="12.75" customHeight="1" x14ac:dyDescent="0.2">
      <c r="D951" s="3"/>
    </row>
    <row r="952" spans="4:4" ht="12.75" customHeight="1" x14ac:dyDescent="0.2">
      <c r="D952" s="3"/>
    </row>
    <row r="953" spans="4:4" ht="12.75" customHeight="1" x14ac:dyDescent="0.2">
      <c r="D953" s="3"/>
    </row>
    <row r="954" spans="4:4" ht="12.75" customHeight="1" x14ac:dyDescent="0.2">
      <c r="D954" s="3"/>
    </row>
    <row r="955" spans="4:4" ht="12.75" customHeight="1" x14ac:dyDescent="0.2">
      <c r="D955" s="3"/>
    </row>
    <row r="956" spans="4:4" ht="12.75" customHeight="1" x14ac:dyDescent="0.2">
      <c r="D956" s="3"/>
    </row>
    <row r="957" spans="4:4" ht="12.75" customHeight="1" x14ac:dyDescent="0.2">
      <c r="D957" s="3"/>
    </row>
    <row r="958" spans="4:4" ht="12.75" customHeight="1" x14ac:dyDescent="0.2">
      <c r="D958" s="3"/>
    </row>
    <row r="959" spans="4:4" ht="12.75" customHeight="1" x14ac:dyDescent="0.2">
      <c r="D959" s="3"/>
    </row>
    <row r="960" spans="4:4" ht="12.75" customHeight="1" x14ac:dyDescent="0.2">
      <c r="D960" s="3"/>
    </row>
    <row r="961" spans="4:4" ht="12.75" customHeight="1" x14ac:dyDescent="0.2">
      <c r="D961" s="3"/>
    </row>
    <row r="962" spans="4:4" ht="12.75" customHeight="1" x14ac:dyDescent="0.2">
      <c r="D962" s="3"/>
    </row>
    <row r="963" spans="4:4" ht="12.75" customHeight="1" x14ac:dyDescent="0.2">
      <c r="D963" s="3"/>
    </row>
    <row r="964" spans="4:4" ht="12.75" customHeight="1" x14ac:dyDescent="0.2">
      <c r="D964" s="3"/>
    </row>
    <row r="965" spans="4:4" ht="12.75" customHeight="1" x14ac:dyDescent="0.2">
      <c r="D965" s="3"/>
    </row>
    <row r="966" spans="4:4" ht="12.75" customHeight="1" x14ac:dyDescent="0.2">
      <c r="D966" s="3"/>
    </row>
    <row r="967" spans="4:4" ht="12.75" customHeight="1" x14ac:dyDescent="0.2">
      <c r="D967" s="3"/>
    </row>
    <row r="968" spans="4:4" ht="12.75" customHeight="1" x14ac:dyDescent="0.2">
      <c r="D968" s="3"/>
    </row>
    <row r="969" spans="4:4" ht="12.75" customHeight="1" x14ac:dyDescent="0.2">
      <c r="D969" s="3"/>
    </row>
    <row r="970" spans="4:4" ht="12.75" customHeight="1" x14ac:dyDescent="0.2">
      <c r="D970" s="3"/>
    </row>
    <row r="971" spans="4:4" ht="12.75" customHeight="1" x14ac:dyDescent="0.2">
      <c r="D971" s="3"/>
    </row>
    <row r="972" spans="4:4" ht="12.75" customHeight="1" x14ac:dyDescent="0.2">
      <c r="D972" s="3"/>
    </row>
    <row r="973" spans="4:4" ht="12.75" customHeight="1" x14ac:dyDescent="0.2">
      <c r="D973" s="3"/>
    </row>
    <row r="974" spans="4:4" ht="12.75" customHeight="1" x14ac:dyDescent="0.2">
      <c r="D974" s="3"/>
    </row>
    <row r="975" spans="4:4" ht="12.75" customHeight="1" x14ac:dyDescent="0.2">
      <c r="D975" s="3"/>
    </row>
    <row r="976" spans="4:4" ht="12.75" customHeight="1" x14ac:dyDescent="0.2">
      <c r="D976" s="3"/>
    </row>
    <row r="977" spans="4:4" ht="12.75" customHeight="1" x14ac:dyDescent="0.2">
      <c r="D977" s="3"/>
    </row>
    <row r="978" spans="4:4" ht="12.75" customHeight="1" x14ac:dyDescent="0.2">
      <c r="D978" s="3"/>
    </row>
    <row r="979" spans="4:4" ht="12.75" customHeight="1" x14ac:dyDescent="0.2">
      <c r="D979" s="3"/>
    </row>
    <row r="980" spans="4:4" ht="12.75" customHeight="1" x14ac:dyDescent="0.2">
      <c r="D980" s="3"/>
    </row>
    <row r="981" spans="4:4" ht="12.75" customHeight="1" x14ac:dyDescent="0.2">
      <c r="D981" s="3"/>
    </row>
    <row r="982" spans="4:4" ht="12.75" customHeight="1" x14ac:dyDescent="0.2">
      <c r="D982" s="3"/>
    </row>
    <row r="983" spans="4:4" ht="12.75" customHeight="1" x14ac:dyDescent="0.2">
      <c r="D983" s="3"/>
    </row>
    <row r="984" spans="4:4" ht="12.75" customHeight="1" x14ac:dyDescent="0.2">
      <c r="D984" s="3"/>
    </row>
    <row r="985" spans="4:4" ht="12.75" customHeight="1" x14ac:dyDescent="0.2">
      <c r="D985" s="3"/>
    </row>
    <row r="986" spans="4:4" ht="12.75" customHeight="1" x14ac:dyDescent="0.2">
      <c r="D986" s="3"/>
    </row>
    <row r="987" spans="4:4" ht="12.75" customHeight="1" x14ac:dyDescent="0.2">
      <c r="D987" s="3"/>
    </row>
    <row r="988" spans="4:4" ht="12.75" customHeight="1" x14ac:dyDescent="0.2">
      <c r="D988" s="3"/>
    </row>
    <row r="989" spans="4:4" ht="12.75" customHeight="1" x14ac:dyDescent="0.2">
      <c r="D989" s="3"/>
    </row>
    <row r="990" spans="4:4" ht="12.75" customHeight="1" x14ac:dyDescent="0.2">
      <c r="D990" s="3"/>
    </row>
    <row r="991" spans="4:4" ht="12.75" customHeight="1" x14ac:dyDescent="0.2">
      <c r="D991" s="3"/>
    </row>
    <row r="992" spans="4:4" ht="12.75" customHeight="1" x14ac:dyDescent="0.2">
      <c r="D992" s="3"/>
    </row>
    <row r="993" spans="4:4" ht="12.75" customHeight="1" x14ac:dyDescent="0.2">
      <c r="D993" s="3"/>
    </row>
    <row r="994" spans="4:4" ht="12.75" customHeight="1" x14ac:dyDescent="0.2">
      <c r="D994" s="3"/>
    </row>
    <row r="995" spans="4:4" ht="12.75" customHeight="1" x14ac:dyDescent="0.2">
      <c r="D995" s="3"/>
    </row>
    <row r="996" spans="4:4" ht="12.75" customHeight="1" x14ac:dyDescent="0.2">
      <c r="D996" s="3"/>
    </row>
    <row r="997" spans="4:4" ht="12.75" customHeight="1" x14ac:dyDescent="0.2">
      <c r="D997" s="3"/>
    </row>
    <row r="998" spans="4:4" ht="12.75" customHeight="1" x14ac:dyDescent="0.2">
      <c r="D998" s="3"/>
    </row>
    <row r="999" spans="4:4" ht="12.75" customHeight="1" x14ac:dyDescent="0.2">
      <c r="D999" s="3"/>
    </row>
    <row r="1000" spans="4:4" ht="12.75" customHeight="1" x14ac:dyDescent="0.2">
      <c r="D1000" s="3"/>
    </row>
  </sheetData>
  <mergeCells count="3">
    <mergeCell ref="A3:D3"/>
    <mergeCell ref="A4:D4"/>
    <mergeCell ref="A5:D5"/>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00"/>
  <sheetViews>
    <sheetView showGridLines="0" view="pageBreakPreview" topLeftCell="A13" zoomScale="130" zoomScaleNormal="100" zoomScaleSheetLayoutView="130" workbookViewId="0">
      <selection activeCell="E16" sqref="E16"/>
    </sheetView>
  </sheetViews>
  <sheetFormatPr baseColWidth="10" defaultRowHeight="15" customHeight="1" x14ac:dyDescent="0.2"/>
  <cols>
    <col min="1" max="1" width="27.85546875" style="173" customWidth="1"/>
    <col min="2" max="2" width="30.5703125" style="173" customWidth="1"/>
    <col min="3" max="3" width="32.140625" style="173" customWidth="1"/>
    <col min="4" max="4" width="36.140625" style="173" customWidth="1"/>
    <col min="5" max="256" width="11.42578125" style="173"/>
    <col min="257" max="257" width="27.85546875" style="173" customWidth="1"/>
    <col min="258" max="258" width="30.5703125" style="173" customWidth="1"/>
    <col min="259" max="259" width="32.140625" style="173" customWidth="1"/>
    <col min="260" max="260" width="36.140625" style="173" customWidth="1"/>
    <col min="261" max="512" width="11.42578125" style="173"/>
    <col min="513" max="513" width="27.85546875" style="173" customWidth="1"/>
    <col min="514" max="514" width="30.5703125" style="173" customWidth="1"/>
    <col min="515" max="515" width="32.140625" style="173" customWidth="1"/>
    <col min="516" max="516" width="36.140625" style="173" customWidth="1"/>
    <col min="517" max="768" width="11.42578125" style="173"/>
    <col min="769" max="769" width="27.85546875" style="173" customWidth="1"/>
    <col min="770" max="770" width="30.5703125" style="173" customWidth="1"/>
    <col min="771" max="771" width="32.140625" style="173" customWidth="1"/>
    <col min="772" max="772" width="36.140625" style="173" customWidth="1"/>
    <col min="773" max="1024" width="11.42578125" style="173"/>
    <col min="1025" max="1025" width="27.85546875" style="173" customWidth="1"/>
    <col min="1026" max="1026" width="30.5703125" style="173" customWidth="1"/>
    <col min="1027" max="1027" width="32.140625" style="173" customWidth="1"/>
    <col min="1028" max="1028" width="36.140625" style="173" customWidth="1"/>
    <col min="1029" max="1280" width="11.42578125" style="173"/>
    <col min="1281" max="1281" width="27.85546875" style="173" customWidth="1"/>
    <col min="1282" max="1282" width="30.5703125" style="173" customWidth="1"/>
    <col min="1283" max="1283" width="32.140625" style="173" customWidth="1"/>
    <col min="1284" max="1284" width="36.140625" style="173" customWidth="1"/>
    <col min="1285" max="1536" width="11.42578125" style="173"/>
    <col min="1537" max="1537" width="27.85546875" style="173" customWidth="1"/>
    <col min="1538" max="1538" width="30.5703125" style="173" customWidth="1"/>
    <col min="1539" max="1539" width="32.140625" style="173" customWidth="1"/>
    <col min="1540" max="1540" width="36.140625" style="173" customWidth="1"/>
    <col min="1541" max="1792" width="11.42578125" style="173"/>
    <col min="1793" max="1793" width="27.85546875" style="173" customWidth="1"/>
    <col min="1794" max="1794" width="30.5703125" style="173" customWidth="1"/>
    <col min="1795" max="1795" width="32.140625" style="173" customWidth="1"/>
    <col min="1796" max="1796" width="36.140625" style="173" customWidth="1"/>
    <col min="1797" max="2048" width="11.42578125" style="173"/>
    <col min="2049" max="2049" width="27.85546875" style="173" customWidth="1"/>
    <col min="2050" max="2050" width="30.5703125" style="173" customWidth="1"/>
    <col min="2051" max="2051" width="32.140625" style="173" customWidth="1"/>
    <col min="2052" max="2052" width="36.140625" style="173" customWidth="1"/>
    <col min="2053" max="2304" width="11.42578125" style="173"/>
    <col min="2305" max="2305" width="27.85546875" style="173" customWidth="1"/>
    <col min="2306" max="2306" width="30.5703125" style="173" customWidth="1"/>
    <col min="2307" max="2307" width="32.140625" style="173" customWidth="1"/>
    <col min="2308" max="2308" width="36.140625" style="173" customWidth="1"/>
    <col min="2309" max="2560" width="11.42578125" style="173"/>
    <col min="2561" max="2561" width="27.85546875" style="173" customWidth="1"/>
    <col min="2562" max="2562" width="30.5703125" style="173" customWidth="1"/>
    <col min="2563" max="2563" width="32.140625" style="173" customWidth="1"/>
    <col min="2564" max="2564" width="36.140625" style="173" customWidth="1"/>
    <col min="2565" max="2816" width="11.42578125" style="173"/>
    <col min="2817" max="2817" width="27.85546875" style="173" customWidth="1"/>
    <col min="2818" max="2818" width="30.5703125" style="173" customWidth="1"/>
    <col min="2819" max="2819" width="32.140625" style="173" customWidth="1"/>
    <col min="2820" max="2820" width="36.140625" style="173" customWidth="1"/>
    <col min="2821" max="3072" width="11.42578125" style="173"/>
    <col min="3073" max="3073" width="27.85546875" style="173" customWidth="1"/>
    <col min="3074" max="3074" width="30.5703125" style="173" customWidth="1"/>
    <col min="3075" max="3075" width="32.140625" style="173" customWidth="1"/>
    <col min="3076" max="3076" width="36.140625" style="173" customWidth="1"/>
    <col min="3077" max="3328" width="11.42578125" style="173"/>
    <col min="3329" max="3329" width="27.85546875" style="173" customWidth="1"/>
    <col min="3330" max="3330" width="30.5703125" style="173" customWidth="1"/>
    <col min="3331" max="3331" width="32.140625" style="173" customWidth="1"/>
    <col min="3332" max="3332" width="36.140625" style="173" customWidth="1"/>
    <col min="3333" max="3584" width="11.42578125" style="173"/>
    <col min="3585" max="3585" width="27.85546875" style="173" customWidth="1"/>
    <col min="3586" max="3586" width="30.5703125" style="173" customWidth="1"/>
    <col min="3587" max="3587" width="32.140625" style="173" customWidth="1"/>
    <col min="3588" max="3588" width="36.140625" style="173" customWidth="1"/>
    <col min="3589" max="3840" width="11.42578125" style="173"/>
    <col min="3841" max="3841" width="27.85546875" style="173" customWidth="1"/>
    <col min="3842" max="3842" width="30.5703125" style="173" customWidth="1"/>
    <col min="3843" max="3843" width="32.140625" style="173" customWidth="1"/>
    <col min="3844" max="3844" width="36.140625" style="173" customWidth="1"/>
    <col min="3845" max="4096" width="11.42578125" style="173"/>
    <col min="4097" max="4097" width="27.85546875" style="173" customWidth="1"/>
    <col min="4098" max="4098" width="30.5703125" style="173" customWidth="1"/>
    <col min="4099" max="4099" width="32.140625" style="173" customWidth="1"/>
    <col min="4100" max="4100" width="36.140625" style="173" customWidth="1"/>
    <col min="4101" max="4352" width="11.42578125" style="173"/>
    <col min="4353" max="4353" width="27.85546875" style="173" customWidth="1"/>
    <col min="4354" max="4354" width="30.5703125" style="173" customWidth="1"/>
    <col min="4355" max="4355" width="32.140625" style="173" customWidth="1"/>
    <col min="4356" max="4356" width="36.140625" style="173" customWidth="1"/>
    <col min="4357" max="4608" width="11.42578125" style="173"/>
    <col min="4609" max="4609" width="27.85546875" style="173" customWidth="1"/>
    <col min="4610" max="4610" width="30.5703125" style="173" customWidth="1"/>
    <col min="4611" max="4611" width="32.140625" style="173" customWidth="1"/>
    <col min="4612" max="4612" width="36.140625" style="173" customWidth="1"/>
    <col min="4613" max="4864" width="11.42578125" style="173"/>
    <col min="4865" max="4865" width="27.85546875" style="173" customWidth="1"/>
    <col min="4866" max="4866" width="30.5703125" style="173" customWidth="1"/>
    <col min="4867" max="4867" width="32.140625" style="173" customWidth="1"/>
    <col min="4868" max="4868" width="36.140625" style="173" customWidth="1"/>
    <col min="4869" max="5120" width="11.42578125" style="173"/>
    <col min="5121" max="5121" width="27.85546875" style="173" customWidth="1"/>
    <col min="5122" max="5122" width="30.5703125" style="173" customWidth="1"/>
    <col min="5123" max="5123" width="32.140625" style="173" customWidth="1"/>
    <col min="5124" max="5124" width="36.140625" style="173" customWidth="1"/>
    <col min="5125" max="5376" width="11.42578125" style="173"/>
    <col min="5377" max="5377" width="27.85546875" style="173" customWidth="1"/>
    <col min="5378" max="5378" width="30.5703125" style="173" customWidth="1"/>
    <col min="5379" max="5379" width="32.140625" style="173" customWidth="1"/>
    <col min="5380" max="5380" width="36.140625" style="173" customWidth="1"/>
    <col min="5381" max="5632" width="11.42578125" style="173"/>
    <col min="5633" max="5633" width="27.85546875" style="173" customWidth="1"/>
    <col min="5634" max="5634" width="30.5703125" style="173" customWidth="1"/>
    <col min="5635" max="5635" width="32.140625" style="173" customWidth="1"/>
    <col min="5636" max="5636" width="36.140625" style="173" customWidth="1"/>
    <col min="5637" max="5888" width="11.42578125" style="173"/>
    <col min="5889" max="5889" width="27.85546875" style="173" customWidth="1"/>
    <col min="5890" max="5890" width="30.5703125" style="173" customWidth="1"/>
    <col min="5891" max="5891" width="32.140625" style="173" customWidth="1"/>
    <col min="5892" max="5892" width="36.140625" style="173" customWidth="1"/>
    <col min="5893" max="6144" width="11.42578125" style="173"/>
    <col min="6145" max="6145" width="27.85546875" style="173" customWidth="1"/>
    <col min="6146" max="6146" width="30.5703125" style="173" customWidth="1"/>
    <col min="6147" max="6147" width="32.140625" style="173" customWidth="1"/>
    <col min="6148" max="6148" width="36.140625" style="173" customWidth="1"/>
    <col min="6149" max="6400" width="11.42578125" style="173"/>
    <col min="6401" max="6401" width="27.85546875" style="173" customWidth="1"/>
    <col min="6402" max="6402" width="30.5703125" style="173" customWidth="1"/>
    <col min="6403" max="6403" width="32.140625" style="173" customWidth="1"/>
    <col min="6404" max="6404" width="36.140625" style="173" customWidth="1"/>
    <col min="6405" max="6656" width="11.42578125" style="173"/>
    <col min="6657" max="6657" width="27.85546875" style="173" customWidth="1"/>
    <col min="6658" max="6658" width="30.5703125" style="173" customWidth="1"/>
    <col min="6659" max="6659" width="32.140625" style="173" customWidth="1"/>
    <col min="6660" max="6660" width="36.140625" style="173" customWidth="1"/>
    <col min="6661" max="6912" width="11.42578125" style="173"/>
    <col min="6913" max="6913" width="27.85546875" style="173" customWidth="1"/>
    <col min="6914" max="6914" width="30.5703125" style="173" customWidth="1"/>
    <col min="6915" max="6915" width="32.140625" style="173" customWidth="1"/>
    <col min="6916" max="6916" width="36.140625" style="173" customWidth="1"/>
    <col min="6917" max="7168" width="11.42578125" style="173"/>
    <col min="7169" max="7169" width="27.85546875" style="173" customWidth="1"/>
    <col min="7170" max="7170" width="30.5703125" style="173" customWidth="1"/>
    <col min="7171" max="7171" width="32.140625" style="173" customWidth="1"/>
    <col min="7172" max="7172" width="36.140625" style="173" customWidth="1"/>
    <col min="7173" max="7424" width="11.42578125" style="173"/>
    <col min="7425" max="7425" width="27.85546875" style="173" customWidth="1"/>
    <col min="7426" max="7426" width="30.5703125" style="173" customWidth="1"/>
    <col min="7427" max="7427" width="32.140625" style="173" customWidth="1"/>
    <col min="7428" max="7428" width="36.140625" style="173" customWidth="1"/>
    <col min="7429" max="7680" width="11.42578125" style="173"/>
    <col min="7681" max="7681" width="27.85546875" style="173" customWidth="1"/>
    <col min="7682" max="7682" width="30.5703125" style="173" customWidth="1"/>
    <col min="7683" max="7683" width="32.140625" style="173" customWidth="1"/>
    <col min="7684" max="7684" width="36.140625" style="173" customWidth="1"/>
    <col min="7685" max="7936" width="11.42578125" style="173"/>
    <col min="7937" max="7937" width="27.85546875" style="173" customWidth="1"/>
    <col min="7938" max="7938" width="30.5703125" style="173" customWidth="1"/>
    <col min="7939" max="7939" width="32.140625" style="173" customWidth="1"/>
    <col min="7940" max="7940" width="36.140625" style="173" customWidth="1"/>
    <col min="7941" max="8192" width="11.42578125" style="173"/>
    <col min="8193" max="8193" width="27.85546875" style="173" customWidth="1"/>
    <col min="8194" max="8194" width="30.5703125" style="173" customWidth="1"/>
    <col min="8195" max="8195" width="32.140625" style="173" customWidth="1"/>
    <col min="8196" max="8196" width="36.140625" style="173" customWidth="1"/>
    <col min="8197" max="8448" width="11.42578125" style="173"/>
    <col min="8449" max="8449" width="27.85546875" style="173" customWidth="1"/>
    <col min="8450" max="8450" width="30.5703125" style="173" customWidth="1"/>
    <col min="8451" max="8451" width="32.140625" style="173" customWidth="1"/>
    <col min="8452" max="8452" width="36.140625" style="173" customWidth="1"/>
    <col min="8453" max="8704" width="11.42578125" style="173"/>
    <col min="8705" max="8705" width="27.85546875" style="173" customWidth="1"/>
    <col min="8706" max="8706" width="30.5703125" style="173" customWidth="1"/>
    <col min="8707" max="8707" width="32.140625" style="173" customWidth="1"/>
    <col min="8708" max="8708" width="36.140625" style="173" customWidth="1"/>
    <col min="8709" max="8960" width="11.42578125" style="173"/>
    <col min="8961" max="8961" width="27.85546875" style="173" customWidth="1"/>
    <col min="8962" max="8962" width="30.5703125" style="173" customWidth="1"/>
    <col min="8963" max="8963" width="32.140625" style="173" customWidth="1"/>
    <col min="8964" max="8964" width="36.140625" style="173" customWidth="1"/>
    <col min="8965" max="9216" width="11.42578125" style="173"/>
    <col min="9217" max="9217" width="27.85546875" style="173" customWidth="1"/>
    <col min="9218" max="9218" width="30.5703125" style="173" customWidth="1"/>
    <col min="9219" max="9219" width="32.140625" style="173" customWidth="1"/>
    <col min="9220" max="9220" width="36.140625" style="173" customWidth="1"/>
    <col min="9221" max="9472" width="11.42578125" style="173"/>
    <col min="9473" max="9473" width="27.85546875" style="173" customWidth="1"/>
    <col min="9474" max="9474" width="30.5703125" style="173" customWidth="1"/>
    <col min="9475" max="9475" width="32.140625" style="173" customWidth="1"/>
    <col min="9476" max="9476" width="36.140625" style="173" customWidth="1"/>
    <col min="9477" max="9728" width="11.42578125" style="173"/>
    <col min="9729" max="9729" width="27.85546875" style="173" customWidth="1"/>
    <col min="9730" max="9730" width="30.5703125" style="173" customWidth="1"/>
    <col min="9731" max="9731" width="32.140625" style="173" customWidth="1"/>
    <col min="9732" max="9732" width="36.140625" style="173" customWidth="1"/>
    <col min="9733" max="9984" width="11.42578125" style="173"/>
    <col min="9985" max="9985" width="27.85546875" style="173" customWidth="1"/>
    <col min="9986" max="9986" width="30.5703125" style="173" customWidth="1"/>
    <col min="9987" max="9987" width="32.140625" style="173" customWidth="1"/>
    <col min="9988" max="9988" width="36.140625" style="173" customWidth="1"/>
    <col min="9989" max="10240" width="11.42578125" style="173"/>
    <col min="10241" max="10241" width="27.85546875" style="173" customWidth="1"/>
    <col min="10242" max="10242" width="30.5703125" style="173" customWidth="1"/>
    <col min="10243" max="10243" width="32.140625" style="173" customWidth="1"/>
    <col min="10244" max="10244" width="36.140625" style="173" customWidth="1"/>
    <col min="10245" max="10496" width="11.42578125" style="173"/>
    <col min="10497" max="10497" width="27.85546875" style="173" customWidth="1"/>
    <col min="10498" max="10498" width="30.5703125" style="173" customWidth="1"/>
    <col min="10499" max="10499" width="32.140625" style="173" customWidth="1"/>
    <col min="10500" max="10500" width="36.140625" style="173" customWidth="1"/>
    <col min="10501" max="10752" width="11.42578125" style="173"/>
    <col min="10753" max="10753" width="27.85546875" style="173" customWidth="1"/>
    <col min="10754" max="10754" width="30.5703125" style="173" customWidth="1"/>
    <col min="10755" max="10755" width="32.140625" style="173" customWidth="1"/>
    <col min="10756" max="10756" width="36.140625" style="173" customWidth="1"/>
    <col min="10757" max="11008" width="11.42578125" style="173"/>
    <col min="11009" max="11009" width="27.85546875" style="173" customWidth="1"/>
    <col min="11010" max="11010" width="30.5703125" style="173" customWidth="1"/>
    <col min="11011" max="11011" width="32.140625" style="173" customWidth="1"/>
    <col min="11012" max="11012" width="36.140625" style="173" customWidth="1"/>
    <col min="11013" max="11264" width="11.42578125" style="173"/>
    <col min="11265" max="11265" width="27.85546875" style="173" customWidth="1"/>
    <col min="11266" max="11266" width="30.5703125" style="173" customWidth="1"/>
    <col min="11267" max="11267" width="32.140625" style="173" customWidth="1"/>
    <col min="11268" max="11268" width="36.140625" style="173" customWidth="1"/>
    <col min="11269" max="11520" width="11.42578125" style="173"/>
    <col min="11521" max="11521" width="27.85546875" style="173" customWidth="1"/>
    <col min="11522" max="11522" width="30.5703125" style="173" customWidth="1"/>
    <col min="11523" max="11523" width="32.140625" style="173" customWidth="1"/>
    <col min="11524" max="11524" width="36.140625" style="173" customWidth="1"/>
    <col min="11525" max="11776" width="11.42578125" style="173"/>
    <col min="11777" max="11777" width="27.85546875" style="173" customWidth="1"/>
    <col min="11778" max="11778" width="30.5703125" style="173" customWidth="1"/>
    <col min="11779" max="11779" width="32.140625" style="173" customWidth="1"/>
    <col min="11780" max="11780" width="36.140625" style="173" customWidth="1"/>
    <col min="11781" max="12032" width="11.42578125" style="173"/>
    <col min="12033" max="12033" width="27.85546875" style="173" customWidth="1"/>
    <col min="12034" max="12034" width="30.5703125" style="173" customWidth="1"/>
    <col min="12035" max="12035" width="32.140625" style="173" customWidth="1"/>
    <col min="12036" max="12036" width="36.140625" style="173" customWidth="1"/>
    <col min="12037" max="12288" width="11.42578125" style="173"/>
    <col min="12289" max="12289" width="27.85546875" style="173" customWidth="1"/>
    <col min="12290" max="12290" width="30.5703125" style="173" customWidth="1"/>
    <col min="12291" max="12291" width="32.140625" style="173" customWidth="1"/>
    <col min="12292" max="12292" width="36.140625" style="173" customWidth="1"/>
    <col min="12293" max="12544" width="11.42578125" style="173"/>
    <col min="12545" max="12545" width="27.85546875" style="173" customWidth="1"/>
    <col min="12546" max="12546" width="30.5703125" style="173" customWidth="1"/>
    <col min="12547" max="12547" width="32.140625" style="173" customWidth="1"/>
    <col min="12548" max="12548" width="36.140625" style="173" customWidth="1"/>
    <col min="12549" max="12800" width="11.42578125" style="173"/>
    <col min="12801" max="12801" width="27.85546875" style="173" customWidth="1"/>
    <col min="12802" max="12802" width="30.5703125" style="173" customWidth="1"/>
    <col min="12803" max="12803" width="32.140625" style="173" customWidth="1"/>
    <col min="12804" max="12804" width="36.140625" style="173" customWidth="1"/>
    <col min="12805" max="13056" width="11.42578125" style="173"/>
    <col min="13057" max="13057" width="27.85546875" style="173" customWidth="1"/>
    <col min="13058" max="13058" width="30.5703125" style="173" customWidth="1"/>
    <col min="13059" max="13059" width="32.140625" style="173" customWidth="1"/>
    <col min="13060" max="13060" width="36.140625" style="173" customWidth="1"/>
    <col min="13061" max="13312" width="11.42578125" style="173"/>
    <col min="13313" max="13313" width="27.85546875" style="173" customWidth="1"/>
    <col min="13314" max="13314" width="30.5703125" style="173" customWidth="1"/>
    <col min="13315" max="13315" width="32.140625" style="173" customWidth="1"/>
    <col min="13316" max="13316" width="36.140625" style="173" customWidth="1"/>
    <col min="13317" max="13568" width="11.42578125" style="173"/>
    <col min="13569" max="13569" width="27.85546875" style="173" customWidth="1"/>
    <col min="13570" max="13570" width="30.5703125" style="173" customWidth="1"/>
    <col min="13571" max="13571" width="32.140625" style="173" customWidth="1"/>
    <col min="13572" max="13572" width="36.140625" style="173" customWidth="1"/>
    <col min="13573" max="13824" width="11.42578125" style="173"/>
    <col min="13825" max="13825" width="27.85546875" style="173" customWidth="1"/>
    <col min="13826" max="13826" width="30.5703125" style="173" customWidth="1"/>
    <col min="13827" max="13827" width="32.140625" style="173" customWidth="1"/>
    <col min="13828" max="13828" width="36.140625" style="173" customWidth="1"/>
    <col min="13829" max="14080" width="11.42578125" style="173"/>
    <col min="14081" max="14081" width="27.85546875" style="173" customWidth="1"/>
    <col min="14082" max="14082" width="30.5703125" style="173" customWidth="1"/>
    <col min="14083" max="14083" width="32.140625" style="173" customWidth="1"/>
    <col min="14084" max="14084" width="36.140625" style="173" customWidth="1"/>
    <col min="14085" max="14336" width="11.42578125" style="173"/>
    <col min="14337" max="14337" width="27.85546875" style="173" customWidth="1"/>
    <col min="14338" max="14338" width="30.5703125" style="173" customWidth="1"/>
    <col min="14339" max="14339" width="32.140625" style="173" customWidth="1"/>
    <col min="14340" max="14340" width="36.140625" style="173" customWidth="1"/>
    <col min="14341" max="14592" width="11.42578125" style="173"/>
    <col min="14593" max="14593" width="27.85546875" style="173" customWidth="1"/>
    <col min="14594" max="14594" width="30.5703125" style="173" customWidth="1"/>
    <col min="14595" max="14595" width="32.140625" style="173" customWidth="1"/>
    <col min="14596" max="14596" width="36.140625" style="173" customWidth="1"/>
    <col min="14597" max="14848" width="11.42578125" style="173"/>
    <col min="14849" max="14849" width="27.85546875" style="173" customWidth="1"/>
    <col min="14850" max="14850" width="30.5703125" style="173" customWidth="1"/>
    <col min="14851" max="14851" width="32.140625" style="173" customWidth="1"/>
    <col min="14852" max="14852" width="36.140625" style="173" customWidth="1"/>
    <col min="14853" max="15104" width="11.42578125" style="173"/>
    <col min="15105" max="15105" width="27.85546875" style="173" customWidth="1"/>
    <col min="15106" max="15106" width="30.5703125" style="173" customWidth="1"/>
    <col min="15107" max="15107" width="32.140625" style="173" customWidth="1"/>
    <col min="15108" max="15108" width="36.140625" style="173" customWidth="1"/>
    <col min="15109" max="15360" width="11.42578125" style="173"/>
    <col min="15361" max="15361" width="27.85546875" style="173" customWidth="1"/>
    <col min="15362" max="15362" width="30.5703125" style="173" customWidth="1"/>
    <col min="15363" max="15363" width="32.140625" style="173" customWidth="1"/>
    <col min="15364" max="15364" width="36.140625" style="173" customWidth="1"/>
    <col min="15365" max="15616" width="11.42578125" style="173"/>
    <col min="15617" max="15617" width="27.85546875" style="173" customWidth="1"/>
    <col min="15618" max="15618" width="30.5703125" style="173" customWidth="1"/>
    <col min="15619" max="15619" width="32.140625" style="173" customWidth="1"/>
    <col min="15620" max="15620" width="36.140625" style="173" customWidth="1"/>
    <col min="15621" max="15872" width="11.42578125" style="173"/>
    <col min="15873" max="15873" width="27.85546875" style="173" customWidth="1"/>
    <col min="15874" max="15874" width="30.5703125" style="173" customWidth="1"/>
    <col min="15875" max="15875" width="32.140625" style="173" customWidth="1"/>
    <col min="15876" max="15876" width="36.140625" style="173" customWidth="1"/>
    <col min="15877" max="16128" width="11.42578125" style="173"/>
    <col min="16129" max="16129" width="27.85546875" style="173" customWidth="1"/>
    <col min="16130" max="16130" width="30.5703125" style="173" customWidth="1"/>
    <col min="16131" max="16131" width="32.140625" style="173" customWidth="1"/>
    <col min="16132" max="16132" width="36.140625" style="173" customWidth="1"/>
    <col min="16133" max="16384" width="11.42578125" style="173"/>
  </cols>
  <sheetData>
    <row r="1" spans="1:4" ht="14.25" customHeight="1" x14ac:dyDescent="0.2">
      <c r="A1" s="201"/>
      <c r="B1" s="201"/>
      <c r="C1" s="201"/>
      <c r="D1" s="201"/>
    </row>
    <row r="2" spans="1:4" ht="15.75" x14ac:dyDescent="0.2">
      <c r="A2" s="703" t="s">
        <v>336</v>
      </c>
      <c r="B2" s="703"/>
      <c r="C2" s="703"/>
      <c r="D2" s="703"/>
    </row>
    <row r="3" spans="1:4" ht="15.75" x14ac:dyDescent="0.2">
      <c r="A3" s="703" t="s">
        <v>337</v>
      </c>
      <c r="B3" s="703"/>
      <c r="C3" s="703"/>
      <c r="D3" s="703"/>
    </row>
    <row r="4" spans="1:4" ht="15.75" x14ac:dyDescent="0.2">
      <c r="A4" s="703" t="s">
        <v>169</v>
      </c>
      <c r="B4" s="703"/>
      <c r="C4" s="703"/>
      <c r="D4" s="703"/>
    </row>
    <row r="5" spans="1:4" ht="12.75" x14ac:dyDescent="0.2"/>
    <row r="6" spans="1:4" ht="13.5" thickBot="1" x14ac:dyDescent="0.25"/>
    <row r="7" spans="1:4" ht="28.5" customHeight="1" x14ac:dyDescent="0.2">
      <c r="A7" s="202" t="s">
        <v>170</v>
      </c>
      <c r="B7" s="203" t="s">
        <v>171</v>
      </c>
      <c r="C7" s="203" t="s">
        <v>172</v>
      </c>
      <c r="D7" s="204" t="s">
        <v>173</v>
      </c>
    </row>
    <row r="8" spans="1:4" ht="89.25" customHeight="1" x14ac:dyDescent="0.2">
      <c r="A8" s="191" t="s">
        <v>312</v>
      </c>
      <c r="B8" s="192" t="s">
        <v>313</v>
      </c>
      <c r="C8" s="192" t="s">
        <v>314</v>
      </c>
      <c r="D8" s="193"/>
    </row>
    <row r="9" spans="1:4" ht="51" x14ac:dyDescent="0.2">
      <c r="A9" s="191" t="s">
        <v>315</v>
      </c>
      <c r="B9" s="192" t="s">
        <v>316</v>
      </c>
      <c r="C9" s="192" t="s">
        <v>317</v>
      </c>
      <c r="D9" s="194"/>
    </row>
    <row r="10" spans="1:4" ht="102" x14ac:dyDescent="0.2">
      <c r="A10" s="191" t="s">
        <v>318</v>
      </c>
      <c r="B10" s="192" t="s">
        <v>319</v>
      </c>
      <c r="C10" s="192" t="s">
        <v>320</v>
      </c>
      <c r="D10" s="193"/>
    </row>
    <row r="11" spans="1:4" ht="26.25" thickBot="1" x14ac:dyDescent="0.25">
      <c r="A11" s="195" t="s">
        <v>321</v>
      </c>
      <c r="B11" s="196" t="s">
        <v>322</v>
      </c>
      <c r="C11" s="196" t="s">
        <v>323</v>
      </c>
      <c r="D11" s="197"/>
    </row>
    <row r="12" spans="1:4" ht="39" thickBot="1" x14ac:dyDescent="0.25">
      <c r="A12" s="195" t="s">
        <v>324</v>
      </c>
      <c r="B12" s="196" t="s">
        <v>325</v>
      </c>
      <c r="C12" s="196" t="s">
        <v>326</v>
      </c>
      <c r="D12" s="197"/>
    </row>
    <row r="13" spans="1:4" ht="76.5" x14ac:dyDescent="0.2">
      <c r="A13" s="191" t="s">
        <v>327</v>
      </c>
      <c r="B13" s="192" t="s">
        <v>328</v>
      </c>
      <c r="C13" s="192" t="s">
        <v>329</v>
      </c>
      <c r="D13" s="193"/>
    </row>
    <row r="14" spans="1:4" ht="38.25" x14ac:dyDescent="0.2">
      <c r="A14" s="191" t="s">
        <v>330</v>
      </c>
      <c r="B14" s="192" t="s">
        <v>331</v>
      </c>
      <c r="C14" s="192" t="s">
        <v>332</v>
      </c>
      <c r="D14" s="193"/>
    </row>
    <row r="15" spans="1:4" ht="63.75" x14ac:dyDescent="0.2">
      <c r="A15" s="198" t="s">
        <v>333</v>
      </c>
      <c r="B15" s="192" t="s">
        <v>334</v>
      </c>
      <c r="C15" s="192" t="s">
        <v>335</v>
      </c>
      <c r="D15" s="199"/>
    </row>
    <row r="16" spans="1:4" ht="57" customHeight="1" thickBot="1" x14ac:dyDescent="0.25">
      <c r="A16" s="704" t="s">
        <v>174</v>
      </c>
      <c r="B16" s="705"/>
      <c r="C16" s="705"/>
      <c r="D16" s="706"/>
    </row>
    <row r="17" spans="1:4" ht="12.75" x14ac:dyDescent="0.2"/>
    <row r="18" spans="1:4" ht="12.75" x14ac:dyDescent="0.2">
      <c r="A18" s="707"/>
      <c r="B18" s="707"/>
      <c r="C18" s="707"/>
      <c r="D18" s="707"/>
    </row>
    <row r="19" spans="1:4" ht="12.75" x14ac:dyDescent="0.2">
      <c r="A19" s="707"/>
      <c r="B19" s="707"/>
      <c r="C19" s="707"/>
      <c r="D19" s="707"/>
    </row>
    <row r="20" spans="1:4" ht="12.75" x14ac:dyDescent="0.2"/>
    <row r="21" spans="1:4" ht="12.75" x14ac:dyDescent="0.2">
      <c r="A21" s="2"/>
      <c r="B21" s="200"/>
      <c r="C21" s="200"/>
      <c r="D21" s="200"/>
    </row>
    <row r="22" spans="1:4" ht="12.75" x14ac:dyDescent="0.2">
      <c r="A22" s="99" t="s">
        <v>338</v>
      </c>
      <c r="B22" s="200"/>
      <c r="C22" s="200"/>
      <c r="D22" s="200"/>
    </row>
    <row r="23" spans="1:4" ht="12.75" x14ac:dyDescent="0.2">
      <c r="A23" s="99" t="s">
        <v>297</v>
      </c>
    </row>
    <row r="24" spans="1:4" ht="12.75" x14ac:dyDescent="0.2">
      <c r="A24" s="99"/>
    </row>
    <row r="25" spans="1:4" ht="12.75" x14ac:dyDescent="0.2">
      <c r="A25" s="2"/>
    </row>
    <row r="26" spans="1:4" ht="18" x14ac:dyDescent="0.25">
      <c r="A26" s="40" t="s">
        <v>21</v>
      </c>
    </row>
    <row r="27" spans="1:4" ht="12.75" x14ac:dyDescent="0.2"/>
    <row r="28" spans="1:4" ht="12.75" x14ac:dyDescent="0.2"/>
    <row r="29" spans="1:4" ht="12.75" x14ac:dyDescent="0.2"/>
    <row r="30" spans="1:4" ht="12.75" x14ac:dyDescent="0.2"/>
    <row r="31" spans="1:4" ht="12.75" x14ac:dyDescent="0.2"/>
    <row r="32" spans="1:4"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5">
    <mergeCell ref="A2:D2"/>
    <mergeCell ref="A3:D3"/>
    <mergeCell ref="A4:D4"/>
    <mergeCell ref="A16:D16"/>
    <mergeCell ref="A18:D19"/>
  </mergeCells>
  <pageMargins left="0.7" right="0.7" top="0.75" bottom="0.75" header="0" footer="0"/>
  <pageSetup scale="9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58CBC-98D8-40A5-9696-18ED115E49B0}">
  <dimension ref="A1:H34"/>
  <sheetViews>
    <sheetView view="pageBreakPreview" zoomScaleNormal="75" zoomScaleSheetLayoutView="100" workbookViewId="0">
      <selection activeCell="K348" sqref="K348"/>
    </sheetView>
  </sheetViews>
  <sheetFormatPr baseColWidth="10" defaultRowHeight="12.75" x14ac:dyDescent="0.2"/>
  <cols>
    <col min="1" max="1" width="11.42578125" style="239" customWidth="1"/>
    <col min="2" max="2" width="11.42578125" style="602"/>
    <col min="3" max="3" width="42.5703125" style="602" customWidth="1"/>
    <col min="4" max="4" width="15.28515625" style="602" bestFit="1" customWidth="1"/>
    <col min="5" max="5" width="24.42578125" style="602" bestFit="1" customWidth="1"/>
    <col min="6" max="6" width="11.5703125" style="602" bestFit="1" customWidth="1"/>
    <col min="7" max="7" width="22" style="602" bestFit="1" customWidth="1"/>
    <col min="8" max="8" width="16.85546875" style="602" bestFit="1" customWidth="1"/>
    <col min="9" max="258" width="11.42578125" style="602"/>
    <col min="259" max="259" width="42.5703125" style="602" customWidth="1"/>
    <col min="260" max="260" width="15.28515625" style="602" bestFit="1" customWidth="1"/>
    <col min="261" max="261" width="24.42578125" style="602" bestFit="1" customWidth="1"/>
    <col min="262" max="262" width="11.5703125" style="602" bestFit="1" customWidth="1"/>
    <col min="263" max="263" width="22" style="602" bestFit="1" customWidth="1"/>
    <col min="264" max="264" width="16.85546875" style="602" bestFit="1" customWidth="1"/>
    <col min="265" max="514" width="11.42578125" style="602"/>
    <col min="515" max="515" width="42.5703125" style="602" customWidth="1"/>
    <col min="516" max="516" width="15.28515625" style="602" bestFit="1" customWidth="1"/>
    <col min="517" max="517" width="24.42578125" style="602" bestFit="1" customWidth="1"/>
    <col min="518" max="518" width="11.5703125" style="602" bestFit="1" customWidth="1"/>
    <col min="519" max="519" width="22" style="602" bestFit="1" customWidth="1"/>
    <col min="520" max="520" width="16.85546875" style="602" bestFit="1" customWidth="1"/>
    <col min="521" max="770" width="11.42578125" style="602"/>
    <col min="771" max="771" width="42.5703125" style="602" customWidth="1"/>
    <col min="772" max="772" width="15.28515625" style="602" bestFit="1" customWidth="1"/>
    <col min="773" max="773" width="24.42578125" style="602" bestFit="1" customWidth="1"/>
    <col min="774" max="774" width="11.5703125" style="602" bestFit="1" customWidth="1"/>
    <col min="775" max="775" width="22" style="602" bestFit="1" customWidth="1"/>
    <col min="776" max="776" width="16.85546875" style="602" bestFit="1" customWidth="1"/>
    <col min="777" max="1026" width="11.42578125" style="602"/>
    <col min="1027" max="1027" width="42.5703125" style="602" customWidth="1"/>
    <col min="1028" max="1028" width="15.28515625" style="602" bestFit="1" customWidth="1"/>
    <col min="1029" max="1029" width="24.42578125" style="602" bestFit="1" customWidth="1"/>
    <col min="1030" max="1030" width="11.5703125" style="602" bestFit="1" customWidth="1"/>
    <col min="1031" max="1031" width="22" style="602" bestFit="1" customWidth="1"/>
    <col min="1032" max="1032" width="16.85546875" style="602" bestFit="1" customWidth="1"/>
    <col min="1033" max="1282" width="11.42578125" style="602"/>
    <col min="1283" max="1283" width="42.5703125" style="602" customWidth="1"/>
    <col min="1284" max="1284" width="15.28515625" style="602" bestFit="1" customWidth="1"/>
    <col min="1285" max="1285" width="24.42578125" style="602" bestFit="1" customWidth="1"/>
    <col min="1286" max="1286" width="11.5703125" style="602" bestFit="1" customWidth="1"/>
    <col min="1287" max="1287" width="22" style="602" bestFit="1" customWidth="1"/>
    <col min="1288" max="1288" width="16.85546875" style="602" bestFit="1" customWidth="1"/>
    <col min="1289" max="1538" width="11.42578125" style="602"/>
    <col min="1539" max="1539" width="42.5703125" style="602" customWidth="1"/>
    <col min="1540" max="1540" width="15.28515625" style="602" bestFit="1" customWidth="1"/>
    <col min="1541" max="1541" width="24.42578125" style="602" bestFit="1" customWidth="1"/>
    <col min="1542" max="1542" width="11.5703125" style="602" bestFit="1" customWidth="1"/>
    <col min="1543" max="1543" width="22" style="602" bestFit="1" customWidth="1"/>
    <col min="1544" max="1544" width="16.85546875" style="602" bestFit="1" customWidth="1"/>
    <col min="1545" max="1794" width="11.42578125" style="602"/>
    <col min="1795" max="1795" width="42.5703125" style="602" customWidth="1"/>
    <col min="1796" max="1796" width="15.28515625" style="602" bestFit="1" customWidth="1"/>
    <col min="1797" max="1797" width="24.42578125" style="602" bestFit="1" customWidth="1"/>
    <col min="1798" max="1798" width="11.5703125" style="602" bestFit="1" customWidth="1"/>
    <col min="1799" max="1799" width="22" style="602" bestFit="1" customWidth="1"/>
    <col min="1800" max="1800" width="16.85546875" style="602" bestFit="1" customWidth="1"/>
    <col min="1801" max="2050" width="11.42578125" style="602"/>
    <col min="2051" max="2051" width="42.5703125" style="602" customWidth="1"/>
    <col min="2052" max="2052" width="15.28515625" style="602" bestFit="1" customWidth="1"/>
    <col min="2053" max="2053" width="24.42578125" style="602" bestFit="1" customWidth="1"/>
    <col min="2054" max="2054" width="11.5703125" style="602" bestFit="1" customWidth="1"/>
    <col min="2055" max="2055" width="22" style="602" bestFit="1" customWidth="1"/>
    <col min="2056" max="2056" width="16.85546875" style="602" bestFit="1" customWidth="1"/>
    <col min="2057" max="2306" width="11.42578125" style="602"/>
    <col min="2307" max="2307" width="42.5703125" style="602" customWidth="1"/>
    <col min="2308" max="2308" width="15.28515625" style="602" bestFit="1" customWidth="1"/>
    <col min="2309" max="2309" width="24.42578125" style="602" bestFit="1" customWidth="1"/>
    <col min="2310" max="2310" width="11.5703125" style="602" bestFit="1" customWidth="1"/>
    <col min="2311" max="2311" width="22" style="602" bestFit="1" customWidth="1"/>
    <col min="2312" max="2312" width="16.85546875" style="602" bestFit="1" customWidth="1"/>
    <col min="2313" max="2562" width="11.42578125" style="602"/>
    <col min="2563" max="2563" width="42.5703125" style="602" customWidth="1"/>
    <col min="2564" max="2564" width="15.28515625" style="602" bestFit="1" customWidth="1"/>
    <col min="2565" max="2565" width="24.42578125" style="602" bestFit="1" customWidth="1"/>
    <col min="2566" max="2566" width="11.5703125" style="602" bestFit="1" customWidth="1"/>
    <col min="2567" max="2567" width="22" style="602" bestFit="1" customWidth="1"/>
    <col min="2568" max="2568" width="16.85546875" style="602" bestFit="1" customWidth="1"/>
    <col min="2569" max="2818" width="11.42578125" style="602"/>
    <col min="2819" max="2819" width="42.5703125" style="602" customWidth="1"/>
    <col min="2820" max="2820" width="15.28515625" style="602" bestFit="1" customWidth="1"/>
    <col min="2821" max="2821" width="24.42578125" style="602" bestFit="1" customWidth="1"/>
    <col min="2822" max="2822" width="11.5703125" style="602" bestFit="1" customWidth="1"/>
    <col min="2823" max="2823" width="22" style="602" bestFit="1" customWidth="1"/>
    <col min="2824" max="2824" width="16.85546875" style="602" bestFit="1" customWidth="1"/>
    <col min="2825" max="3074" width="11.42578125" style="602"/>
    <col min="3075" max="3075" width="42.5703125" style="602" customWidth="1"/>
    <col min="3076" max="3076" width="15.28515625" style="602" bestFit="1" customWidth="1"/>
    <col min="3077" max="3077" width="24.42578125" style="602" bestFit="1" customWidth="1"/>
    <col min="3078" max="3078" width="11.5703125" style="602" bestFit="1" customWidth="1"/>
    <col min="3079" max="3079" width="22" style="602" bestFit="1" customWidth="1"/>
    <col min="3080" max="3080" width="16.85546875" style="602" bestFit="1" customWidth="1"/>
    <col min="3081" max="3330" width="11.42578125" style="602"/>
    <col min="3331" max="3331" width="42.5703125" style="602" customWidth="1"/>
    <col min="3332" max="3332" width="15.28515625" style="602" bestFit="1" customWidth="1"/>
    <col min="3333" max="3333" width="24.42578125" style="602" bestFit="1" customWidth="1"/>
    <col min="3334" max="3334" width="11.5703125" style="602" bestFit="1" customWidth="1"/>
    <col min="3335" max="3335" width="22" style="602" bestFit="1" customWidth="1"/>
    <col min="3336" max="3336" width="16.85546875" style="602" bestFit="1" customWidth="1"/>
    <col min="3337" max="3586" width="11.42578125" style="602"/>
    <col min="3587" max="3587" width="42.5703125" style="602" customWidth="1"/>
    <col min="3588" max="3588" width="15.28515625" style="602" bestFit="1" customWidth="1"/>
    <col min="3589" max="3589" width="24.42578125" style="602" bestFit="1" customWidth="1"/>
    <col min="3590" max="3590" width="11.5703125" style="602" bestFit="1" customWidth="1"/>
    <col min="3591" max="3591" width="22" style="602" bestFit="1" customWidth="1"/>
    <col min="3592" max="3592" width="16.85546875" style="602" bestFit="1" customWidth="1"/>
    <col min="3593" max="3842" width="11.42578125" style="602"/>
    <col min="3843" max="3843" width="42.5703125" style="602" customWidth="1"/>
    <col min="3844" max="3844" width="15.28515625" style="602" bestFit="1" customWidth="1"/>
    <col min="3845" max="3845" width="24.42578125" style="602" bestFit="1" customWidth="1"/>
    <col min="3846" max="3846" width="11.5703125" style="602" bestFit="1" customWidth="1"/>
    <col min="3847" max="3847" width="22" style="602" bestFit="1" customWidth="1"/>
    <col min="3848" max="3848" width="16.85546875" style="602" bestFit="1" customWidth="1"/>
    <col min="3849" max="4098" width="11.42578125" style="602"/>
    <col min="4099" max="4099" width="42.5703125" style="602" customWidth="1"/>
    <col min="4100" max="4100" width="15.28515625" style="602" bestFit="1" customWidth="1"/>
    <col min="4101" max="4101" width="24.42578125" style="602" bestFit="1" customWidth="1"/>
    <col min="4102" max="4102" width="11.5703125" style="602" bestFit="1" customWidth="1"/>
    <col min="4103" max="4103" width="22" style="602" bestFit="1" customWidth="1"/>
    <col min="4104" max="4104" width="16.85546875" style="602" bestFit="1" customWidth="1"/>
    <col min="4105" max="4354" width="11.42578125" style="602"/>
    <col min="4355" max="4355" width="42.5703125" style="602" customWidth="1"/>
    <col min="4356" max="4356" width="15.28515625" style="602" bestFit="1" customWidth="1"/>
    <col min="4357" max="4357" width="24.42578125" style="602" bestFit="1" customWidth="1"/>
    <col min="4358" max="4358" width="11.5703125" style="602" bestFit="1" customWidth="1"/>
    <col min="4359" max="4359" width="22" style="602" bestFit="1" customWidth="1"/>
    <col min="4360" max="4360" width="16.85546875" style="602" bestFit="1" customWidth="1"/>
    <col min="4361" max="4610" width="11.42578125" style="602"/>
    <col min="4611" max="4611" width="42.5703125" style="602" customWidth="1"/>
    <col min="4612" max="4612" width="15.28515625" style="602" bestFit="1" customWidth="1"/>
    <col min="4613" max="4613" width="24.42578125" style="602" bestFit="1" customWidth="1"/>
    <col min="4614" max="4614" width="11.5703125" style="602" bestFit="1" customWidth="1"/>
    <col min="4615" max="4615" width="22" style="602" bestFit="1" customWidth="1"/>
    <col min="4616" max="4616" width="16.85546875" style="602" bestFit="1" customWidth="1"/>
    <col min="4617" max="4866" width="11.42578125" style="602"/>
    <col min="4867" max="4867" width="42.5703125" style="602" customWidth="1"/>
    <col min="4868" max="4868" width="15.28515625" style="602" bestFit="1" customWidth="1"/>
    <col min="4869" max="4869" width="24.42578125" style="602" bestFit="1" customWidth="1"/>
    <col min="4870" max="4870" width="11.5703125" style="602" bestFit="1" customWidth="1"/>
    <col min="4871" max="4871" width="22" style="602" bestFit="1" customWidth="1"/>
    <col min="4872" max="4872" width="16.85546875" style="602" bestFit="1" customWidth="1"/>
    <col min="4873" max="5122" width="11.42578125" style="602"/>
    <col min="5123" max="5123" width="42.5703125" style="602" customWidth="1"/>
    <col min="5124" max="5124" width="15.28515625" style="602" bestFit="1" customWidth="1"/>
    <col min="5125" max="5125" width="24.42578125" style="602" bestFit="1" customWidth="1"/>
    <col min="5126" max="5126" width="11.5703125" style="602" bestFit="1" customWidth="1"/>
    <col min="5127" max="5127" width="22" style="602" bestFit="1" customWidth="1"/>
    <col min="5128" max="5128" width="16.85546875" style="602" bestFit="1" customWidth="1"/>
    <col min="5129" max="5378" width="11.42578125" style="602"/>
    <col min="5379" max="5379" width="42.5703125" style="602" customWidth="1"/>
    <col min="5380" max="5380" width="15.28515625" style="602" bestFit="1" customWidth="1"/>
    <col min="5381" max="5381" width="24.42578125" style="602" bestFit="1" customWidth="1"/>
    <col min="5382" max="5382" width="11.5703125" style="602" bestFit="1" customWidth="1"/>
    <col min="5383" max="5383" width="22" style="602" bestFit="1" customWidth="1"/>
    <col min="5384" max="5384" width="16.85546875" style="602" bestFit="1" customWidth="1"/>
    <col min="5385" max="5634" width="11.42578125" style="602"/>
    <col min="5635" max="5635" width="42.5703125" style="602" customWidth="1"/>
    <col min="5636" max="5636" width="15.28515625" style="602" bestFit="1" customWidth="1"/>
    <col min="5637" max="5637" width="24.42578125" style="602" bestFit="1" customWidth="1"/>
    <col min="5638" max="5638" width="11.5703125" style="602" bestFit="1" customWidth="1"/>
    <col min="5639" max="5639" width="22" style="602" bestFit="1" customWidth="1"/>
    <col min="5640" max="5640" width="16.85546875" style="602" bestFit="1" customWidth="1"/>
    <col min="5641" max="5890" width="11.42578125" style="602"/>
    <col min="5891" max="5891" width="42.5703125" style="602" customWidth="1"/>
    <col min="5892" max="5892" width="15.28515625" style="602" bestFit="1" customWidth="1"/>
    <col min="5893" max="5893" width="24.42578125" style="602" bestFit="1" customWidth="1"/>
    <col min="5894" max="5894" width="11.5703125" style="602" bestFit="1" customWidth="1"/>
    <col min="5895" max="5895" width="22" style="602" bestFit="1" customWidth="1"/>
    <col min="5896" max="5896" width="16.85546875" style="602" bestFit="1" customWidth="1"/>
    <col min="5897" max="6146" width="11.42578125" style="602"/>
    <col min="6147" max="6147" width="42.5703125" style="602" customWidth="1"/>
    <col min="6148" max="6148" width="15.28515625" style="602" bestFit="1" customWidth="1"/>
    <col min="6149" max="6149" width="24.42578125" style="602" bestFit="1" customWidth="1"/>
    <col min="6150" max="6150" width="11.5703125" style="602" bestFit="1" customWidth="1"/>
    <col min="6151" max="6151" width="22" style="602" bestFit="1" customWidth="1"/>
    <col min="6152" max="6152" width="16.85546875" style="602" bestFit="1" customWidth="1"/>
    <col min="6153" max="6402" width="11.42578125" style="602"/>
    <col min="6403" max="6403" width="42.5703125" style="602" customWidth="1"/>
    <col min="6404" max="6404" width="15.28515625" style="602" bestFit="1" customWidth="1"/>
    <col min="6405" max="6405" width="24.42578125" style="602" bestFit="1" customWidth="1"/>
    <col min="6406" max="6406" width="11.5703125" style="602" bestFit="1" customWidth="1"/>
    <col min="6407" max="6407" width="22" style="602" bestFit="1" customWidth="1"/>
    <col min="6408" max="6408" width="16.85546875" style="602" bestFit="1" customWidth="1"/>
    <col min="6409" max="6658" width="11.42578125" style="602"/>
    <col min="6659" max="6659" width="42.5703125" style="602" customWidth="1"/>
    <col min="6660" max="6660" width="15.28515625" style="602" bestFit="1" customWidth="1"/>
    <col min="6661" max="6661" width="24.42578125" style="602" bestFit="1" customWidth="1"/>
    <col min="6662" max="6662" width="11.5703125" style="602" bestFit="1" customWidth="1"/>
    <col min="6663" max="6663" width="22" style="602" bestFit="1" customWidth="1"/>
    <col min="6664" max="6664" width="16.85546875" style="602" bestFit="1" customWidth="1"/>
    <col min="6665" max="6914" width="11.42578125" style="602"/>
    <col min="6915" max="6915" width="42.5703125" style="602" customWidth="1"/>
    <col min="6916" max="6916" width="15.28515625" style="602" bestFit="1" customWidth="1"/>
    <col min="6917" max="6917" width="24.42578125" style="602" bestFit="1" customWidth="1"/>
    <col min="6918" max="6918" width="11.5703125" style="602" bestFit="1" customWidth="1"/>
    <col min="6919" max="6919" width="22" style="602" bestFit="1" customWidth="1"/>
    <col min="6920" max="6920" width="16.85546875" style="602" bestFit="1" customWidth="1"/>
    <col min="6921" max="7170" width="11.42578125" style="602"/>
    <col min="7171" max="7171" width="42.5703125" style="602" customWidth="1"/>
    <col min="7172" max="7172" width="15.28515625" style="602" bestFit="1" customWidth="1"/>
    <col min="7173" max="7173" width="24.42578125" style="602" bestFit="1" customWidth="1"/>
    <col min="7174" max="7174" width="11.5703125" style="602" bestFit="1" customWidth="1"/>
    <col min="7175" max="7175" width="22" style="602" bestFit="1" customWidth="1"/>
    <col min="7176" max="7176" width="16.85546875" style="602" bestFit="1" customWidth="1"/>
    <col min="7177" max="7426" width="11.42578125" style="602"/>
    <col min="7427" max="7427" width="42.5703125" style="602" customWidth="1"/>
    <col min="7428" max="7428" width="15.28515625" style="602" bestFit="1" customWidth="1"/>
    <col min="7429" max="7429" width="24.42578125" style="602" bestFit="1" customWidth="1"/>
    <col min="7430" max="7430" width="11.5703125" style="602" bestFit="1" customWidth="1"/>
    <col min="7431" max="7431" width="22" style="602" bestFit="1" customWidth="1"/>
    <col min="7432" max="7432" width="16.85546875" style="602" bestFit="1" customWidth="1"/>
    <col min="7433" max="7682" width="11.42578125" style="602"/>
    <col min="7683" max="7683" width="42.5703125" style="602" customWidth="1"/>
    <col min="7684" max="7684" width="15.28515625" style="602" bestFit="1" customWidth="1"/>
    <col min="7685" max="7685" width="24.42578125" style="602" bestFit="1" customWidth="1"/>
    <col min="7686" max="7686" width="11.5703125" style="602" bestFit="1" customWidth="1"/>
    <col min="7687" max="7687" width="22" style="602" bestFit="1" customWidth="1"/>
    <col min="7688" max="7688" width="16.85546875" style="602" bestFit="1" customWidth="1"/>
    <col min="7689" max="7938" width="11.42578125" style="602"/>
    <col min="7939" max="7939" width="42.5703125" style="602" customWidth="1"/>
    <col min="7940" max="7940" width="15.28515625" style="602" bestFit="1" customWidth="1"/>
    <col min="7941" max="7941" width="24.42578125" style="602" bestFit="1" customWidth="1"/>
    <col min="7942" max="7942" width="11.5703125" style="602" bestFit="1" customWidth="1"/>
    <col min="7943" max="7943" width="22" style="602" bestFit="1" customWidth="1"/>
    <col min="7944" max="7944" width="16.85546875" style="602" bestFit="1" customWidth="1"/>
    <col min="7945" max="8194" width="11.42578125" style="602"/>
    <col min="8195" max="8195" width="42.5703125" style="602" customWidth="1"/>
    <col min="8196" max="8196" width="15.28515625" style="602" bestFit="1" customWidth="1"/>
    <col min="8197" max="8197" width="24.42578125" style="602" bestFit="1" customWidth="1"/>
    <col min="8198" max="8198" width="11.5703125" style="602" bestFit="1" customWidth="1"/>
    <col min="8199" max="8199" width="22" style="602" bestFit="1" customWidth="1"/>
    <col min="8200" max="8200" width="16.85546875" style="602" bestFit="1" customWidth="1"/>
    <col min="8201" max="8450" width="11.42578125" style="602"/>
    <col min="8451" max="8451" width="42.5703125" style="602" customWidth="1"/>
    <col min="8452" max="8452" width="15.28515625" style="602" bestFit="1" customWidth="1"/>
    <col min="8453" max="8453" width="24.42578125" style="602" bestFit="1" customWidth="1"/>
    <col min="8454" max="8454" width="11.5703125" style="602" bestFit="1" customWidth="1"/>
    <col min="8455" max="8455" width="22" style="602" bestFit="1" customWidth="1"/>
    <col min="8456" max="8456" width="16.85546875" style="602" bestFit="1" customWidth="1"/>
    <col min="8457" max="8706" width="11.42578125" style="602"/>
    <col min="8707" max="8707" width="42.5703125" style="602" customWidth="1"/>
    <col min="8708" max="8708" width="15.28515625" style="602" bestFit="1" customWidth="1"/>
    <col min="8709" max="8709" width="24.42578125" style="602" bestFit="1" customWidth="1"/>
    <col min="8710" max="8710" width="11.5703125" style="602" bestFit="1" customWidth="1"/>
    <col min="8711" max="8711" width="22" style="602" bestFit="1" customWidth="1"/>
    <col min="8712" max="8712" width="16.85546875" style="602" bestFit="1" customWidth="1"/>
    <col min="8713" max="8962" width="11.42578125" style="602"/>
    <col min="8963" max="8963" width="42.5703125" style="602" customWidth="1"/>
    <col min="8964" max="8964" width="15.28515625" style="602" bestFit="1" customWidth="1"/>
    <col min="8965" max="8965" width="24.42578125" style="602" bestFit="1" customWidth="1"/>
    <col min="8966" max="8966" width="11.5703125" style="602" bestFit="1" customWidth="1"/>
    <col min="8967" max="8967" width="22" style="602" bestFit="1" customWidth="1"/>
    <col min="8968" max="8968" width="16.85546875" style="602" bestFit="1" customWidth="1"/>
    <col min="8969" max="9218" width="11.42578125" style="602"/>
    <col min="9219" max="9219" width="42.5703125" style="602" customWidth="1"/>
    <col min="9220" max="9220" width="15.28515625" style="602" bestFit="1" customWidth="1"/>
    <col min="9221" max="9221" width="24.42578125" style="602" bestFit="1" customWidth="1"/>
    <col min="9222" max="9222" width="11.5703125" style="602" bestFit="1" customWidth="1"/>
    <col min="9223" max="9223" width="22" style="602" bestFit="1" customWidth="1"/>
    <col min="9224" max="9224" width="16.85546875" style="602" bestFit="1" customWidth="1"/>
    <col min="9225" max="9474" width="11.42578125" style="602"/>
    <col min="9475" max="9475" width="42.5703125" style="602" customWidth="1"/>
    <col min="9476" max="9476" width="15.28515625" style="602" bestFit="1" customWidth="1"/>
    <col min="9477" max="9477" width="24.42578125" style="602" bestFit="1" customWidth="1"/>
    <col min="9478" max="9478" width="11.5703125" style="602" bestFit="1" customWidth="1"/>
    <col min="9479" max="9479" width="22" style="602" bestFit="1" customWidth="1"/>
    <col min="9480" max="9480" width="16.85546875" style="602" bestFit="1" customWidth="1"/>
    <col min="9481" max="9730" width="11.42578125" style="602"/>
    <col min="9731" max="9731" width="42.5703125" style="602" customWidth="1"/>
    <col min="9732" max="9732" width="15.28515625" style="602" bestFit="1" customWidth="1"/>
    <col min="9733" max="9733" width="24.42578125" style="602" bestFit="1" customWidth="1"/>
    <col min="9734" max="9734" width="11.5703125" style="602" bestFit="1" customWidth="1"/>
    <col min="9735" max="9735" width="22" style="602" bestFit="1" customWidth="1"/>
    <col min="9736" max="9736" width="16.85546875" style="602" bestFit="1" customWidth="1"/>
    <col min="9737" max="9986" width="11.42578125" style="602"/>
    <col min="9987" max="9987" width="42.5703125" style="602" customWidth="1"/>
    <col min="9988" max="9988" width="15.28515625" style="602" bestFit="1" customWidth="1"/>
    <col min="9989" max="9989" width="24.42578125" style="602" bestFit="1" customWidth="1"/>
    <col min="9990" max="9990" width="11.5703125" style="602" bestFit="1" customWidth="1"/>
    <col min="9991" max="9991" width="22" style="602" bestFit="1" customWidth="1"/>
    <col min="9992" max="9992" width="16.85546875" style="602" bestFit="1" customWidth="1"/>
    <col min="9993" max="10242" width="11.42578125" style="602"/>
    <col min="10243" max="10243" width="42.5703125" style="602" customWidth="1"/>
    <col min="10244" max="10244" width="15.28515625" style="602" bestFit="1" customWidth="1"/>
    <col min="10245" max="10245" width="24.42578125" style="602" bestFit="1" customWidth="1"/>
    <col min="10246" max="10246" width="11.5703125" style="602" bestFit="1" customWidth="1"/>
    <col min="10247" max="10247" width="22" style="602" bestFit="1" customWidth="1"/>
    <col min="10248" max="10248" width="16.85546875" style="602" bestFit="1" customWidth="1"/>
    <col min="10249" max="10498" width="11.42578125" style="602"/>
    <col min="10499" max="10499" width="42.5703125" style="602" customWidth="1"/>
    <col min="10500" max="10500" width="15.28515625" style="602" bestFit="1" customWidth="1"/>
    <col min="10501" max="10501" width="24.42578125" style="602" bestFit="1" customWidth="1"/>
    <col min="10502" max="10502" width="11.5703125" style="602" bestFit="1" customWidth="1"/>
    <col min="10503" max="10503" width="22" style="602" bestFit="1" customWidth="1"/>
    <col min="10504" max="10504" width="16.85546875" style="602" bestFit="1" customWidth="1"/>
    <col min="10505" max="10754" width="11.42578125" style="602"/>
    <col min="10755" max="10755" width="42.5703125" style="602" customWidth="1"/>
    <col min="10756" max="10756" width="15.28515625" style="602" bestFit="1" customWidth="1"/>
    <col min="10757" max="10757" width="24.42578125" style="602" bestFit="1" customWidth="1"/>
    <col min="10758" max="10758" width="11.5703125" style="602" bestFit="1" customWidth="1"/>
    <col min="10759" max="10759" width="22" style="602" bestFit="1" customWidth="1"/>
    <col min="10760" max="10760" width="16.85546875" style="602" bestFit="1" customWidth="1"/>
    <col min="10761" max="11010" width="11.42578125" style="602"/>
    <col min="11011" max="11011" width="42.5703125" style="602" customWidth="1"/>
    <col min="11012" max="11012" width="15.28515625" style="602" bestFit="1" customWidth="1"/>
    <col min="11013" max="11013" width="24.42578125" style="602" bestFit="1" customWidth="1"/>
    <col min="11014" max="11014" width="11.5703125" style="602" bestFit="1" customWidth="1"/>
    <col min="11015" max="11015" width="22" style="602" bestFit="1" customWidth="1"/>
    <col min="11016" max="11016" width="16.85546875" style="602" bestFit="1" customWidth="1"/>
    <col min="11017" max="11266" width="11.42578125" style="602"/>
    <col min="11267" max="11267" width="42.5703125" style="602" customWidth="1"/>
    <col min="11268" max="11268" width="15.28515625" style="602" bestFit="1" customWidth="1"/>
    <col min="11269" max="11269" width="24.42578125" style="602" bestFit="1" customWidth="1"/>
    <col min="11270" max="11270" width="11.5703125" style="602" bestFit="1" customWidth="1"/>
    <col min="11271" max="11271" width="22" style="602" bestFit="1" customWidth="1"/>
    <col min="11272" max="11272" width="16.85546875" style="602" bestFit="1" customWidth="1"/>
    <col min="11273" max="11522" width="11.42578125" style="602"/>
    <col min="11523" max="11523" width="42.5703125" style="602" customWidth="1"/>
    <col min="11524" max="11524" width="15.28515625" style="602" bestFit="1" customWidth="1"/>
    <col min="11525" max="11525" width="24.42578125" style="602" bestFit="1" customWidth="1"/>
    <col min="11526" max="11526" width="11.5703125" style="602" bestFit="1" customWidth="1"/>
    <col min="11527" max="11527" width="22" style="602" bestFit="1" customWidth="1"/>
    <col min="11528" max="11528" width="16.85546875" style="602" bestFit="1" customWidth="1"/>
    <col min="11529" max="11778" width="11.42578125" style="602"/>
    <col min="11779" max="11779" width="42.5703125" style="602" customWidth="1"/>
    <col min="11780" max="11780" width="15.28515625" style="602" bestFit="1" customWidth="1"/>
    <col min="11781" max="11781" width="24.42578125" style="602" bestFit="1" customWidth="1"/>
    <col min="11782" max="11782" width="11.5703125" style="602" bestFit="1" customWidth="1"/>
    <col min="11783" max="11783" width="22" style="602" bestFit="1" customWidth="1"/>
    <col min="11784" max="11784" width="16.85546875" style="602" bestFit="1" customWidth="1"/>
    <col min="11785" max="12034" width="11.42578125" style="602"/>
    <col min="12035" max="12035" width="42.5703125" style="602" customWidth="1"/>
    <col min="12036" max="12036" width="15.28515625" style="602" bestFit="1" customWidth="1"/>
    <col min="12037" max="12037" width="24.42578125" style="602" bestFit="1" customWidth="1"/>
    <col min="12038" max="12038" width="11.5703125" style="602" bestFit="1" customWidth="1"/>
    <col min="12039" max="12039" width="22" style="602" bestFit="1" customWidth="1"/>
    <col min="12040" max="12040" width="16.85546875" style="602" bestFit="1" customWidth="1"/>
    <col min="12041" max="12290" width="11.42578125" style="602"/>
    <col min="12291" max="12291" width="42.5703125" style="602" customWidth="1"/>
    <col min="12292" max="12292" width="15.28515625" style="602" bestFit="1" customWidth="1"/>
    <col min="12293" max="12293" width="24.42578125" style="602" bestFit="1" customWidth="1"/>
    <col min="12294" max="12294" width="11.5703125" style="602" bestFit="1" customWidth="1"/>
    <col min="12295" max="12295" width="22" style="602" bestFit="1" customWidth="1"/>
    <col min="12296" max="12296" width="16.85546875" style="602" bestFit="1" customWidth="1"/>
    <col min="12297" max="12546" width="11.42578125" style="602"/>
    <col min="12547" max="12547" width="42.5703125" style="602" customWidth="1"/>
    <col min="12548" max="12548" width="15.28515625" style="602" bestFit="1" customWidth="1"/>
    <col min="12549" max="12549" width="24.42578125" style="602" bestFit="1" customWidth="1"/>
    <col min="12550" max="12550" width="11.5703125" style="602" bestFit="1" customWidth="1"/>
    <col min="12551" max="12551" width="22" style="602" bestFit="1" customWidth="1"/>
    <col min="12552" max="12552" width="16.85546875" style="602" bestFit="1" customWidth="1"/>
    <col min="12553" max="12802" width="11.42578125" style="602"/>
    <col min="12803" max="12803" width="42.5703125" style="602" customWidth="1"/>
    <col min="12804" max="12804" width="15.28515625" style="602" bestFit="1" customWidth="1"/>
    <col min="12805" max="12805" width="24.42578125" style="602" bestFit="1" customWidth="1"/>
    <col min="12806" max="12806" width="11.5703125" style="602" bestFit="1" customWidth="1"/>
    <col min="12807" max="12807" width="22" style="602" bestFit="1" customWidth="1"/>
    <col min="12808" max="12808" width="16.85546875" style="602" bestFit="1" customWidth="1"/>
    <col min="12809" max="13058" width="11.42578125" style="602"/>
    <col min="13059" max="13059" width="42.5703125" style="602" customWidth="1"/>
    <col min="13060" max="13060" width="15.28515625" style="602" bestFit="1" customWidth="1"/>
    <col min="13061" max="13061" width="24.42578125" style="602" bestFit="1" customWidth="1"/>
    <col min="13062" max="13062" width="11.5703125" style="602" bestFit="1" customWidth="1"/>
    <col min="13063" max="13063" width="22" style="602" bestFit="1" customWidth="1"/>
    <col min="13064" max="13064" width="16.85546875" style="602" bestFit="1" customWidth="1"/>
    <col min="13065" max="13314" width="11.42578125" style="602"/>
    <col min="13315" max="13315" width="42.5703125" style="602" customWidth="1"/>
    <col min="13316" max="13316" width="15.28515625" style="602" bestFit="1" customWidth="1"/>
    <col min="13317" max="13317" width="24.42578125" style="602" bestFit="1" customWidth="1"/>
    <col min="13318" max="13318" width="11.5703125" style="602" bestFit="1" customWidth="1"/>
    <col min="13319" max="13319" width="22" style="602" bestFit="1" customWidth="1"/>
    <col min="13320" max="13320" width="16.85546875" style="602" bestFit="1" customWidth="1"/>
    <col min="13321" max="13570" width="11.42578125" style="602"/>
    <col min="13571" max="13571" width="42.5703125" style="602" customWidth="1"/>
    <col min="13572" max="13572" width="15.28515625" style="602" bestFit="1" customWidth="1"/>
    <col min="13573" max="13573" width="24.42578125" style="602" bestFit="1" customWidth="1"/>
    <col min="13574" max="13574" width="11.5703125" style="602" bestFit="1" customWidth="1"/>
    <col min="13575" max="13575" width="22" style="602" bestFit="1" customWidth="1"/>
    <col min="13576" max="13576" width="16.85546875" style="602" bestFit="1" customWidth="1"/>
    <col min="13577" max="13826" width="11.42578125" style="602"/>
    <col min="13827" max="13827" width="42.5703125" style="602" customWidth="1"/>
    <col min="13828" max="13828" width="15.28515625" style="602" bestFit="1" customWidth="1"/>
    <col min="13829" max="13829" width="24.42578125" style="602" bestFit="1" customWidth="1"/>
    <col min="13830" max="13830" width="11.5703125" style="602" bestFit="1" customWidth="1"/>
    <col min="13831" max="13831" width="22" style="602" bestFit="1" customWidth="1"/>
    <col min="13832" max="13832" width="16.85546875" style="602" bestFit="1" customWidth="1"/>
    <col min="13833" max="14082" width="11.42578125" style="602"/>
    <col min="14083" max="14083" width="42.5703125" style="602" customWidth="1"/>
    <col min="14084" max="14084" width="15.28515625" style="602" bestFit="1" customWidth="1"/>
    <col min="14085" max="14085" width="24.42578125" style="602" bestFit="1" customWidth="1"/>
    <col min="14086" max="14086" width="11.5703125" style="602" bestFit="1" customWidth="1"/>
    <col min="14087" max="14087" width="22" style="602" bestFit="1" customWidth="1"/>
    <col min="14088" max="14088" width="16.85546875" style="602" bestFit="1" customWidth="1"/>
    <col min="14089" max="14338" width="11.42578125" style="602"/>
    <col min="14339" max="14339" width="42.5703125" style="602" customWidth="1"/>
    <col min="14340" max="14340" width="15.28515625" style="602" bestFit="1" customWidth="1"/>
    <col min="14341" max="14341" width="24.42578125" style="602" bestFit="1" customWidth="1"/>
    <col min="14342" max="14342" width="11.5703125" style="602" bestFit="1" customWidth="1"/>
    <col min="14343" max="14343" width="22" style="602" bestFit="1" customWidth="1"/>
    <col min="14344" max="14344" width="16.85546875" style="602" bestFit="1" customWidth="1"/>
    <col min="14345" max="14594" width="11.42578125" style="602"/>
    <col min="14595" max="14595" width="42.5703125" style="602" customWidth="1"/>
    <col min="14596" max="14596" width="15.28515625" style="602" bestFit="1" customWidth="1"/>
    <col min="14597" max="14597" width="24.42578125" style="602" bestFit="1" customWidth="1"/>
    <col min="14598" max="14598" width="11.5703125" style="602" bestFit="1" customWidth="1"/>
    <col min="14599" max="14599" width="22" style="602" bestFit="1" customWidth="1"/>
    <col min="14600" max="14600" width="16.85546875" style="602" bestFit="1" customWidth="1"/>
    <col min="14601" max="14850" width="11.42578125" style="602"/>
    <col min="14851" max="14851" width="42.5703125" style="602" customWidth="1"/>
    <col min="14852" max="14852" width="15.28515625" style="602" bestFit="1" customWidth="1"/>
    <col min="14853" max="14853" width="24.42578125" style="602" bestFit="1" customWidth="1"/>
    <col min="14854" max="14854" width="11.5703125" style="602" bestFit="1" customWidth="1"/>
    <col min="14855" max="14855" width="22" style="602" bestFit="1" customWidth="1"/>
    <col min="14856" max="14856" width="16.85546875" style="602" bestFit="1" customWidth="1"/>
    <col min="14857" max="15106" width="11.42578125" style="602"/>
    <col min="15107" max="15107" width="42.5703125" style="602" customWidth="1"/>
    <col min="15108" max="15108" width="15.28515625" style="602" bestFit="1" customWidth="1"/>
    <col min="15109" max="15109" width="24.42578125" style="602" bestFit="1" customWidth="1"/>
    <col min="15110" max="15110" width="11.5703125" style="602" bestFit="1" customWidth="1"/>
    <col min="15111" max="15111" width="22" style="602" bestFit="1" customWidth="1"/>
    <col min="15112" max="15112" width="16.85546875" style="602" bestFit="1" customWidth="1"/>
    <col min="15113" max="15362" width="11.42578125" style="602"/>
    <col min="15363" max="15363" width="42.5703125" style="602" customWidth="1"/>
    <col min="15364" max="15364" width="15.28515625" style="602" bestFit="1" customWidth="1"/>
    <col min="15365" max="15365" width="24.42578125" style="602" bestFit="1" customWidth="1"/>
    <col min="15366" max="15366" width="11.5703125" style="602" bestFit="1" customWidth="1"/>
    <col min="15367" max="15367" width="22" style="602" bestFit="1" customWidth="1"/>
    <col min="15368" max="15368" width="16.85546875" style="602" bestFit="1" customWidth="1"/>
    <col min="15369" max="15618" width="11.42578125" style="602"/>
    <col min="15619" max="15619" width="42.5703125" style="602" customWidth="1"/>
    <col min="15620" max="15620" width="15.28515625" style="602" bestFit="1" customWidth="1"/>
    <col min="15621" max="15621" width="24.42578125" style="602" bestFit="1" customWidth="1"/>
    <col min="15622" max="15622" width="11.5703125" style="602" bestFit="1" customWidth="1"/>
    <col min="15623" max="15623" width="22" style="602" bestFit="1" customWidth="1"/>
    <col min="15624" max="15624" width="16.85546875" style="602" bestFit="1" customWidth="1"/>
    <col min="15625" max="15874" width="11.42578125" style="602"/>
    <col min="15875" max="15875" width="42.5703125" style="602" customWidth="1"/>
    <col min="15876" max="15876" width="15.28515625" style="602" bestFit="1" customWidth="1"/>
    <col min="15877" max="15877" width="24.42578125" style="602" bestFit="1" customWidth="1"/>
    <col min="15878" max="15878" width="11.5703125" style="602" bestFit="1" customWidth="1"/>
    <col min="15879" max="15879" width="22" style="602" bestFit="1" customWidth="1"/>
    <col min="15880" max="15880" width="16.85546875" style="602" bestFit="1" customWidth="1"/>
    <col min="15881" max="16130" width="11.42578125" style="602"/>
    <col min="16131" max="16131" width="42.5703125" style="602" customWidth="1"/>
    <col min="16132" max="16132" width="15.28515625" style="602" bestFit="1" customWidth="1"/>
    <col min="16133" max="16133" width="24.42578125" style="602" bestFit="1" customWidth="1"/>
    <col min="16134" max="16134" width="11.5703125" style="602" bestFit="1" customWidth="1"/>
    <col min="16135" max="16135" width="22" style="602" bestFit="1" customWidth="1"/>
    <col min="16136" max="16136" width="16.85546875" style="602" bestFit="1" customWidth="1"/>
    <col min="16137" max="16384" width="11.42578125" style="602"/>
  </cols>
  <sheetData>
    <row r="1" spans="1:8" x14ac:dyDescent="0.2">
      <c r="A1" s="618" t="s">
        <v>295</v>
      </c>
      <c r="B1" s="618"/>
      <c r="C1" s="618"/>
      <c r="D1" s="618"/>
      <c r="E1" s="618"/>
      <c r="F1" s="618"/>
    </row>
    <row r="2" spans="1:8" x14ac:dyDescent="0.2">
      <c r="A2" s="618" t="s">
        <v>294</v>
      </c>
      <c r="B2" s="618"/>
      <c r="C2" s="618"/>
      <c r="D2" s="618"/>
      <c r="E2" s="618"/>
      <c r="F2" s="618"/>
    </row>
    <row r="3" spans="1:8" x14ac:dyDescent="0.2">
      <c r="A3" s="618" t="str">
        <f>+'[7]Clasific. Económica de Ingresos'!A3:E3</f>
        <v>PERIODO 2021</v>
      </c>
      <c r="B3" s="618"/>
      <c r="C3" s="618"/>
      <c r="D3" s="618"/>
      <c r="E3" s="618"/>
      <c r="F3" s="618"/>
    </row>
    <row r="4" spans="1:8" x14ac:dyDescent="0.2">
      <c r="A4" s="618" t="s">
        <v>584</v>
      </c>
      <c r="B4" s="618"/>
      <c r="C4" s="618"/>
      <c r="D4" s="618"/>
      <c r="E4" s="618"/>
      <c r="F4" s="618"/>
    </row>
    <row r="5" spans="1:8" ht="13.5" thickBot="1" x14ac:dyDescent="0.25">
      <c r="D5" s="211"/>
    </row>
    <row r="6" spans="1:8" ht="13.5" thickBot="1" x14ac:dyDescent="0.25">
      <c r="A6" s="402"/>
      <c r="B6" s="751"/>
      <c r="C6" s="752"/>
      <c r="D6" s="751" t="s">
        <v>115</v>
      </c>
      <c r="E6" s="751"/>
      <c r="F6" s="716" t="s">
        <v>378</v>
      </c>
    </row>
    <row r="7" spans="1:8" ht="13.5" thickBot="1" x14ac:dyDescent="0.25">
      <c r="A7" s="402"/>
      <c r="B7" s="751" t="s">
        <v>585</v>
      </c>
      <c r="C7" s="752"/>
      <c r="D7" s="753"/>
      <c r="E7" s="754">
        <f>+E9++E11+E13+E15+E17+E19+E21+E23+E25</f>
        <v>31482838597.298634</v>
      </c>
      <c r="F7" s="755">
        <f>+F9++F11+F13+F15+F17+F19+F21+F23+F25</f>
        <v>99.999999999999986</v>
      </c>
    </row>
    <row r="8" spans="1:8" x14ac:dyDescent="0.2">
      <c r="A8" s="238"/>
      <c r="B8" s="620"/>
      <c r="C8" s="620"/>
      <c r="D8" s="756"/>
      <c r="E8" s="756"/>
      <c r="F8" s="237"/>
    </row>
    <row r="9" spans="1:8" x14ac:dyDescent="0.2">
      <c r="A9" s="238">
        <v>0</v>
      </c>
      <c r="B9" s="757" t="s">
        <v>586</v>
      </c>
      <c r="C9" s="757"/>
      <c r="E9" s="335">
        <f>+ProgramaI!E8+'Programa II'!E8+'Programa III'!E8</f>
        <v>10874846163.494902</v>
      </c>
      <c r="F9" s="312">
        <f>SUM(E9*100)/$E$7</f>
        <v>34.542139934065574</v>
      </c>
      <c r="G9" s="335">
        <f>+'[7]Clasific. Económica de Ingresos'!D163-'Detalle General de Egresos'!E7</f>
        <v>1.361846923828125E-3</v>
      </c>
      <c r="H9" s="335"/>
    </row>
    <row r="10" spans="1:8" x14ac:dyDescent="0.2">
      <c r="A10" s="238"/>
      <c r="B10" s="620"/>
      <c r="C10" s="620"/>
      <c r="E10" s="211"/>
      <c r="F10" s="237"/>
    </row>
    <row r="11" spans="1:8" x14ac:dyDescent="0.2">
      <c r="A11" s="238">
        <v>1</v>
      </c>
      <c r="B11" s="757" t="s">
        <v>587</v>
      </c>
      <c r="C11" s="757"/>
      <c r="E11" s="335">
        <f>+ProgramaI!E10+'Programa II'!E10+'Programa III'!E10</f>
        <v>8656529188.3330994</v>
      </c>
      <c r="F11" s="312">
        <f>SUM(E11*100)/$E$7</f>
        <v>27.496025053712494</v>
      </c>
      <c r="G11" s="211">
        <f>+E11+E15</f>
        <v>8936234346.0530987</v>
      </c>
      <c r="H11" s="211">
        <f>+E11+E13+H16</f>
        <v>9909422759.7430992</v>
      </c>
    </row>
    <row r="12" spans="1:8" x14ac:dyDescent="0.2">
      <c r="A12" s="238"/>
      <c r="B12" s="239"/>
      <c r="C12" s="239"/>
      <c r="E12" s="335"/>
      <c r="F12" s="312"/>
      <c r="G12" s="211"/>
    </row>
    <row r="13" spans="1:8" x14ac:dyDescent="0.2">
      <c r="A13" s="238">
        <v>2</v>
      </c>
      <c r="B13" s="757" t="s">
        <v>588</v>
      </c>
      <c r="C13" s="757"/>
      <c r="E13" s="335">
        <f>+ProgramaI!E12+'Programa II'!E12+'Programa III'!E12</f>
        <v>1252893571.4100001</v>
      </c>
      <c r="F13" s="312">
        <f>SUM(E13*100)/$E$7</f>
        <v>3.979608025298913</v>
      </c>
    </row>
    <row r="14" spans="1:8" x14ac:dyDescent="0.2">
      <c r="A14" s="238"/>
      <c r="B14" s="620"/>
      <c r="C14" s="620"/>
      <c r="E14" s="248"/>
      <c r="F14" s="312"/>
      <c r="G14" s="211"/>
    </row>
    <row r="15" spans="1:8" x14ac:dyDescent="0.2">
      <c r="A15" s="238">
        <v>3</v>
      </c>
      <c r="B15" s="757" t="s">
        <v>589</v>
      </c>
      <c r="C15" s="757"/>
      <c r="E15" s="335">
        <f>+ProgramaI!E14+'Programa II'!E14+'Programa III'!E14</f>
        <v>279705157.72000003</v>
      </c>
      <c r="F15" s="312">
        <f>SUM(E15*100)/$E$7</f>
        <v>0.88843690779522011</v>
      </c>
    </row>
    <row r="16" spans="1:8" ht="12.75" customHeight="1" x14ac:dyDescent="0.2">
      <c r="A16" s="238"/>
      <c r="B16" s="620"/>
      <c r="C16" s="620"/>
      <c r="E16" s="248"/>
      <c r="F16" s="312"/>
    </row>
    <row r="17" spans="1:7" x14ac:dyDescent="0.2">
      <c r="A17" s="238">
        <v>5</v>
      </c>
      <c r="B17" s="757" t="s">
        <v>590</v>
      </c>
      <c r="C17" s="757"/>
      <c r="E17" s="335">
        <f>+ProgramaI!E16+'Programa II'!E16:E16+'Programa III'!E16:E16</f>
        <v>6893638168.0600004</v>
      </c>
      <c r="F17" s="312">
        <f>SUM(E17*100)/$E$7</f>
        <v>21.896494964248568</v>
      </c>
    </row>
    <row r="18" spans="1:7" x14ac:dyDescent="0.2">
      <c r="A18" s="238"/>
      <c r="B18" s="620" t="s">
        <v>15</v>
      </c>
      <c r="C18" s="620"/>
      <c r="E18" s="248" t="s">
        <v>15</v>
      </c>
      <c r="F18" s="312" t="s">
        <v>15</v>
      </c>
    </row>
    <row r="19" spans="1:7" x14ac:dyDescent="0.2">
      <c r="A19" s="238">
        <v>6</v>
      </c>
      <c r="B19" s="757" t="s">
        <v>591</v>
      </c>
      <c r="C19" s="757"/>
      <c r="E19" s="335">
        <f>+ProgramaI!E18+'Programa II'!E18+'Programa III'!E18</f>
        <v>2847013456.4106302</v>
      </c>
      <c r="F19" s="312">
        <f>SUM(E19*100)/$E$7</f>
        <v>9.0430646766867984</v>
      </c>
    </row>
    <row r="20" spans="1:7" x14ac:dyDescent="0.2">
      <c r="A20" s="238"/>
      <c r="B20" s="239"/>
      <c r="C20" s="239"/>
      <c r="E20" s="248"/>
      <c r="F20" s="312"/>
    </row>
    <row r="21" spans="1:7" s="604" customFormat="1" hidden="1" x14ac:dyDescent="0.2">
      <c r="A21" s="758">
        <v>7</v>
      </c>
      <c r="B21" s="757" t="s">
        <v>592</v>
      </c>
      <c r="C21" s="757"/>
      <c r="E21" s="335">
        <f>+ProgramaI!E51+'Programa II'!E29+'Programa III'!E27</f>
        <v>0</v>
      </c>
      <c r="F21" s="247">
        <f>SUM(E21*100)/$E$7</f>
        <v>0</v>
      </c>
      <c r="G21" s="248"/>
    </row>
    <row r="22" spans="1:7" hidden="1" x14ac:dyDescent="0.2">
      <c r="A22" s="238"/>
      <c r="B22" s="620"/>
      <c r="C22" s="620"/>
      <c r="E22" s="211"/>
      <c r="F22" s="237"/>
    </row>
    <row r="23" spans="1:7" x14ac:dyDescent="0.2">
      <c r="A23" s="238">
        <v>8</v>
      </c>
      <c r="B23" s="757" t="s">
        <v>593</v>
      </c>
      <c r="C23" s="757"/>
      <c r="E23" s="335">
        <f>+ProgramaI!E58+'Programa II'!E31+'Programa III'!E41</f>
        <v>452358635.42000002</v>
      </c>
      <c r="F23" s="312">
        <f>SUM(E23*100)/$E$7</f>
        <v>1.4368419608097676</v>
      </c>
    </row>
    <row r="24" spans="1:7" x14ac:dyDescent="0.2">
      <c r="A24" s="238"/>
      <c r="B24" s="620"/>
      <c r="C24" s="620"/>
      <c r="E24" s="211"/>
      <c r="F24" s="237"/>
    </row>
    <row r="25" spans="1:7" x14ac:dyDescent="0.2">
      <c r="A25" s="238">
        <v>9</v>
      </c>
      <c r="B25" s="757" t="s">
        <v>594</v>
      </c>
      <c r="C25" s="757"/>
      <c r="E25" s="335">
        <f>+ProgramaI!E60+'Programa II'!E33:E33+'Programa III'!E43:E43</f>
        <v>225854256.44999999</v>
      </c>
      <c r="F25" s="312">
        <f>SUM(E25*100)/$E$7</f>
        <v>0.71738847738265665</v>
      </c>
      <c r="G25" s="211"/>
    </row>
    <row r="26" spans="1:7" ht="13.5" thickBot="1" x14ac:dyDescent="0.25">
      <c r="A26" s="452"/>
      <c r="B26" s="759"/>
      <c r="C26" s="759"/>
      <c r="D26" s="760"/>
      <c r="E26" s="760"/>
      <c r="F26" s="731"/>
    </row>
    <row r="28" spans="1:7" x14ac:dyDescent="0.2">
      <c r="E28" s="335"/>
    </row>
    <row r="29" spans="1:7" x14ac:dyDescent="0.2">
      <c r="C29" s="211"/>
      <c r="D29" s="211"/>
      <c r="E29" s="761"/>
      <c r="F29" s="312"/>
    </row>
    <row r="30" spans="1:7" x14ac:dyDescent="0.2">
      <c r="D30" s="211"/>
      <c r="E30" s="211"/>
    </row>
    <row r="31" spans="1:7" x14ac:dyDescent="0.2">
      <c r="D31" s="211"/>
      <c r="E31" s="211"/>
    </row>
    <row r="32" spans="1:7" x14ac:dyDescent="0.2">
      <c r="D32" s="762"/>
      <c r="E32" s="211"/>
    </row>
    <row r="34" spans="5:5" x14ac:dyDescent="0.2">
      <c r="E34" s="211"/>
    </row>
  </sheetData>
  <mergeCells count="26">
    <mergeCell ref="B26:C26"/>
    <mergeCell ref="D26:E26"/>
    <mergeCell ref="B19:C19"/>
    <mergeCell ref="B21:C21"/>
    <mergeCell ref="B22:C22"/>
    <mergeCell ref="B23:C23"/>
    <mergeCell ref="B24:C24"/>
    <mergeCell ref="B25:C25"/>
    <mergeCell ref="B13:C13"/>
    <mergeCell ref="B14:C14"/>
    <mergeCell ref="B15:C15"/>
    <mergeCell ref="B16:C16"/>
    <mergeCell ref="B17:C17"/>
    <mergeCell ref="B18:C18"/>
    <mergeCell ref="B7:C7"/>
    <mergeCell ref="B8:C8"/>
    <mergeCell ref="D8:E8"/>
    <mergeCell ref="B9:C9"/>
    <mergeCell ref="B10:C10"/>
    <mergeCell ref="B11:C11"/>
    <mergeCell ref="A1:F1"/>
    <mergeCell ref="A2:F2"/>
    <mergeCell ref="A3:F3"/>
    <mergeCell ref="A4:F4"/>
    <mergeCell ref="B6:C6"/>
    <mergeCell ref="D6:E6"/>
  </mergeCells>
  <printOptions horizontalCentered="1" verticalCentered="1"/>
  <pageMargins left="0.75" right="0.75" top="1" bottom="1" header="0" footer="0"/>
  <pageSetup scale="76" orientation="portrait" horizont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2AE41-B8E8-4376-BB1F-5AA2CDAF932E}">
  <dimension ref="A1:G60"/>
  <sheetViews>
    <sheetView view="pageBreakPreview" topLeftCell="A3" zoomScale="84" zoomScaleNormal="100" zoomScaleSheetLayoutView="84" workbookViewId="0">
      <selection activeCell="K348" sqref="K348"/>
    </sheetView>
  </sheetViews>
  <sheetFormatPr baseColWidth="10" defaultRowHeight="12.75" x14ac:dyDescent="0.2"/>
  <cols>
    <col min="1" max="1" width="5" style="602" customWidth="1"/>
    <col min="2" max="2" width="51" style="602" bestFit="1" customWidth="1"/>
    <col min="3" max="4" width="11.42578125" style="602"/>
    <col min="5" max="5" width="21.85546875" style="602" bestFit="1" customWidth="1"/>
    <col min="6" max="6" width="11.5703125" style="602" bestFit="1" customWidth="1"/>
    <col min="7" max="7" width="15.42578125" style="602" bestFit="1" customWidth="1"/>
    <col min="8" max="256" width="11.42578125" style="602"/>
    <col min="257" max="257" width="5" style="602" customWidth="1"/>
    <col min="258" max="258" width="51" style="602" bestFit="1" customWidth="1"/>
    <col min="259" max="260" width="11.42578125" style="602"/>
    <col min="261" max="261" width="21.85546875" style="602" bestFit="1" customWidth="1"/>
    <col min="262" max="262" width="11.5703125" style="602" bestFit="1" customWidth="1"/>
    <col min="263" max="263" width="15.42578125" style="602" bestFit="1" customWidth="1"/>
    <col min="264" max="512" width="11.42578125" style="602"/>
    <col min="513" max="513" width="5" style="602" customWidth="1"/>
    <col min="514" max="514" width="51" style="602" bestFit="1" customWidth="1"/>
    <col min="515" max="516" width="11.42578125" style="602"/>
    <col min="517" max="517" width="21.85546875" style="602" bestFit="1" customWidth="1"/>
    <col min="518" max="518" width="11.5703125" style="602" bestFit="1" customWidth="1"/>
    <col min="519" max="519" width="15.42578125" style="602" bestFit="1" customWidth="1"/>
    <col min="520" max="768" width="11.42578125" style="602"/>
    <col min="769" max="769" width="5" style="602" customWidth="1"/>
    <col min="770" max="770" width="51" style="602" bestFit="1" customWidth="1"/>
    <col min="771" max="772" width="11.42578125" style="602"/>
    <col min="773" max="773" width="21.85546875" style="602" bestFit="1" customWidth="1"/>
    <col min="774" max="774" width="11.5703125" style="602" bestFit="1" customWidth="1"/>
    <col min="775" max="775" width="15.42578125" style="602" bestFit="1" customWidth="1"/>
    <col min="776" max="1024" width="11.42578125" style="602"/>
    <col min="1025" max="1025" width="5" style="602" customWidth="1"/>
    <col min="1026" max="1026" width="51" style="602" bestFit="1" customWidth="1"/>
    <col min="1027" max="1028" width="11.42578125" style="602"/>
    <col min="1029" max="1029" width="21.85546875" style="602" bestFit="1" customWidth="1"/>
    <col min="1030" max="1030" width="11.5703125" style="602" bestFit="1" customWidth="1"/>
    <col min="1031" max="1031" width="15.42578125" style="602" bestFit="1" customWidth="1"/>
    <col min="1032" max="1280" width="11.42578125" style="602"/>
    <col min="1281" max="1281" width="5" style="602" customWidth="1"/>
    <col min="1282" max="1282" width="51" style="602" bestFit="1" customWidth="1"/>
    <col min="1283" max="1284" width="11.42578125" style="602"/>
    <col min="1285" max="1285" width="21.85546875" style="602" bestFit="1" customWidth="1"/>
    <col min="1286" max="1286" width="11.5703125" style="602" bestFit="1" customWidth="1"/>
    <col min="1287" max="1287" width="15.42578125" style="602" bestFit="1" customWidth="1"/>
    <col min="1288" max="1536" width="11.42578125" style="602"/>
    <col min="1537" max="1537" width="5" style="602" customWidth="1"/>
    <col min="1538" max="1538" width="51" style="602" bestFit="1" customWidth="1"/>
    <col min="1539" max="1540" width="11.42578125" style="602"/>
    <col min="1541" max="1541" width="21.85546875" style="602" bestFit="1" customWidth="1"/>
    <col min="1542" max="1542" width="11.5703125" style="602" bestFit="1" customWidth="1"/>
    <col min="1543" max="1543" width="15.42578125" style="602" bestFit="1" customWidth="1"/>
    <col min="1544" max="1792" width="11.42578125" style="602"/>
    <col min="1793" max="1793" width="5" style="602" customWidth="1"/>
    <col min="1794" max="1794" width="51" style="602" bestFit="1" customWidth="1"/>
    <col min="1795" max="1796" width="11.42578125" style="602"/>
    <col min="1797" max="1797" width="21.85546875" style="602" bestFit="1" customWidth="1"/>
    <col min="1798" max="1798" width="11.5703125" style="602" bestFit="1" customWidth="1"/>
    <col min="1799" max="1799" width="15.42578125" style="602" bestFit="1" customWidth="1"/>
    <col min="1800" max="2048" width="11.42578125" style="602"/>
    <col min="2049" max="2049" width="5" style="602" customWidth="1"/>
    <col min="2050" max="2050" width="51" style="602" bestFit="1" customWidth="1"/>
    <col min="2051" max="2052" width="11.42578125" style="602"/>
    <col min="2053" max="2053" width="21.85546875" style="602" bestFit="1" customWidth="1"/>
    <col min="2054" max="2054" width="11.5703125" style="602" bestFit="1" customWidth="1"/>
    <col min="2055" max="2055" width="15.42578125" style="602" bestFit="1" customWidth="1"/>
    <col min="2056" max="2304" width="11.42578125" style="602"/>
    <col min="2305" max="2305" width="5" style="602" customWidth="1"/>
    <col min="2306" max="2306" width="51" style="602" bestFit="1" customWidth="1"/>
    <col min="2307" max="2308" width="11.42578125" style="602"/>
    <col min="2309" max="2309" width="21.85546875" style="602" bestFit="1" customWidth="1"/>
    <col min="2310" max="2310" width="11.5703125" style="602" bestFit="1" customWidth="1"/>
    <col min="2311" max="2311" width="15.42578125" style="602" bestFit="1" customWidth="1"/>
    <col min="2312" max="2560" width="11.42578125" style="602"/>
    <col min="2561" max="2561" width="5" style="602" customWidth="1"/>
    <col min="2562" max="2562" width="51" style="602" bestFit="1" customWidth="1"/>
    <col min="2563" max="2564" width="11.42578125" style="602"/>
    <col min="2565" max="2565" width="21.85546875" style="602" bestFit="1" customWidth="1"/>
    <col min="2566" max="2566" width="11.5703125" style="602" bestFit="1" customWidth="1"/>
    <col min="2567" max="2567" width="15.42578125" style="602" bestFit="1" customWidth="1"/>
    <col min="2568" max="2816" width="11.42578125" style="602"/>
    <col min="2817" max="2817" width="5" style="602" customWidth="1"/>
    <col min="2818" max="2818" width="51" style="602" bestFit="1" customWidth="1"/>
    <col min="2819" max="2820" width="11.42578125" style="602"/>
    <col min="2821" max="2821" width="21.85546875" style="602" bestFit="1" customWidth="1"/>
    <col min="2822" max="2822" width="11.5703125" style="602" bestFit="1" customWidth="1"/>
    <col min="2823" max="2823" width="15.42578125" style="602" bestFit="1" customWidth="1"/>
    <col min="2824" max="3072" width="11.42578125" style="602"/>
    <col min="3073" max="3073" width="5" style="602" customWidth="1"/>
    <col min="3074" max="3074" width="51" style="602" bestFit="1" customWidth="1"/>
    <col min="3075" max="3076" width="11.42578125" style="602"/>
    <col min="3077" max="3077" width="21.85546875" style="602" bestFit="1" customWidth="1"/>
    <col min="3078" max="3078" width="11.5703125" style="602" bestFit="1" customWidth="1"/>
    <col min="3079" max="3079" width="15.42578125" style="602" bestFit="1" customWidth="1"/>
    <col min="3080" max="3328" width="11.42578125" style="602"/>
    <col min="3329" max="3329" width="5" style="602" customWidth="1"/>
    <col min="3330" max="3330" width="51" style="602" bestFit="1" customWidth="1"/>
    <col min="3331" max="3332" width="11.42578125" style="602"/>
    <col min="3333" max="3333" width="21.85546875" style="602" bestFit="1" customWidth="1"/>
    <col min="3334" max="3334" width="11.5703125" style="602" bestFit="1" customWidth="1"/>
    <col min="3335" max="3335" width="15.42578125" style="602" bestFit="1" customWidth="1"/>
    <col min="3336" max="3584" width="11.42578125" style="602"/>
    <col min="3585" max="3585" width="5" style="602" customWidth="1"/>
    <col min="3586" max="3586" width="51" style="602" bestFit="1" customWidth="1"/>
    <col min="3587" max="3588" width="11.42578125" style="602"/>
    <col min="3589" max="3589" width="21.85546875" style="602" bestFit="1" customWidth="1"/>
    <col min="3590" max="3590" width="11.5703125" style="602" bestFit="1" customWidth="1"/>
    <col min="3591" max="3591" width="15.42578125" style="602" bestFit="1" customWidth="1"/>
    <col min="3592" max="3840" width="11.42578125" style="602"/>
    <col min="3841" max="3841" width="5" style="602" customWidth="1"/>
    <col min="3842" max="3842" width="51" style="602" bestFit="1" customWidth="1"/>
    <col min="3843" max="3844" width="11.42578125" style="602"/>
    <col min="3845" max="3845" width="21.85546875" style="602" bestFit="1" customWidth="1"/>
    <col min="3846" max="3846" width="11.5703125" style="602" bestFit="1" customWidth="1"/>
    <col min="3847" max="3847" width="15.42578125" style="602" bestFit="1" customWidth="1"/>
    <col min="3848" max="4096" width="11.42578125" style="602"/>
    <col min="4097" max="4097" width="5" style="602" customWidth="1"/>
    <col min="4098" max="4098" width="51" style="602" bestFit="1" customWidth="1"/>
    <col min="4099" max="4100" width="11.42578125" style="602"/>
    <col min="4101" max="4101" width="21.85546875" style="602" bestFit="1" customWidth="1"/>
    <col min="4102" max="4102" width="11.5703125" style="602" bestFit="1" customWidth="1"/>
    <col min="4103" max="4103" width="15.42578125" style="602" bestFit="1" customWidth="1"/>
    <col min="4104" max="4352" width="11.42578125" style="602"/>
    <col min="4353" max="4353" width="5" style="602" customWidth="1"/>
    <col min="4354" max="4354" width="51" style="602" bestFit="1" customWidth="1"/>
    <col min="4355" max="4356" width="11.42578125" style="602"/>
    <col min="4357" max="4357" width="21.85546875" style="602" bestFit="1" customWidth="1"/>
    <col min="4358" max="4358" width="11.5703125" style="602" bestFit="1" customWidth="1"/>
    <col min="4359" max="4359" width="15.42578125" style="602" bestFit="1" customWidth="1"/>
    <col min="4360" max="4608" width="11.42578125" style="602"/>
    <col min="4609" max="4609" width="5" style="602" customWidth="1"/>
    <col min="4610" max="4610" width="51" style="602" bestFit="1" customWidth="1"/>
    <col min="4611" max="4612" width="11.42578125" style="602"/>
    <col min="4613" max="4613" width="21.85546875" style="602" bestFit="1" customWidth="1"/>
    <col min="4614" max="4614" width="11.5703125" style="602" bestFit="1" customWidth="1"/>
    <col min="4615" max="4615" width="15.42578125" style="602" bestFit="1" customWidth="1"/>
    <col min="4616" max="4864" width="11.42578125" style="602"/>
    <col min="4865" max="4865" width="5" style="602" customWidth="1"/>
    <col min="4866" max="4866" width="51" style="602" bestFit="1" customWidth="1"/>
    <col min="4867" max="4868" width="11.42578125" style="602"/>
    <col min="4869" max="4869" width="21.85546875" style="602" bestFit="1" customWidth="1"/>
    <col min="4870" max="4870" width="11.5703125" style="602" bestFit="1" customWidth="1"/>
    <col min="4871" max="4871" width="15.42578125" style="602" bestFit="1" customWidth="1"/>
    <col min="4872" max="5120" width="11.42578125" style="602"/>
    <col min="5121" max="5121" width="5" style="602" customWidth="1"/>
    <col min="5122" max="5122" width="51" style="602" bestFit="1" customWidth="1"/>
    <col min="5123" max="5124" width="11.42578125" style="602"/>
    <col min="5125" max="5125" width="21.85546875" style="602" bestFit="1" customWidth="1"/>
    <col min="5126" max="5126" width="11.5703125" style="602" bestFit="1" customWidth="1"/>
    <col min="5127" max="5127" width="15.42578125" style="602" bestFit="1" customWidth="1"/>
    <col min="5128" max="5376" width="11.42578125" style="602"/>
    <col min="5377" max="5377" width="5" style="602" customWidth="1"/>
    <col min="5378" max="5378" width="51" style="602" bestFit="1" customWidth="1"/>
    <col min="5379" max="5380" width="11.42578125" style="602"/>
    <col min="5381" max="5381" width="21.85546875" style="602" bestFit="1" customWidth="1"/>
    <col min="5382" max="5382" width="11.5703125" style="602" bestFit="1" customWidth="1"/>
    <col min="5383" max="5383" width="15.42578125" style="602" bestFit="1" customWidth="1"/>
    <col min="5384" max="5632" width="11.42578125" style="602"/>
    <col min="5633" max="5633" width="5" style="602" customWidth="1"/>
    <col min="5634" max="5634" width="51" style="602" bestFit="1" customWidth="1"/>
    <col min="5635" max="5636" width="11.42578125" style="602"/>
    <col min="5637" max="5637" width="21.85546875" style="602" bestFit="1" customWidth="1"/>
    <col min="5638" max="5638" width="11.5703125" style="602" bestFit="1" customWidth="1"/>
    <col min="5639" max="5639" width="15.42578125" style="602" bestFit="1" customWidth="1"/>
    <col min="5640" max="5888" width="11.42578125" style="602"/>
    <col min="5889" max="5889" width="5" style="602" customWidth="1"/>
    <col min="5890" max="5890" width="51" style="602" bestFit="1" customWidth="1"/>
    <col min="5891" max="5892" width="11.42578125" style="602"/>
    <col min="5893" max="5893" width="21.85546875" style="602" bestFit="1" customWidth="1"/>
    <col min="5894" max="5894" width="11.5703125" style="602" bestFit="1" customWidth="1"/>
    <col min="5895" max="5895" width="15.42578125" style="602" bestFit="1" customWidth="1"/>
    <col min="5896" max="6144" width="11.42578125" style="602"/>
    <col min="6145" max="6145" width="5" style="602" customWidth="1"/>
    <col min="6146" max="6146" width="51" style="602" bestFit="1" customWidth="1"/>
    <col min="6147" max="6148" width="11.42578125" style="602"/>
    <col min="6149" max="6149" width="21.85546875" style="602" bestFit="1" customWidth="1"/>
    <col min="6150" max="6150" width="11.5703125" style="602" bestFit="1" customWidth="1"/>
    <col min="6151" max="6151" width="15.42578125" style="602" bestFit="1" customWidth="1"/>
    <col min="6152" max="6400" width="11.42578125" style="602"/>
    <col min="6401" max="6401" width="5" style="602" customWidth="1"/>
    <col min="6402" max="6402" width="51" style="602" bestFit="1" customWidth="1"/>
    <col min="6403" max="6404" width="11.42578125" style="602"/>
    <col min="6405" max="6405" width="21.85546875" style="602" bestFit="1" customWidth="1"/>
    <col min="6406" max="6406" width="11.5703125" style="602" bestFit="1" customWidth="1"/>
    <col min="6407" max="6407" width="15.42578125" style="602" bestFit="1" customWidth="1"/>
    <col min="6408" max="6656" width="11.42578125" style="602"/>
    <col min="6657" max="6657" width="5" style="602" customWidth="1"/>
    <col min="6658" max="6658" width="51" style="602" bestFit="1" customWidth="1"/>
    <col min="6659" max="6660" width="11.42578125" style="602"/>
    <col min="6661" max="6661" width="21.85546875" style="602" bestFit="1" customWidth="1"/>
    <col min="6662" max="6662" width="11.5703125" style="602" bestFit="1" customWidth="1"/>
    <col min="6663" max="6663" width="15.42578125" style="602" bestFit="1" customWidth="1"/>
    <col min="6664" max="6912" width="11.42578125" style="602"/>
    <col min="6913" max="6913" width="5" style="602" customWidth="1"/>
    <col min="6914" max="6914" width="51" style="602" bestFit="1" customWidth="1"/>
    <col min="6915" max="6916" width="11.42578125" style="602"/>
    <col min="6917" max="6917" width="21.85546875" style="602" bestFit="1" customWidth="1"/>
    <col min="6918" max="6918" width="11.5703125" style="602" bestFit="1" customWidth="1"/>
    <col min="6919" max="6919" width="15.42578125" style="602" bestFit="1" customWidth="1"/>
    <col min="6920" max="7168" width="11.42578125" style="602"/>
    <col min="7169" max="7169" width="5" style="602" customWidth="1"/>
    <col min="7170" max="7170" width="51" style="602" bestFit="1" customWidth="1"/>
    <col min="7171" max="7172" width="11.42578125" style="602"/>
    <col min="7173" max="7173" width="21.85546875" style="602" bestFit="1" customWidth="1"/>
    <col min="7174" max="7174" width="11.5703125" style="602" bestFit="1" customWidth="1"/>
    <col min="7175" max="7175" width="15.42578125" style="602" bestFit="1" customWidth="1"/>
    <col min="7176" max="7424" width="11.42578125" style="602"/>
    <col min="7425" max="7425" width="5" style="602" customWidth="1"/>
    <col min="7426" max="7426" width="51" style="602" bestFit="1" customWidth="1"/>
    <col min="7427" max="7428" width="11.42578125" style="602"/>
    <col min="7429" max="7429" width="21.85546875" style="602" bestFit="1" customWidth="1"/>
    <col min="7430" max="7430" width="11.5703125" style="602" bestFit="1" customWidth="1"/>
    <col min="7431" max="7431" width="15.42578125" style="602" bestFit="1" customWidth="1"/>
    <col min="7432" max="7680" width="11.42578125" style="602"/>
    <col min="7681" max="7681" width="5" style="602" customWidth="1"/>
    <col min="7682" max="7682" width="51" style="602" bestFit="1" customWidth="1"/>
    <col min="7683" max="7684" width="11.42578125" style="602"/>
    <col min="7685" max="7685" width="21.85546875" style="602" bestFit="1" customWidth="1"/>
    <col min="7686" max="7686" width="11.5703125" style="602" bestFit="1" customWidth="1"/>
    <col min="7687" max="7687" width="15.42578125" style="602" bestFit="1" customWidth="1"/>
    <col min="7688" max="7936" width="11.42578125" style="602"/>
    <col min="7937" max="7937" width="5" style="602" customWidth="1"/>
    <col min="7938" max="7938" width="51" style="602" bestFit="1" customWidth="1"/>
    <col min="7939" max="7940" width="11.42578125" style="602"/>
    <col min="7941" max="7941" width="21.85546875" style="602" bestFit="1" customWidth="1"/>
    <col min="7942" max="7942" width="11.5703125" style="602" bestFit="1" customWidth="1"/>
    <col min="7943" max="7943" width="15.42578125" style="602" bestFit="1" customWidth="1"/>
    <col min="7944" max="8192" width="11.42578125" style="602"/>
    <col min="8193" max="8193" width="5" style="602" customWidth="1"/>
    <col min="8194" max="8194" width="51" style="602" bestFit="1" customWidth="1"/>
    <col min="8195" max="8196" width="11.42578125" style="602"/>
    <col min="8197" max="8197" width="21.85546875" style="602" bestFit="1" customWidth="1"/>
    <col min="8198" max="8198" width="11.5703125" style="602" bestFit="1" customWidth="1"/>
    <col min="8199" max="8199" width="15.42578125" style="602" bestFit="1" customWidth="1"/>
    <col min="8200" max="8448" width="11.42578125" style="602"/>
    <col min="8449" max="8449" width="5" style="602" customWidth="1"/>
    <col min="8450" max="8450" width="51" style="602" bestFit="1" customWidth="1"/>
    <col min="8451" max="8452" width="11.42578125" style="602"/>
    <col min="8453" max="8453" width="21.85546875" style="602" bestFit="1" customWidth="1"/>
    <col min="8454" max="8454" width="11.5703125" style="602" bestFit="1" customWidth="1"/>
    <col min="8455" max="8455" width="15.42578125" style="602" bestFit="1" customWidth="1"/>
    <col min="8456" max="8704" width="11.42578125" style="602"/>
    <col min="8705" max="8705" width="5" style="602" customWidth="1"/>
    <col min="8706" max="8706" width="51" style="602" bestFit="1" customWidth="1"/>
    <col min="8707" max="8708" width="11.42578125" style="602"/>
    <col min="8709" max="8709" width="21.85546875" style="602" bestFit="1" customWidth="1"/>
    <col min="8710" max="8710" width="11.5703125" style="602" bestFit="1" customWidth="1"/>
    <col min="8711" max="8711" width="15.42578125" style="602" bestFit="1" customWidth="1"/>
    <col min="8712" max="8960" width="11.42578125" style="602"/>
    <col min="8961" max="8961" width="5" style="602" customWidth="1"/>
    <col min="8962" max="8962" width="51" style="602" bestFit="1" customWidth="1"/>
    <col min="8963" max="8964" width="11.42578125" style="602"/>
    <col min="8965" max="8965" width="21.85546875" style="602" bestFit="1" customWidth="1"/>
    <col min="8966" max="8966" width="11.5703125" style="602" bestFit="1" customWidth="1"/>
    <col min="8967" max="8967" width="15.42578125" style="602" bestFit="1" customWidth="1"/>
    <col min="8968" max="9216" width="11.42578125" style="602"/>
    <col min="9217" max="9217" width="5" style="602" customWidth="1"/>
    <col min="9218" max="9218" width="51" style="602" bestFit="1" customWidth="1"/>
    <col min="9219" max="9220" width="11.42578125" style="602"/>
    <col min="9221" max="9221" width="21.85546875" style="602" bestFit="1" customWidth="1"/>
    <col min="9222" max="9222" width="11.5703125" style="602" bestFit="1" customWidth="1"/>
    <col min="9223" max="9223" width="15.42578125" style="602" bestFit="1" customWidth="1"/>
    <col min="9224" max="9472" width="11.42578125" style="602"/>
    <col min="9473" max="9473" width="5" style="602" customWidth="1"/>
    <col min="9474" max="9474" width="51" style="602" bestFit="1" customWidth="1"/>
    <col min="9475" max="9476" width="11.42578125" style="602"/>
    <col min="9477" max="9477" width="21.85546875" style="602" bestFit="1" customWidth="1"/>
    <col min="9478" max="9478" width="11.5703125" style="602" bestFit="1" customWidth="1"/>
    <col min="9479" max="9479" width="15.42578125" style="602" bestFit="1" customWidth="1"/>
    <col min="9480" max="9728" width="11.42578125" style="602"/>
    <col min="9729" max="9729" width="5" style="602" customWidth="1"/>
    <col min="9730" max="9730" width="51" style="602" bestFit="1" customWidth="1"/>
    <col min="9731" max="9732" width="11.42578125" style="602"/>
    <col min="9733" max="9733" width="21.85546875" style="602" bestFit="1" customWidth="1"/>
    <col min="9734" max="9734" width="11.5703125" style="602" bestFit="1" customWidth="1"/>
    <col min="9735" max="9735" width="15.42578125" style="602" bestFit="1" customWidth="1"/>
    <col min="9736" max="9984" width="11.42578125" style="602"/>
    <col min="9985" max="9985" width="5" style="602" customWidth="1"/>
    <col min="9986" max="9986" width="51" style="602" bestFit="1" customWidth="1"/>
    <col min="9987" max="9988" width="11.42578125" style="602"/>
    <col min="9989" max="9989" width="21.85546875" style="602" bestFit="1" customWidth="1"/>
    <col min="9990" max="9990" width="11.5703125" style="602" bestFit="1" customWidth="1"/>
    <col min="9991" max="9991" width="15.42578125" style="602" bestFit="1" customWidth="1"/>
    <col min="9992" max="10240" width="11.42578125" style="602"/>
    <col min="10241" max="10241" width="5" style="602" customWidth="1"/>
    <col min="10242" max="10242" width="51" style="602" bestFit="1" customWidth="1"/>
    <col min="10243" max="10244" width="11.42578125" style="602"/>
    <col min="10245" max="10245" width="21.85546875" style="602" bestFit="1" customWidth="1"/>
    <col min="10246" max="10246" width="11.5703125" style="602" bestFit="1" customWidth="1"/>
    <col min="10247" max="10247" width="15.42578125" style="602" bestFit="1" customWidth="1"/>
    <col min="10248" max="10496" width="11.42578125" style="602"/>
    <col min="10497" max="10497" width="5" style="602" customWidth="1"/>
    <col min="10498" max="10498" width="51" style="602" bestFit="1" customWidth="1"/>
    <col min="10499" max="10500" width="11.42578125" style="602"/>
    <col min="10501" max="10501" width="21.85546875" style="602" bestFit="1" customWidth="1"/>
    <col min="10502" max="10502" width="11.5703125" style="602" bestFit="1" customWidth="1"/>
    <col min="10503" max="10503" width="15.42578125" style="602" bestFit="1" customWidth="1"/>
    <col min="10504" max="10752" width="11.42578125" style="602"/>
    <col min="10753" max="10753" width="5" style="602" customWidth="1"/>
    <col min="10754" max="10754" width="51" style="602" bestFit="1" customWidth="1"/>
    <col min="10755" max="10756" width="11.42578125" style="602"/>
    <col min="10757" max="10757" width="21.85546875" style="602" bestFit="1" customWidth="1"/>
    <col min="10758" max="10758" width="11.5703125" style="602" bestFit="1" customWidth="1"/>
    <col min="10759" max="10759" width="15.42578125" style="602" bestFit="1" customWidth="1"/>
    <col min="10760" max="11008" width="11.42578125" style="602"/>
    <col min="11009" max="11009" width="5" style="602" customWidth="1"/>
    <col min="11010" max="11010" width="51" style="602" bestFit="1" customWidth="1"/>
    <col min="11011" max="11012" width="11.42578125" style="602"/>
    <col min="11013" max="11013" width="21.85546875" style="602" bestFit="1" customWidth="1"/>
    <col min="11014" max="11014" width="11.5703125" style="602" bestFit="1" customWidth="1"/>
    <col min="11015" max="11015" width="15.42578125" style="602" bestFit="1" customWidth="1"/>
    <col min="11016" max="11264" width="11.42578125" style="602"/>
    <col min="11265" max="11265" width="5" style="602" customWidth="1"/>
    <col min="11266" max="11266" width="51" style="602" bestFit="1" customWidth="1"/>
    <col min="11267" max="11268" width="11.42578125" style="602"/>
    <col min="11269" max="11269" width="21.85546875" style="602" bestFit="1" customWidth="1"/>
    <col min="11270" max="11270" width="11.5703125" style="602" bestFit="1" customWidth="1"/>
    <col min="11271" max="11271" width="15.42578125" style="602" bestFit="1" customWidth="1"/>
    <col min="11272" max="11520" width="11.42578125" style="602"/>
    <col min="11521" max="11521" width="5" style="602" customWidth="1"/>
    <col min="11522" max="11522" width="51" style="602" bestFit="1" customWidth="1"/>
    <col min="11523" max="11524" width="11.42578125" style="602"/>
    <col min="11525" max="11525" width="21.85546875" style="602" bestFit="1" customWidth="1"/>
    <col min="11526" max="11526" width="11.5703125" style="602" bestFit="1" customWidth="1"/>
    <col min="11527" max="11527" width="15.42578125" style="602" bestFit="1" customWidth="1"/>
    <col min="11528" max="11776" width="11.42578125" style="602"/>
    <col min="11777" max="11777" width="5" style="602" customWidth="1"/>
    <col min="11778" max="11778" width="51" style="602" bestFit="1" customWidth="1"/>
    <col min="11779" max="11780" width="11.42578125" style="602"/>
    <col min="11781" max="11781" width="21.85546875" style="602" bestFit="1" customWidth="1"/>
    <col min="11782" max="11782" width="11.5703125" style="602" bestFit="1" customWidth="1"/>
    <col min="11783" max="11783" width="15.42578125" style="602" bestFit="1" customWidth="1"/>
    <col min="11784" max="12032" width="11.42578125" style="602"/>
    <col min="12033" max="12033" width="5" style="602" customWidth="1"/>
    <col min="12034" max="12034" width="51" style="602" bestFit="1" customWidth="1"/>
    <col min="12035" max="12036" width="11.42578125" style="602"/>
    <col min="12037" max="12037" width="21.85546875" style="602" bestFit="1" customWidth="1"/>
    <col min="12038" max="12038" width="11.5703125" style="602" bestFit="1" customWidth="1"/>
    <col min="12039" max="12039" width="15.42578125" style="602" bestFit="1" customWidth="1"/>
    <col min="12040" max="12288" width="11.42578125" style="602"/>
    <col min="12289" max="12289" width="5" style="602" customWidth="1"/>
    <col min="12290" max="12290" width="51" style="602" bestFit="1" customWidth="1"/>
    <col min="12291" max="12292" width="11.42578125" style="602"/>
    <col min="12293" max="12293" width="21.85546875" style="602" bestFit="1" customWidth="1"/>
    <col min="12294" max="12294" width="11.5703125" style="602" bestFit="1" customWidth="1"/>
    <col min="12295" max="12295" width="15.42578125" style="602" bestFit="1" customWidth="1"/>
    <col min="12296" max="12544" width="11.42578125" style="602"/>
    <col min="12545" max="12545" width="5" style="602" customWidth="1"/>
    <col min="12546" max="12546" width="51" style="602" bestFit="1" customWidth="1"/>
    <col min="12547" max="12548" width="11.42578125" style="602"/>
    <col min="12549" max="12549" width="21.85546875" style="602" bestFit="1" customWidth="1"/>
    <col min="12550" max="12550" width="11.5703125" style="602" bestFit="1" customWidth="1"/>
    <col min="12551" max="12551" width="15.42578125" style="602" bestFit="1" customWidth="1"/>
    <col min="12552" max="12800" width="11.42578125" style="602"/>
    <col min="12801" max="12801" width="5" style="602" customWidth="1"/>
    <col min="12802" max="12802" width="51" style="602" bestFit="1" customWidth="1"/>
    <col min="12803" max="12804" width="11.42578125" style="602"/>
    <col min="12805" max="12805" width="21.85546875" style="602" bestFit="1" customWidth="1"/>
    <col min="12806" max="12806" width="11.5703125" style="602" bestFit="1" customWidth="1"/>
    <col min="12807" max="12807" width="15.42578125" style="602" bestFit="1" customWidth="1"/>
    <col min="12808" max="13056" width="11.42578125" style="602"/>
    <col min="13057" max="13057" width="5" style="602" customWidth="1"/>
    <col min="13058" max="13058" width="51" style="602" bestFit="1" customWidth="1"/>
    <col min="13059" max="13060" width="11.42578125" style="602"/>
    <col min="13061" max="13061" width="21.85546875" style="602" bestFit="1" customWidth="1"/>
    <col min="13062" max="13062" width="11.5703125" style="602" bestFit="1" customWidth="1"/>
    <col min="13063" max="13063" width="15.42578125" style="602" bestFit="1" customWidth="1"/>
    <col min="13064" max="13312" width="11.42578125" style="602"/>
    <col min="13313" max="13313" width="5" style="602" customWidth="1"/>
    <col min="13314" max="13314" width="51" style="602" bestFit="1" customWidth="1"/>
    <col min="13315" max="13316" width="11.42578125" style="602"/>
    <col min="13317" max="13317" width="21.85546875" style="602" bestFit="1" customWidth="1"/>
    <col min="13318" max="13318" width="11.5703125" style="602" bestFit="1" customWidth="1"/>
    <col min="13319" max="13319" width="15.42578125" style="602" bestFit="1" customWidth="1"/>
    <col min="13320" max="13568" width="11.42578125" style="602"/>
    <col min="13569" max="13569" width="5" style="602" customWidth="1"/>
    <col min="13570" max="13570" width="51" style="602" bestFit="1" customWidth="1"/>
    <col min="13571" max="13572" width="11.42578125" style="602"/>
    <col min="13573" max="13573" width="21.85546875" style="602" bestFit="1" customWidth="1"/>
    <col min="13574" max="13574" width="11.5703125" style="602" bestFit="1" customWidth="1"/>
    <col min="13575" max="13575" width="15.42578125" style="602" bestFit="1" customWidth="1"/>
    <col min="13576" max="13824" width="11.42578125" style="602"/>
    <col min="13825" max="13825" width="5" style="602" customWidth="1"/>
    <col min="13826" max="13826" width="51" style="602" bestFit="1" customWidth="1"/>
    <col min="13827" max="13828" width="11.42578125" style="602"/>
    <col min="13829" max="13829" width="21.85546875" style="602" bestFit="1" customWidth="1"/>
    <col min="13830" max="13830" width="11.5703125" style="602" bestFit="1" customWidth="1"/>
    <col min="13831" max="13831" width="15.42578125" style="602" bestFit="1" customWidth="1"/>
    <col min="13832" max="14080" width="11.42578125" style="602"/>
    <col min="14081" max="14081" width="5" style="602" customWidth="1"/>
    <col min="14082" max="14082" width="51" style="602" bestFit="1" customWidth="1"/>
    <col min="14083" max="14084" width="11.42578125" style="602"/>
    <col min="14085" max="14085" width="21.85546875" style="602" bestFit="1" customWidth="1"/>
    <col min="14086" max="14086" width="11.5703125" style="602" bestFit="1" customWidth="1"/>
    <col min="14087" max="14087" width="15.42578125" style="602" bestFit="1" customWidth="1"/>
    <col min="14088" max="14336" width="11.42578125" style="602"/>
    <col min="14337" max="14337" width="5" style="602" customWidth="1"/>
    <col min="14338" max="14338" width="51" style="602" bestFit="1" customWidth="1"/>
    <col min="14339" max="14340" width="11.42578125" style="602"/>
    <col min="14341" max="14341" width="21.85546875" style="602" bestFit="1" customWidth="1"/>
    <col min="14342" max="14342" width="11.5703125" style="602" bestFit="1" customWidth="1"/>
    <col min="14343" max="14343" width="15.42578125" style="602" bestFit="1" customWidth="1"/>
    <col min="14344" max="14592" width="11.42578125" style="602"/>
    <col min="14593" max="14593" width="5" style="602" customWidth="1"/>
    <col min="14594" max="14594" width="51" style="602" bestFit="1" customWidth="1"/>
    <col min="14595" max="14596" width="11.42578125" style="602"/>
    <col min="14597" max="14597" width="21.85546875" style="602" bestFit="1" customWidth="1"/>
    <col min="14598" max="14598" width="11.5703125" style="602" bestFit="1" customWidth="1"/>
    <col min="14599" max="14599" width="15.42578125" style="602" bestFit="1" customWidth="1"/>
    <col min="14600" max="14848" width="11.42578125" style="602"/>
    <col min="14849" max="14849" width="5" style="602" customWidth="1"/>
    <col min="14850" max="14850" width="51" style="602" bestFit="1" customWidth="1"/>
    <col min="14851" max="14852" width="11.42578125" style="602"/>
    <col min="14853" max="14853" width="21.85546875" style="602" bestFit="1" customWidth="1"/>
    <col min="14854" max="14854" width="11.5703125" style="602" bestFit="1" customWidth="1"/>
    <col min="14855" max="14855" width="15.42578125" style="602" bestFit="1" customWidth="1"/>
    <col min="14856" max="15104" width="11.42578125" style="602"/>
    <col min="15105" max="15105" width="5" style="602" customWidth="1"/>
    <col min="15106" max="15106" width="51" style="602" bestFit="1" customWidth="1"/>
    <col min="15107" max="15108" width="11.42578125" style="602"/>
    <col min="15109" max="15109" width="21.85546875" style="602" bestFit="1" customWidth="1"/>
    <col min="15110" max="15110" width="11.5703125" style="602" bestFit="1" customWidth="1"/>
    <col min="15111" max="15111" width="15.42578125" style="602" bestFit="1" customWidth="1"/>
    <col min="15112" max="15360" width="11.42578125" style="602"/>
    <col min="15361" max="15361" width="5" style="602" customWidth="1"/>
    <col min="15362" max="15362" width="51" style="602" bestFit="1" customWidth="1"/>
    <col min="15363" max="15364" width="11.42578125" style="602"/>
    <col min="15365" max="15365" width="21.85546875" style="602" bestFit="1" customWidth="1"/>
    <col min="15366" max="15366" width="11.5703125" style="602" bestFit="1" customWidth="1"/>
    <col min="15367" max="15367" width="15.42578125" style="602" bestFit="1" customWidth="1"/>
    <col min="15368" max="15616" width="11.42578125" style="602"/>
    <col min="15617" max="15617" width="5" style="602" customWidth="1"/>
    <col min="15618" max="15618" width="51" style="602" bestFit="1" customWidth="1"/>
    <col min="15619" max="15620" width="11.42578125" style="602"/>
    <col min="15621" max="15621" width="21.85546875" style="602" bestFit="1" customWidth="1"/>
    <col min="15622" max="15622" width="11.5703125" style="602" bestFit="1" customWidth="1"/>
    <col min="15623" max="15623" width="15.42578125" style="602" bestFit="1" customWidth="1"/>
    <col min="15624" max="15872" width="11.42578125" style="602"/>
    <col min="15873" max="15873" width="5" style="602" customWidth="1"/>
    <col min="15874" max="15874" width="51" style="602" bestFit="1" customWidth="1"/>
    <col min="15875" max="15876" width="11.42578125" style="602"/>
    <col min="15877" max="15877" width="21.85546875" style="602" bestFit="1" customWidth="1"/>
    <col min="15878" max="15878" width="11.5703125" style="602" bestFit="1" customWidth="1"/>
    <col min="15879" max="15879" width="15.42578125" style="602" bestFit="1" customWidth="1"/>
    <col min="15880" max="16128" width="11.42578125" style="602"/>
    <col min="16129" max="16129" width="5" style="602" customWidth="1"/>
    <col min="16130" max="16130" width="51" style="602" bestFit="1" customWidth="1"/>
    <col min="16131" max="16132" width="11.42578125" style="602"/>
    <col min="16133" max="16133" width="21.85546875" style="602" bestFit="1" customWidth="1"/>
    <col min="16134" max="16134" width="11.5703125" style="602" bestFit="1" customWidth="1"/>
    <col min="16135" max="16135" width="15.42578125" style="602" bestFit="1" customWidth="1"/>
    <col min="16136" max="16384" width="11.42578125" style="602"/>
  </cols>
  <sheetData>
    <row r="1" spans="1:7" x14ac:dyDescent="0.2">
      <c r="A1" s="615" t="s">
        <v>295</v>
      </c>
      <c r="B1" s="616"/>
      <c r="C1" s="616"/>
      <c r="D1" s="616"/>
      <c r="E1" s="616"/>
      <c r="F1" s="763"/>
    </row>
    <row r="2" spans="1:7" x14ac:dyDescent="0.2">
      <c r="A2" s="617" t="s">
        <v>294</v>
      </c>
      <c r="B2" s="618"/>
      <c r="C2" s="618"/>
      <c r="D2" s="618"/>
      <c r="E2" s="618"/>
      <c r="F2" s="712"/>
    </row>
    <row r="3" spans="1:7" x14ac:dyDescent="0.2">
      <c r="A3" s="617" t="str">
        <f>+'[7]Clasific. Económica de Ingresos'!A3:E3</f>
        <v>PERIODO 2021</v>
      </c>
      <c r="B3" s="618"/>
      <c r="C3" s="618"/>
      <c r="D3" s="618"/>
      <c r="E3" s="618"/>
      <c r="F3" s="712"/>
    </row>
    <row r="4" spans="1:7" x14ac:dyDescent="0.2">
      <c r="A4" s="617" t="s">
        <v>595</v>
      </c>
      <c r="B4" s="618"/>
      <c r="C4" s="618"/>
      <c r="D4" s="618"/>
      <c r="E4" s="618"/>
      <c r="F4" s="712"/>
    </row>
    <row r="5" spans="1:7" ht="13.5" thickBot="1" x14ac:dyDescent="0.25">
      <c r="A5" s="238"/>
      <c r="D5" s="211"/>
      <c r="F5" s="603"/>
    </row>
    <row r="6" spans="1:7" ht="13.5" thickBot="1" x14ac:dyDescent="0.25">
      <c r="A6" s="375"/>
      <c r="B6" s="764" t="s">
        <v>596</v>
      </c>
      <c r="C6" s="765"/>
      <c r="D6" s="766"/>
      <c r="E6" s="766">
        <f>+E8+E10+E12+E14+E16+E18+E51+E58+E60</f>
        <v>10144878496.796829</v>
      </c>
      <c r="F6" s="767">
        <f>+F8+F10+F12+F14+F16+F18+F51+F58+F60</f>
        <v>0.99999999999999989</v>
      </c>
    </row>
    <row r="7" spans="1:7" x14ac:dyDescent="0.2">
      <c r="A7" s="228"/>
      <c r="B7" s="768"/>
      <c r="C7" s="768"/>
      <c r="D7" s="443"/>
      <c r="E7" s="443"/>
      <c r="F7" s="769"/>
    </row>
    <row r="8" spans="1:7" x14ac:dyDescent="0.2">
      <c r="A8" s="238">
        <v>0</v>
      </c>
      <c r="B8" s="757" t="s">
        <v>586</v>
      </c>
      <c r="C8" s="757"/>
      <c r="E8" s="335">
        <f>+[9]general!$F$13</f>
        <v>5186589065.4541979</v>
      </c>
      <c r="F8" s="770">
        <f>SUM(E8)/$E$6</f>
        <v>0.51125196492908465</v>
      </c>
      <c r="G8" s="211"/>
    </row>
    <row r="9" spans="1:7" x14ac:dyDescent="0.2">
      <c r="A9" s="238"/>
      <c r="B9" s="620"/>
      <c r="C9" s="620"/>
      <c r="E9" s="211"/>
      <c r="F9" s="771"/>
    </row>
    <row r="10" spans="1:7" x14ac:dyDescent="0.2">
      <c r="A10" s="238">
        <v>1</v>
      </c>
      <c r="B10" s="757" t="s">
        <v>587</v>
      </c>
      <c r="C10" s="757"/>
      <c r="E10" s="335">
        <f>+[9]general!$F$45</f>
        <v>1859349527.5020001</v>
      </c>
      <c r="F10" s="770">
        <f>SUM(E10)/$E$6</f>
        <v>0.18327962509251106</v>
      </c>
    </row>
    <row r="11" spans="1:7" x14ac:dyDescent="0.2">
      <c r="A11" s="238"/>
      <c r="B11" s="239"/>
      <c r="C11" s="239"/>
      <c r="E11" s="335"/>
      <c r="F11" s="770"/>
    </row>
    <row r="12" spans="1:7" x14ac:dyDescent="0.2">
      <c r="A12" s="238">
        <v>2</v>
      </c>
      <c r="B12" s="757" t="s">
        <v>588</v>
      </c>
      <c r="C12" s="757"/>
      <c r="E12" s="335">
        <f>+[9]general!$F$102</f>
        <v>176630400</v>
      </c>
      <c r="F12" s="770">
        <f>SUM(E12)/$E$6</f>
        <v>1.7410795018961513E-2</v>
      </c>
    </row>
    <row r="13" spans="1:7" x14ac:dyDescent="0.2">
      <c r="A13" s="238"/>
      <c r="B13" s="620"/>
      <c r="C13" s="620"/>
      <c r="E13" s="335"/>
      <c r="F13" s="770"/>
    </row>
    <row r="14" spans="1:7" hidden="1" x14ac:dyDescent="0.2">
      <c r="A14" s="238">
        <v>3</v>
      </c>
      <c r="B14" s="757" t="s">
        <v>589</v>
      </c>
      <c r="C14" s="757"/>
      <c r="E14" s="335">
        <f>+[9]general!$F$132</f>
        <v>0</v>
      </c>
      <c r="F14" s="770">
        <f>SUM(E14)/$E$6</f>
        <v>0</v>
      </c>
    </row>
    <row r="15" spans="1:7" x14ac:dyDescent="0.2">
      <c r="A15" s="238"/>
      <c r="B15" s="620"/>
      <c r="C15" s="620"/>
      <c r="E15" s="335"/>
      <c r="F15" s="770"/>
    </row>
    <row r="16" spans="1:7" x14ac:dyDescent="0.2">
      <c r="A16" s="238">
        <v>5</v>
      </c>
      <c r="B16" s="757" t="s">
        <v>590</v>
      </c>
      <c r="C16" s="757"/>
      <c r="E16" s="335">
        <f>+[9]general!$F$137</f>
        <v>274725000</v>
      </c>
      <c r="F16" s="770">
        <f>SUM(E16)/$E$6</f>
        <v>2.7080166616755677E-2</v>
      </c>
    </row>
    <row r="17" spans="1:6" x14ac:dyDescent="0.2">
      <c r="A17" s="238"/>
      <c r="B17" s="620" t="s">
        <v>15</v>
      </c>
      <c r="C17" s="620"/>
      <c r="E17" s="248" t="s">
        <v>15</v>
      </c>
      <c r="F17" s="770" t="s">
        <v>15</v>
      </c>
    </row>
    <row r="18" spans="1:6" x14ac:dyDescent="0.2">
      <c r="A18" s="238">
        <v>6</v>
      </c>
      <c r="B18" s="757" t="s">
        <v>591</v>
      </c>
      <c r="C18" s="757"/>
      <c r="E18" s="335">
        <f>+[9]general!$F$162</f>
        <v>2552964382.9106302</v>
      </c>
      <c r="F18" s="770">
        <f>SUM(E18)/$E$6</f>
        <v>0.25165056276590303</v>
      </c>
    </row>
    <row r="19" spans="1:6" x14ac:dyDescent="0.2">
      <c r="A19" s="238"/>
      <c r="B19" s="239"/>
      <c r="C19" s="239"/>
      <c r="D19" s="248"/>
      <c r="E19" s="248"/>
      <c r="F19" s="770"/>
    </row>
    <row r="20" spans="1:6" x14ac:dyDescent="0.2">
      <c r="A20" s="718">
        <v>1</v>
      </c>
      <c r="B20" s="544" t="s">
        <v>597</v>
      </c>
      <c r="C20" s="544"/>
      <c r="D20" s="256"/>
      <c r="E20" s="772">
        <f>+E23+E28+E31+E21</f>
        <v>2025943362.7799399</v>
      </c>
      <c r="F20" s="773">
        <f>SUM(E20)/$E$6</f>
        <v>0.19970109680659226</v>
      </c>
    </row>
    <row r="21" spans="1:6" x14ac:dyDescent="0.2">
      <c r="A21" s="774">
        <v>1</v>
      </c>
      <c r="B21" s="544" t="s">
        <v>598</v>
      </c>
      <c r="C21" s="427"/>
      <c r="D21" s="355"/>
      <c r="E21" s="772">
        <f>SUM(E22)</f>
        <v>39000000</v>
      </c>
      <c r="F21" s="773">
        <f>SUM(E21)/$E$6</f>
        <v>3.8443042972189328E-3</v>
      </c>
    </row>
    <row r="22" spans="1:6" x14ac:dyDescent="0.2">
      <c r="A22" s="718"/>
      <c r="B22" s="775" t="s">
        <v>599</v>
      </c>
      <c r="C22" s="775"/>
      <c r="D22" s="355"/>
      <c r="E22" s="355">
        <f>+'[7]INGRESOS FIN ESPECIFICO DET.13'!D14</f>
        <v>39000000</v>
      </c>
      <c r="F22" s="773"/>
    </row>
    <row r="23" spans="1:6" x14ac:dyDescent="0.2">
      <c r="A23" s="774">
        <v>2</v>
      </c>
      <c r="B23" s="544" t="s">
        <v>600</v>
      </c>
      <c r="C23" s="544"/>
      <c r="D23" s="256"/>
      <c r="E23" s="772">
        <f>SUM(D24:E27)</f>
        <v>317935179.31314999</v>
      </c>
      <c r="F23" s="773">
        <f>SUM(E23)/$E$6</f>
        <v>3.1339476309502935E-2</v>
      </c>
    </row>
    <row r="24" spans="1:6" ht="10.5" customHeight="1" x14ac:dyDescent="0.2">
      <c r="A24" s="718"/>
      <c r="B24" s="775" t="s">
        <v>601</v>
      </c>
      <c r="C24" s="775"/>
      <c r="D24" s="355"/>
      <c r="E24" s="355">
        <f>+'[7]INGRESOS FIN ESPECIFICO DET.13'!D12</f>
        <v>117000000</v>
      </c>
      <c r="F24" s="773">
        <f>SUM(E24)/$E$6</f>
        <v>1.15329128916568E-2</v>
      </c>
    </row>
    <row r="25" spans="1:6" x14ac:dyDescent="0.2">
      <c r="A25" s="718"/>
      <c r="B25" s="776" t="s">
        <v>602</v>
      </c>
      <c r="C25" s="776"/>
      <c r="D25" s="355"/>
      <c r="E25" s="355">
        <f>+'[7]RELACION INGRESO GASTO DET.15'!I140</f>
        <v>9800000</v>
      </c>
      <c r="F25" s="773">
        <f>SUM(E25)/$E$6</f>
        <v>9.6600466955757802E-4</v>
      </c>
    </row>
    <row r="26" spans="1:6" x14ac:dyDescent="0.2">
      <c r="A26" s="718"/>
      <c r="B26" s="427" t="s">
        <v>603</v>
      </c>
      <c r="C26" s="427"/>
      <c r="D26" s="355"/>
      <c r="E26" s="355">
        <f>+'[7]RELACION INGRESO GASTO DET.15'!I144</f>
        <v>61740000</v>
      </c>
      <c r="F26" s="773">
        <f>SUM(E26)/$E$6</f>
        <v>6.0858294182127414E-3</v>
      </c>
    </row>
    <row r="27" spans="1:6" x14ac:dyDescent="0.2">
      <c r="A27" s="718"/>
      <c r="B27" s="775" t="s">
        <v>604</v>
      </c>
      <c r="C27" s="775"/>
      <c r="D27" s="355"/>
      <c r="E27" s="355">
        <f>+'[7]INGRESOS FIN ESPECIFICO DET.13'!D46</f>
        <v>129395179.31314999</v>
      </c>
      <c r="F27" s="773">
        <f>SUM(E27)/$E$6</f>
        <v>1.2754729330075817E-2</v>
      </c>
    </row>
    <row r="28" spans="1:6" ht="26.25" customHeight="1" x14ac:dyDescent="0.2">
      <c r="A28" s="774">
        <v>3</v>
      </c>
      <c r="B28" s="777" t="s">
        <v>605</v>
      </c>
      <c r="C28" s="777"/>
      <c r="D28" s="256"/>
      <c r="E28" s="772">
        <f>SUM(E29:E30)</f>
        <v>780000000</v>
      </c>
      <c r="F28" s="773">
        <f t="shared" ref="F28:F49" si="0">SUM(E28)/$E$6</f>
        <v>7.6886085944378665E-2</v>
      </c>
    </row>
    <row r="29" spans="1:6" hidden="1" x14ac:dyDescent="0.2">
      <c r="A29" s="718"/>
      <c r="B29" s="775" t="s">
        <v>606</v>
      </c>
      <c r="C29" s="775"/>
      <c r="D29" s="355"/>
      <c r="E29" s="355">
        <v>0</v>
      </c>
      <c r="F29" s="773">
        <f t="shared" si="0"/>
        <v>0</v>
      </c>
    </row>
    <row r="30" spans="1:6" x14ac:dyDescent="0.2">
      <c r="A30" s="718"/>
      <c r="B30" s="775" t="s">
        <v>607</v>
      </c>
      <c r="C30" s="775"/>
      <c r="D30" s="355"/>
      <c r="E30" s="355">
        <f>+'[7]INGRESOS FIN ESPECIFICO DET.13'!D10</f>
        <v>780000000</v>
      </c>
      <c r="F30" s="773">
        <f t="shared" si="0"/>
        <v>7.6886085944378665E-2</v>
      </c>
    </row>
    <row r="31" spans="1:6" x14ac:dyDescent="0.2">
      <c r="A31" s="774">
        <v>4</v>
      </c>
      <c r="B31" s="544" t="s">
        <v>608</v>
      </c>
      <c r="C31" s="427"/>
      <c r="D31" s="355"/>
      <c r="E31" s="772">
        <f>SUM(E32:E34)</f>
        <v>889008183.46678996</v>
      </c>
      <c r="F31" s="773">
        <f t="shared" si="0"/>
        <v>8.7631230255491743E-2</v>
      </c>
    </row>
    <row r="32" spans="1:6" x14ac:dyDescent="0.2">
      <c r="A32" s="718"/>
      <c r="B32" s="775" t="s">
        <v>609</v>
      </c>
      <c r="C32" s="775"/>
      <c r="D32" s="355"/>
      <c r="E32" s="355">
        <f>+'[7]INGRESOS FIN ESPECIFICO DET.13'!D48</f>
        <v>776371075.87889993</v>
      </c>
      <c r="F32" s="773">
        <f t="shared" si="0"/>
        <v>7.6528375980454907E-2</v>
      </c>
    </row>
    <row r="33" spans="1:6" x14ac:dyDescent="0.2">
      <c r="A33" s="718"/>
      <c r="B33" s="427" t="s">
        <v>270</v>
      </c>
      <c r="C33" s="427"/>
      <c r="D33" s="355"/>
      <c r="E33" s="355">
        <f>+'[7]INGRESOS FIN ESPECIFICO DET.13'!D49</f>
        <v>77637107.587889999</v>
      </c>
      <c r="F33" s="773"/>
    </row>
    <row r="34" spans="1:6" x14ac:dyDescent="0.2">
      <c r="A34" s="718"/>
      <c r="B34" s="775" t="s">
        <v>610</v>
      </c>
      <c r="C34" s="775"/>
      <c r="D34" s="355"/>
      <c r="E34" s="355">
        <f>+'[7]INGRESOS FIN ESPECIFICO DET.13'!D50</f>
        <v>35000000</v>
      </c>
      <c r="F34" s="773">
        <f t="shared" si="0"/>
        <v>3.4500166769913503E-3</v>
      </c>
    </row>
    <row r="35" spans="1:6" x14ac:dyDescent="0.2">
      <c r="A35" s="718">
        <v>2</v>
      </c>
      <c r="B35" s="544" t="s">
        <v>611</v>
      </c>
      <c r="C35" s="427"/>
      <c r="D35" s="355"/>
      <c r="E35" s="772">
        <f>SUM(E36:E38)</f>
        <v>26710826.25</v>
      </c>
      <c r="F35" s="773"/>
    </row>
    <row r="36" spans="1:6" hidden="1" x14ac:dyDescent="0.2">
      <c r="A36" s="718"/>
      <c r="B36" s="427" t="s">
        <v>612</v>
      </c>
      <c r="C36" s="427"/>
      <c r="D36" s="355"/>
      <c r="E36" s="355">
        <f>+[9]general!F172</f>
        <v>0</v>
      </c>
      <c r="F36" s="773"/>
    </row>
    <row r="37" spans="1:6" x14ac:dyDescent="0.2">
      <c r="A37" s="718"/>
      <c r="B37" s="427" t="s">
        <v>613</v>
      </c>
      <c r="C37" s="427"/>
      <c r="D37" s="355"/>
      <c r="E37" s="355">
        <f>+[9]general!F174</f>
        <v>26710826.25</v>
      </c>
      <c r="F37" s="773"/>
    </row>
    <row r="38" spans="1:6" x14ac:dyDescent="0.2">
      <c r="A38" s="718"/>
      <c r="B38" s="427" t="s">
        <v>614</v>
      </c>
      <c r="C38" s="427"/>
      <c r="D38" s="355"/>
      <c r="E38" s="355">
        <f>+[9]general!F175</f>
        <v>0</v>
      </c>
      <c r="F38" s="773"/>
    </row>
    <row r="39" spans="1:6" x14ac:dyDescent="0.2">
      <c r="A39" s="718">
        <v>3</v>
      </c>
      <c r="B39" s="778" t="s">
        <v>615</v>
      </c>
      <c r="C39" s="778"/>
      <c r="D39" s="256"/>
      <c r="E39" s="772">
        <f>SUM(E40:E43)</f>
        <v>318310193.88069046</v>
      </c>
      <c r="F39" s="773">
        <f t="shared" si="0"/>
        <v>3.1376442209849489E-2</v>
      </c>
    </row>
    <row r="40" spans="1:6" x14ac:dyDescent="0.2">
      <c r="A40" s="774">
        <v>1</v>
      </c>
      <c r="B40" s="775" t="s">
        <v>616</v>
      </c>
      <c r="C40" s="775"/>
      <c r="D40" s="355"/>
      <c r="E40" s="355">
        <f>+[9]general!F177</f>
        <v>235357647.01999998</v>
      </c>
      <c r="F40" s="773">
        <f t="shared" si="0"/>
        <v>2.3199651636469813E-2</v>
      </c>
    </row>
    <row r="41" spans="1:6" x14ac:dyDescent="0.2">
      <c r="A41" s="774">
        <v>2</v>
      </c>
      <c r="B41" s="775" t="s">
        <v>617</v>
      </c>
      <c r="C41" s="775"/>
      <c r="D41" s="355"/>
      <c r="E41" s="355">
        <f>+[9]general!F179</f>
        <v>2725428.71</v>
      </c>
      <c r="F41" s="773">
        <f t="shared" si="0"/>
        <v>2.686507000414578E-4</v>
      </c>
    </row>
    <row r="42" spans="1:6" x14ac:dyDescent="0.2">
      <c r="A42" s="774"/>
      <c r="B42" s="427" t="s">
        <v>618</v>
      </c>
      <c r="C42" s="427"/>
      <c r="D42" s="355"/>
      <c r="E42" s="355">
        <f>+[9]general!F180</f>
        <v>227118.15069042996</v>
      </c>
      <c r="F42" s="773"/>
    </row>
    <row r="43" spans="1:6" x14ac:dyDescent="0.2">
      <c r="A43" s="774">
        <v>99</v>
      </c>
      <c r="B43" s="427" t="s">
        <v>619</v>
      </c>
      <c r="C43" s="427"/>
      <c r="D43" s="355"/>
      <c r="E43" s="355">
        <f>+[9]general!$F$181</f>
        <v>80000000</v>
      </c>
      <c r="F43" s="773"/>
    </row>
    <row r="44" spans="1:6" x14ac:dyDescent="0.2">
      <c r="A44" s="774">
        <v>4</v>
      </c>
      <c r="B44" s="427" t="s">
        <v>620</v>
      </c>
      <c r="C44" s="427"/>
      <c r="D44" s="355"/>
      <c r="E44" s="772">
        <f>SUM(E45:E46)</f>
        <v>45000000</v>
      </c>
      <c r="F44" s="773"/>
    </row>
    <row r="45" spans="1:6" x14ac:dyDescent="0.2">
      <c r="A45" s="774"/>
      <c r="B45" s="427" t="s">
        <v>621</v>
      </c>
      <c r="C45" s="427"/>
      <c r="D45" s="355"/>
      <c r="E45" s="355">
        <v>25000000</v>
      </c>
      <c r="F45" s="773"/>
    </row>
    <row r="46" spans="1:6" x14ac:dyDescent="0.2">
      <c r="A46" s="774"/>
      <c r="B46" s="427" t="s">
        <v>357</v>
      </c>
      <c r="C46" s="427"/>
      <c r="D46" s="355"/>
      <c r="E46" s="355">
        <v>20000000</v>
      </c>
      <c r="F46" s="773"/>
    </row>
    <row r="47" spans="1:6" x14ac:dyDescent="0.2">
      <c r="A47" s="718">
        <v>6</v>
      </c>
      <c r="B47" s="544" t="s">
        <v>622</v>
      </c>
      <c r="C47" s="427"/>
      <c r="D47" s="355"/>
      <c r="E47" s="772">
        <f>SUM(E48:E49)</f>
        <v>137000000</v>
      </c>
      <c r="F47" s="773">
        <f t="shared" si="0"/>
        <v>1.3504350992794713E-2</v>
      </c>
    </row>
    <row r="48" spans="1:6" x14ac:dyDescent="0.2">
      <c r="A48" s="774">
        <v>1</v>
      </c>
      <c r="B48" s="775" t="s">
        <v>623</v>
      </c>
      <c r="C48" s="775"/>
      <c r="D48" s="355"/>
      <c r="E48" s="355">
        <f>+[9]general!$F$190</f>
        <v>107000000</v>
      </c>
      <c r="F48" s="773">
        <f t="shared" si="0"/>
        <v>1.0547193841087842E-2</v>
      </c>
    </row>
    <row r="49" spans="1:6" x14ac:dyDescent="0.2">
      <c r="A49" s="774">
        <v>2</v>
      </c>
      <c r="B49" s="427" t="s">
        <v>624</v>
      </c>
      <c r="C49" s="427"/>
      <c r="D49" s="355"/>
      <c r="E49" s="355">
        <f>+'[10]Prog I'!$AJ$148</f>
        <v>30000000</v>
      </c>
      <c r="F49" s="773">
        <f t="shared" si="0"/>
        <v>2.9571571517068716E-3</v>
      </c>
    </row>
    <row r="50" spans="1:6" ht="1.5" customHeight="1" x14ac:dyDescent="0.2">
      <c r="A50" s="238"/>
      <c r="D50" s="248"/>
      <c r="E50" s="248"/>
      <c r="F50" s="770"/>
    </row>
    <row r="51" spans="1:6" hidden="1" x14ac:dyDescent="0.2">
      <c r="A51" s="238">
        <v>7</v>
      </c>
      <c r="B51" s="757" t="s">
        <v>592</v>
      </c>
      <c r="C51" s="757"/>
      <c r="D51" s="335"/>
      <c r="E51" s="335">
        <f>+[9]general!$F$193</f>
        <v>0</v>
      </c>
      <c r="F51" s="770">
        <f>SUM(E51)/$E$6</f>
        <v>0</v>
      </c>
    </row>
    <row r="52" spans="1:6" s="427" customFormat="1" ht="12.75" hidden="1" customHeight="1" x14ac:dyDescent="0.2">
      <c r="A52" s="774">
        <v>3</v>
      </c>
      <c r="B52" s="779" t="s">
        <v>625</v>
      </c>
      <c r="C52" s="779"/>
      <c r="D52" s="772"/>
      <c r="E52" s="772">
        <f>SUM(E53)</f>
        <v>0</v>
      </c>
      <c r="F52" s="364">
        <f>SUM(D52*100)/$E$6</f>
        <v>0</v>
      </c>
    </row>
    <row r="53" spans="1:6" s="427" customFormat="1" hidden="1" x14ac:dyDescent="0.2">
      <c r="A53" s="718"/>
      <c r="B53" s="780" t="s">
        <v>626</v>
      </c>
      <c r="C53" s="544"/>
      <c r="D53" s="772"/>
      <c r="E53" s="772">
        <v>0</v>
      </c>
      <c r="F53" s="364">
        <f>SUM(D53*100)/$E$6</f>
        <v>0</v>
      </c>
    </row>
    <row r="54" spans="1:6" s="427" customFormat="1" hidden="1" x14ac:dyDescent="0.2">
      <c r="A54" s="774">
        <v>4</v>
      </c>
      <c r="B54" s="779" t="s">
        <v>211</v>
      </c>
      <c r="C54" s="779"/>
      <c r="D54" s="772"/>
      <c r="E54" s="772">
        <f>+E55</f>
        <v>0</v>
      </c>
      <c r="F54" s="364"/>
    </row>
    <row r="55" spans="1:6" s="427" customFormat="1" hidden="1" x14ac:dyDescent="0.2">
      <c r="A55" s="774">
        <v>7</v>
      </c>
      <c r="B55" s="779" t="s">
        <v>627</v>
      </c>
      <c r="C55" s="779"/>
      <c r="D55" s="772"/>
      <c r="E55" s="772">
        <f>+E56</f>
        <v>0</v>
      </c>
      <c r="F55" s="364">
        <f>SUM(D55*100)/$E$6</f>
        <v>0</v>
      </c>
    </row>
    <row r="56" spans="1:6" s="427" customFormat="1" hidden="1" x14ac:dyDescent="0.2">
      <c r="A56" s="718"/>
      <c r="B56" s="780" t="s">
        <v>628</v>
      </c>
      <c r="C56" s="544"/>
      <c r="D56" s="772"/>
      <c r="E56" s="772">
        <v>0</v>
      </c>
      <c r="F56" s="364">
        <f>SUM(D56*100)/$E$6</f>
        <v>0</v>
      </c>
    </row>
    <row r="57" spans="1:6" hidden="1" x14ac:dyDescent="0.2">
      <c r="A57" s="238"/>
      <c r="D57" s="248"/>
      <c r="E57" s="248"/>
      <c r="F57" s="770"/>
    </row>
    <row r="58" spans="1:6" hidden="1" x14ac:dyDescent="0.2">
      <c r="A58" s="238">
        <v>8</v>
      </c>
      <c r="B58" s="757" t="s">
        <v>593</v>
      </c>
      <c r="C58" s="757"/>
      <c r="D58" s="335"/>
      <c r="E58" s="335">
        <f>+[9]general!$F$209</f>
        <v>0</v>
      </c>
      <c r="F58" s="770">
        <f>SUM(E58)/$E$6</f>
        <v>0</v>
      </c>
    </row>
    <row r="59" spans="1:6" hidden="1" x14ac:dyDescent="0.2">
      <c r="A59" s="238"/>
      <c r="B59" s="620"/>
      <c r="C59" s="620"/>
      <c r="D59" s="211"/>
      <c r="E59" s="211"/>
      <c r="F59" s="771"/>
    </row>
    <row r="60" spans="1:6" ht="13.5" thickBot="1" x14ac:dyDescent="0.25">
      <c r="A60" s="452">
        <v>9</v>
      </c>
      <c r="B60" s="781" t="s">
        <v>594</v>
      </c>
      <c r="C60" s="781"/>
      <c r="D60" s="782"/>
      <c r="E60" s="782">
        <f>+[9]general!$F$215</f>
        <v>94620120.929999992</v>
      </c>
      <c r="F60" s="783">
        <f>SUM(E60)/$E$6</f>
        <v>9.3268855767839505E-3</v>
      </c>
    </row>
  </sheetData>
  <mergeCells count="36">
    <mergeCell ref="B52:C52"/>
    <mergeCell ref="B54:C54"/>
    <mergeCell ref="B55:C55"/>
    <mergeCell ref="B58:C58"/>
    <mergeCell ref="B59:C59"/>
    <mergeCell ref="B60:C60"/>
    <mergeCell ref="B34:C34"/>
    <mergeCell ref="B39:C39"/>
    <mergeCell ref="B40:C40"/>
    <mergeCell ref="B41:C41"/>
    <mergeCell ref="B48:C48"/>
    <mergeCell ref="B51:C51"/>
    <mergeCell ref="B25:C25"/>
    <mergeCell ref="B27:C27"/>
    <mergeCell ref="B28:C28"/>
    <mergeCell ref="B29:C29"/>
    <mergeCell ref="B30:C30"/>
    <mergeCell ref="B32:C32"/>
    <mergeCell ref="B15:C15"/>
    <mergeCell ref="B16:C16"/>
    <mergeCell ref="B17:C17"/>
    <mergeCell ref="B18:C18"/>
    <mergeCell ref="B22:C22"/>
    <mergeCell ref="B24:C24"/>
    <mergeCell ref="B8:C8"/>
    <mergeCell ref="B9:C9"/>
    <mergeCell ref="B10:C10"/>
    <mergeCell ref="B12:C12"/>
    <mergeCell ref="B13:C13"/>
    <mergeCell ref="B14:C14"/>
    <mergeCell ref="A1:F1"/>
    <mergeCell ref="A2:F2"/>
    <mergeCell ref="A3:F3"/>
    <mergeCell ref="A4:F4"/>
    <mergeCell ref="B6:C6"/>
    <mergeCell ref="B7:C7"/>
  </mergeCells>
  <pageMargins left="0.75" right="0.75" top="1" bottom="1" header="0" footer="0"/>
  <pageSetup scale="79"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FC4E8-6F14-44B4-BA28-D6EEB02AF27A}">
  <dimension ref="A1:G48"/>
  <sheetViews>
    <sheetView view="pageBreakPreview" zoomScale="87" zoomScaleNormal="100" zoomScaleSheetLayoutView="87" workbookViewId="0">
      <selection activeCell="K348" sqref="K348"/>
    </sheetView>
  </sheetViews>
  <sheetFormatPr baseColWidth="10" defaultRowHeight="12.75" x14ac:dyDescent="0.2"/>
  <cols>
    <col min="1" max="1" width="4.140625" style="602" customWidth="1"/>
    <col min="2" max="2" width="45.85546875" style="602" customWidth="1"/>
    <col min="3" max="4" width="11.42578125" style="602"/>
    <col min="5" max="5" width="22" style="602" bestFit="1" customWidth="1"/>
    <col min="6" max="6" width="11.5703125" style="602" bestFit="1" customWidth="1"/>
    <col min="7" max="7" width="17.7109375" style="602" bestFit="1" customWidth="1"/>
    <col min="8" max="256" width="11.42578125" style="602"/>
    <col min="257" max="257" width="4.140625" style="602" customWidth="1"/>
    <col min="258" max="258" width="45.85546875" style="602" customWidth="1"/>
    <col min="259" max="260" width="11.42578125" style="602"/>
    <col min="261" max="261" width="22" style="602" bestFit="1" customWidth="1"/>
    <col min="262" max="262" width="11.5703125" style="602" bestFit="1" customWidth="1"/>
    <col min="263" max="263" width="17.7109375" style="602" bestFit="1" customWidth="1"/>
    <col min="264" max="512" width="11.42578125" style="602"/>
    <col min="513" max="513" width="4.140625" style="602" customWidth="1"/>
    <col min="514" max="514" width="45.85546875" style="602" customWidth="1"/>
    <col min="515" max="516" width="11.42578125" style="602"/>
    <col min="517" max="517" width="22" style="602" bestFit="1" customWidth="1"/>
    <col min="518" max="518" width="11.5703125" style="602" bestFit="1" customWidth="1"/>
    <col min="519" max="519" width="17.7109375" style="602" bestFit="1" customWidth="1"/>
    <col min="520" max="768" width="11.42578125" style="602"/>
    <col min="769" max="769" width="4.140625" style="602" customWidth="1"/>
    <col min="770" max="770" width="45.85546875" style="602" customWidth="1"/>
    <col min="771" max="772" width="11.42578125" style="602"/>
    <col min="773" max="773" width="22" style="602" bestFit="1" customWidth="1"/>
    <col min="774" max="774" width="11.5703125" style="602" bestFit="1" customWidth="1"/>
    <col min="775" max="775" width="17.7109375" style="602" bestFit="1" customWidth="1"/>
    <col min="776" max="1024" width="11.42578125" style="602"/>
    <col min="1025" max="1025" width="4.140625" style="602" customWidth="1"/>
    <col min="1026" max="1026" width="45.85546875" style="602" customWidth="1"/>
    <col min="1027" max="1028" width="11.42578125" style="602"/>
    <col min="1029" max="1029" width="22" style="602" bestFit="1" customWidth="1"/>
    <col min="1030" max="1030" width="11.5703125" style="602" bestFit="1" customWidth="1"/>
    <col min="1031" max="1031" width="17.7109375" style="602" bestFit="1" customWidth="1"/>
    <col min="1032" max="1280" width="11.42578125" style="602"/>
    <col min="1281" max="1281" width="4.140625" style="602" customWidth="1"/>
    <col min="1282" max="1282" width="45.85546875" style="602" customWidth="1"/>
    <col min="1283" max="1284" width="11.42578125" style="602"/>
    <col min="1285" max="1285" width="22" style="602" bestFit="1" customWidth="1"/>
    <col min="1286" max="1286" width="11.5703125" style="602" bestFit="1" customWidth="1"/>
    <col min="1287" max="1287" width="17.7109375" style="602" bestFit="1" customWidth="1"/>
    <col min="1288" max="1536" width="11.42578125" style="602"/>
    <col min="1537" max="1537" width="4.140625" style="602" customWidth="1"/>
    <col min="1538" max="1538" width="45.85546875" style="602" customWidth="1"/>
    <col min="1539" max="1540" width="11.42578125" style="602"/>
    <col min="1541" max="1541" width="22" style="602" bestFit="1" customWidth="1"/>
    <col min="1542" max="1542" width="11.5703125" style="602" bestFit="1" customWidth="1"/>
    <col min="1543" max="1543" width="17.7109375" style="602" bestFit="1" customWidth="1"/>
    <col min="1544" max="1792" width="11.42578125" style="602"/>
    <col min="1793" max="1793" width="4.140625" style="602" customWidth="1"/>
    <col min="1794" max="1794" width="45.85546875" style="602" customWidth="1"/>
    <col min="1795" max="1796" width="11.42578125" style="602"/>
    <col min="1797" max="1797" width="22" style="602" bestFit="1" customWidth="1"/>
    <col min="1798" max="1798" width="11.5703125" style="602" bestFit="1" customWidth="1"/>
    <col min="1799" max="1799" width="17.7109375" style="602" bestFit="1" customWidth="1"/>
    <col min="1800" max="2048" width="11.42578125" style="602"/>
    <col min="2049" max="2049" width="4.140625" style="602" customWidth="1"/>
    <col min="2050" max="2050" width="45.85546875" style="602" customWidth="1"/>
    <col min="2051" max="2052" width="11.42578125" style="602"/>
    <col min="2053" max="2053" width="22" style="602" bestFit="1" customWidth="1"/>
    <col min="2054" max="2054" width="11.5703125" style="602" bestFit="1" customWidth="1"/>
    <col min="2055" max="2055" width="17.7109375" style="602" bestFit="1" customWidth="1"/>
    <col min="2056" max="2304" width="11.42578125" style="602"/>
    <col min="2305" max="2305" width="4.140625" style="602" customWidth="1"/>
    <col min="2306" max="2306" width="45.85546875" style="602" customWidth="1"/>
    <col min="2307" max="2308" width="11.42578125" style="602"/>
    <col min="2309" max="2309" width="22" style="602" bestFit="1" customWidth="1"/>
    <col min="2310" max="2310" width="11.5703125" style="602" bestFit="1" customWidth="1"/>
    <col min="2311" max="2311" width="17.7109375" style="602" bestFit="1" customWidth="1"/>
    <col min="2312" max="2560" width="11.42578125" style="602"/>
    <col min="2561" max="2561" width="4.140625" style="602" customWidth="1"/>
    <col min="2562" max="2562" width="45.85546875" style="602" customWidth="1"/>
    <col min="2563" max="2564" width="11.42578125" style="602"/>
    <col min="2565" max="2565" width="22" style="602" bestFit="1" customWidth="1"/>
    <col min="2566" max="2566" width="11.5703125" style="602" bestFit="1" customWidth="1"/>
    <col min="2567" max="2567" width="17.7109375" style="602" bestFit="1" customWidth="1"/>
    <col min="2568" max="2816" width="11.42578125" style="602"/>
    <col min="2817" max="2817" width="4.140625" style="602" customWidth="1"/>
    <col min="2818" max="2818" width="45.85546875" style="602" customWidth="1"/>
    <col min="2819" max="2820" width="11.42578125" style="602"/>
    <col min="2821" max="2821" width="22" style="602" bestFit="1" customWidth="1"/>
    <col min="2822" max="2822" width="11.5703125" style="602" bestFit="1" customWidth="1"/>
    <col min="2823" max="2823" width="17.7109375" style="602" bestFit="1" customWidth="1"/>
    <col min="2824" max="3072" width="11.42578125" style="602"/>
    <col min="3073" max="3073" width="4.140625" style="602" customWidth="1"/>
    <col min="3074" max="3074" width="45.85546875" style="602" customWidth="1"/>
    <col min="3075" max="3076" width="11.42578125" style="602"/>
    <col min="3077" max="3077" width="22" style="602" bestFit="1" customWidth="1"/>
    <col min="3078" max="3078" width="11.5703125" style="602" bestFit="1" customWidth="1"/>
    <col min="3079" max="3079" width="17.7109375" style="602" bestFit="1" customWidth="1"/>
    <col min="3080" max="3328" width="11.42578125" style="602"/>
    <col min="3329" max="3329" width="4.140625" style="602" customWidth="1"/>
    <col min="3330" max="3330" width="45.85546875" style="602" customWidth="1"/>
    <col min="3331" max="3332" width="11.42578125" style="602"/>
    <col min="3333" max="3333" width="22" style="602" bestFit="1" customWidth="1"/>
    <col min="3334" max="3334" width="11.5703125" style="602" bestFit="1" customWidth="1"/>
    <col min="3335" max="3335" width="17.7109375" style="602" bestFit="1" customWidth="1"/>
    <col min="3336" max="3584" width="11.42578125" style="602"/>
    <col min="3585" max="3585" width="4.140625" style="602" customWidth="1"/>
    <col min="3586" max="3586" width="45.85546875" style="602" customWidth="1"/>
    <col min="3587" max="3588" width="11.42578125" style="602"/>
    <col min="3589" max="3589" width="22" style="602" bestFit="1" customWidth="1"/>
    <col min="3590" max="3590" width="11.5703125" style="602" bestFit="1" customWidth="1"/>
    <col min="3591" max="3591" width="17.7109375" style="602" bestFit="1" customWidth="1"/>
    <col min="3592" max="3840" width="11.42578125" style="602"/>
    <col min="3841" max="3841" width="4.140625" style="602" customWidth="1"/>
    <col min="3842" max="3842" width="45.85546875" style="602" customWidth="1"/>
    <col min="3843" max="3844" width="11.42578125" style="602"/>
    <col min="3845" max="3845" width="22" style="602" bestFit="1" customWidth="1"/>
    <col min="3846" max="3846" width="11.5703125" style="602" bestFit="1" customWidth="1"/>
    <col min="3847" max="3847" width="17.7109375" style="602" bestFit="1" customWidth="1"/>
    <col min="3848" max="4096" width="11.42578125" style="602"/>
    <col min="4097" max="4097" width="4.140625" style="602" customWidth="1"/>
    <col min="4098" max="4098" width="45.85546875" style="602" customWidth="1"/>
    <col min="4099" max="4100" width="11.42578125" style="602"/>
    <col min="4101" max="4101" width="22" style="602" bestFit="1" customWidth="1"/>
    <col min="4102" max="4102" width="11.5703125" style="602" bestFit="1" customWidth="1"/>
    <col min="4103" max="4103" width="17.7109375" style="602" bestFit="1" customWidth="1"/>
    <col min="4104" max="4352" width="11.42578125" style="602"/>
    <col min="4353" max="4353" width="4.140625" style="602" customWidth="1"/>
    <col min="4354" max="4354" width="45.85546875" style="602" customWidth="1"/>
    <col min="4355" max="4356" width="11.42578125" style="602"/>
    <col min="4357" max="4357" width="22" style="602" bestFit="1" customWidth="1"/>
    <col min="4358" max="4358" width="11.5703125" style="602" bestFit="1" customWidth="1"/>
    <col min="4359" max="4359" width="17.7109375" style="602" bestFit="1" customWidth="1"/>
    <col min="4360" max="4608" width="11.42578125" style="602"/>
    <col min="4609" max="4609" width="4.140625" style="602" customWidth="1"/>
    <col min="4610" max="4610" width="45.85546875" style="602" customWidth="1"/>
    <col min="4611" max="4612" width="11.42578125" style="602"/>
    <col min="4613" max="4613" width="22" style="602" bestFit="1" customWidth="1"/>
    <col min="4614" max="4614" width="11.5703125" style="602" bestFit="1" customWidth="1"/>
    <col min="4615" max="4615" width="17.7109375" style="602" bestFit="1" customWidth="1"/>
    <col min="4616" max="4864" width="11.42578125" style="602"/>
    <col min="4865" max="4865" width="4.140625" style="602" customWidth="1"/>
    <col min="4866" max="4866" width="45.85546875" style="602" customWidth="1"/>
    <col min="4867" max="4868" width="11.42578125" style="602"/>
    <col min="4869" max="4869" width="22" style="602" bestFit="1" customWidth="1"/>
    <col min="4870" max="4870" width="11.5703125" style="602" bestFit="1" customWidth="1"/>
    <col min="4871" max="4871" width="17.7109375" style="602" bestFit="1" customWidth="1"/>
    <col min="4872" max="5120" width="11.42578125" style="602"/>
    <col min="5121" max="5121" width="4.140625" style="602" customWidth="1"/>
    <col min="5122" max="5122" width="45.85546875" style="602" customWidth="1"/>
    <col min="5123" max="5124" width="11.42578125" style="602"/>
    <col min="5125" max="5125" width="22" style="602" bestFit="1" customWidth="1"/>
    <col min="5126" max="5126" width="11.5703125" style="602" bestFit="1" customWidth="1"/>
    <col min="5127" max="5127" width="17.7109375" style="602" bestFit="1" customWidth="1"/>
    <col min="5128" max="5376" width="11.42578125" style="602"/>
    <col min="5377" max="5377" width="4.140625" style="602" customWidth="1"/>
    <col min="5378" max="5378" width="45.85546875" style="602" customWidth="1"/>
    <col min="5379" max="5380" width="11.42578125" style="602"/>
    <col min="5381" max="5381" width="22" style="602" bestFit="1" customWidth="1"/>
    <col min="5382" max="5382" width="11.5703125" style="602" bestFit="1" customWidth="1"/>
    <col min="5383" max="5383" width="17.7109375" style="602" bestFit="1" customWidth="1"/>
    <col min="5384" max="5632" width="11.42578125" style="602"/>
    <col min="5633" max="5633" width="4.140625" style="602" customWidth="1"/>
    <col min="5634" max="5634" width="45.85546875" style="602" customWidth="1"/>
    <col min="5635" max="5636" width="11.42578125" style="602"/>
    <col min="5637" max="5637" width="22" style="602" bestFit="1" customWidth="1"/>
    <col min="5638" max="5638" width="11.5703125" style="602" bestFit="1" customWidth="1"/>
    <col min="5639" max="5639" width="17.7109375" style="602" bestFit="1" customWidth="1"/>
    <col min="5640" max="5888" width="11.42578125" style="602"/>
    <col min="5889" max="5889" width="4.140625" style="602" customWidth="1"/>
    <col min="5890" max="5890" width="45.85546875" style="602" customWidth="1"/>
    <col min="5891" max="5892" width="11.42578125" style="602"/>
    <col min="5893" max="5893" width="22" style="602" bestFit="1" customWidth="1"/>
    <col min="5894" max="5894" width="11.5703125" style="602" bestFit="1" customWidth="1"/>
    <col min="5895" max="5895" width="17.7109375" style="602" bestFit="1" customWidth="1"/>
    <col min="5896" max="6144" width="11.42578125" style="602"/>
    <col min="6145" max="6145" width="4.140625" style="602" customWidth="1"/>
    <col min="6146" max="6146" width="45.85546875" style="602" customWidth="1"/>
    <col min="6147" max="6148" width="11.42578125" style="602"/>
    <col min="6149" max="6149" width="22" style="602" bestFit="1" customWidth="1"/>
    <col min="6150" max="6150" width="11.5703125" style="602" bestFit="1" customWidth="1"/>
    <col min="6151" max="6151" width="17.7109375" style="602" bestFit="1" customWidth="1"/>
    <col min="6152" max="6400" width="11.42578125" style="602"/>
    <col min="6401" max="6401" width="4.140625" style="602" customWidth="1"/>
    <col min="6402" max="6402" width="45.85546875" style="602" customWidth="1"/>
    <col min="6403" max="6404" width="11.42578125" style="602"/>
    <col min="6405" max="6405" width="22" style="602" bestFit="1" customWidth="1"/>
    <col min="6406" max="6406" width="11.5703125" style="602" bestFit="1" customWidth="1"/>
    <col min="6407" max="6407" width="17.7109375" style="602" bestFit="1" customWidth="1"/>
    <col min="6408" max="6656" width="11.42578125" style="602"/>
    <col min="6657" max="6657" width="4.140625" style="602" customWidth="1"/>
    <col min="6658" max="6658" width="45.85546875" style="602" customWidth="1"/>
    <col min="6659" max="6660" width="11.42578125" style="602"/>
    <col min="6661" max="6661" width="22" style="602" bestFit="1" customWidth="1"/>
    <col min="6662" max="6662" width="11.5703125" style="602" bestFit="1" customWidth="1"/>
    <col min="6663" max="6663" width="17.7109375" style="602" bestFit="1" customWidth="1"/>
    <col min="6664" max="6912" width="11.42578125" style="602"/>
    <col min="6913" max="6913" width="4.140625" style="602" customWidth="1"/>
    <col min="6914" max="6914" width="45.85546875" style="602" customWidth="1"/>
    <col min="6915" max="6916" width="11.42578125" style="602"/>
    <col min="6917" max="6917" width="22" style="602" bestFit="1" customWidth="1"/>
    <col min="6918" max="6918" width="11.5703125" style="602" bestFit="1" customWidth="1"/>
    <col min="6919" max="6919" width="17.7109375" style="602" bestFit="1" customWidth="1"/>
    <col min="6920" max="7168" width="11.42578125" style="602"/>
    <col min="7169" max="7169" width="4.140625" style="602" customWidth="1"/>
    <col min="7170" max="7170" width="45.85546875" style="602" customWidth="1"/>
    <col min="7171" max="7172" width="11.42578125" style="602"/>
    <col min="7173" max="7173" width="22" style="602" bestFit="1" customWidth="1"/>
    <col min="7174" max="7174" width="11.5703125" style="602" bestFit="1" customWidth="1"/>
    <col min="7175" max="7175" width="17.7109375" style="602" bestFit="1" customWidth="1"/>
    <col min="7176" max="7424" width="11.42578125" style="602"/>
    <col min="7425" max="7425" width="4.140625" style="602" customWidth="1"/>
    <col min="7426" max="7426" width="45.85546875" style="602" customWidth="1"/>
    <col min="7427" max="7428" width="11.42578125" style="602"/>
    <col min="7429" max="7429" width="22" style="602" bestFit="1" customWidth="1"/>
    <col min="7430" max="7430" width="11.5703125" style="602" bestFit="1" customWidth="1"/>
    <col min="7431" max="7431" width="17.7109375" style="602" bestFit="1" customWidth="1"/>
    <col min="7432" max="7680" width="11.42578125" style="602"/>
    <col min="7681" max="7681" width="4.140625" style="602" customWidth="1"/>
    <col min="7682" max="7682" width="45.85546875" style="602" customWidth="1"/>
    <col min="7683" max="7684" width="11.42578125" style="602"/>
    <col min="7685" max="7685" width="22" style="602" bestFit="1" customWidth="1"/>
    <col min="7686" max="7686" width="11.5703125" style="602" bestFit="1" customWidth="1"/>
    <col min="7687" max="7687" width="17.7109375" style="602" bestFit="1" customWidth="1"/>
    <col min="7688" max="7936" width="11.42578125" style="602"/>
    <col min="7937" max="7937" width="4.140625" style="602" customWidth="1"/>
    <col min="7938" max="7938" width="45.85546875" style="602" customWidth="1"/>
    <col min="7939" max="7940" width="11.42578125" style="602"/>
    <col min="7941" max="7941" width="22" style="602" bestFit="1" customWidth="1"/>
    <col min="7942" max="7942" width="11.5703125" style="602" bestFit="1" customWidth="1"/>
    <col min="7943" max="7943" width="17.7109375" style="602" bestFit="1" customWidth="1"/>
    <col min="7944" max="8192" width="11.42578125" style="602"/>
    <col min="8193" max="8193" width="4.140625" style="602" customWidth="1"/>
    <col min="8194" max="8194" width="45.85546875" style="602" customWidth="1"/>
    <col min="8195" max="8196" width="11.42578125" style="602"/>
    <col min="8197" max="8197" width="22" style="602" bestFit="1" customWidth="1"/>
    <col min="8198" max="8198" width="11.5703125" style="602" bestFit="1" customWidth="1"/>
    <col min="8199" max="8199" width="17.7109375" style="602" bestFit="1" customWidth="1"/>
    <col min="8200" max="8448" width="11.42578125" style="602"/>
    <col min="8449" max="8449" width="4.140625" style="602" customWidth="1"/>
    <col min="8450" max="8450" width="45.85546875" style="602" customWidth="1"/>
    <col min="8451" max="8452" width="11.42578125" style="602"/>
    <col min="8453" max="8453" width="22" style="602" bestFit="1" customWidth="1"/>
    <col min="8454" max="8454" width="11.5703125" style="602" bestFit="1" customWidth="1"/>
    <col min="8455" max="8455" width="17.7109375" style="602" bestFit="1" customWidth="1"/>
    <col min="8456" max="8704" width="11.42578125" style="602"/>
    <col min="8705" max="8705" width="4.140625" style="602" customWidth="1"/>
    <col min="8706" max="8706" width="45.85546875" style="602" customWidth="1"/>
    <col min="8707" max="8708" width="11.42578125" style="602"/>
    <col min="8709" max="8709" width="22" style="602" bestFit="1" customWidth="1"/>
    <col min="8710" max="8710" width="11.5703125" style="602" bestFit="1" customWidth="1"/>
    <col min="8711" max="8711" width="17.7109375" style="602" bestFit="1" customWidth="1"/>
    <col min="8712" max="8960" width="11.42578125" style="602"/>
    <col min="8961" max="8961" width="4.140625" style="602" customWidth="1"/>
    <col min="8962" max="8962" width="45.85546875" style="602" customWidth="1"/>
    <col min="8963" max="8964" width="11.42578125" style="602"/>
    <col min="8965" max="8965" width="22" style="602" bestFit="1" customWidth="1"/>
    <col min="8966" max="8966" width="11.5703125" style="602" bestFit="1" customWidth="1"/>
    <col min="8967" max="8967" width="17.7109375" style="602" bestFit="1" customWidth="1"/>
    <col min="8968" max="9216" width="11.42578125" style="602"/>
    <col min="9217" max="9217" width="4.140625" style="602" customWidth="1"/>
    <col min="9218" max="9218" width="45.85546875" style="602" customWidth="1"/>
    <col min="9219" max="9220" width="11.42578125" style="602"/>
    <col min="9221" max="9221" width="22" style="602" bestFit="1" customWidth="1"/>
    <col min="9222" max="9222" width="11.5703125" style="602" bestFit="1" customWidth="1"/>
    <col min="9223" max="9223" width="17.7109375" style="602" bestFit="1" customWidth="1"/>
    <col min="9224" max="9472" width="11.42578125" style="602"/>
    <col min="9473" max="9473" width="4.140625" style="602" customWidth="1"/>
    <col min="9474" max="9474" width="45.85546875" style="602" customWidth="1"/>
    <col min="9475" max="9476" width="11.42578125" style="602"/>
    <col min="9477" max="9477" width="22" style="602" bestFit="1" customWidth="1"/>
    <col min="9478" max="9478" width="11.5703125" style="602" bestFit="1" customWidth="1"/>
    <col min="9479" max="9479" width="17.7109375" style="602" bestFit="1" customWidth="1"/>
    <col min="9480" max="9728" width="11.42578125" style="602"/>
    <col min="9729" max="9729" width="4.140625" style="602" customWidth="1"/>
    <col min="9730" max="9730" width="45.85546875" style="602" customWidth="1"/>
    <col min="9731" max="9732" width="11.42578125" style="602"/>
    <col min="9733" max="9733" width="22" style="602" bestFit="1" customWidth="1"/>
    <col min="9734" max="9734" width="11.5703125" style="602" bestFit="1" customWidth="1"/>
    <col min="9735" max="9735" width="17.7109375" style="602" bestFit="1" customWidth="1"/>
    <col min="9736" max="9984" width="11.42578125" style="602"/>
    <col min="9985" max="9985" width="4.140625" style="602" customWidth="1"/>
    <col min="9986" max="9986" width="45.85546875" style="602" customWidth="1"/>
    <col min="9987" max="9988" width="11.42578125" style="602"/>
    <col min="9989" max="9989" width="22" style="602" bestFit="1" customWidth="1"/>
    <col min="9990" max="9990" width="11.5703125" style="602" bestFit="1" customWidth="1"/>
    <col min="9991" max="9991" width="17.7109375" style="602" bestFit="1" customWidth="1"/>
    <col min="9992" max="10240" width="11.42578125" style="602"/>
    <col min="10241" max="10241" width="4.140625" style="602" customWidth="1"/>
    <col min="10242" max="10242" width="45.85546875" style="602" customWidth="1"/>
    <col min="10243" max="10244" width="11.42578125" style="602"/>
    <col min="10245" max="10245" width="22" style="602" bestFit="1" customWidth="1"/>
    <col min="10246" max="10246" width="11.5703125" style="602" bestFit="1" customWidth="1"/>
    <col min="10247" max="10247" width="17.7109375" style="602" bestFit="1" customWidth="1"/>
    <col min="10248" max="10496" width="11.42578125" style="602"/>
    <col min="10497" max="10497" width="4.140625" style="602" customWidth="1"/>
    <col min="10498" max="10498" width="45.85546875" style="602" customWidth="1"/>
    <col min="10499" max="10500" width="11.42578125" style="602"/>
    <col min="10501" max="10501" width="22" style="602" bestFit="1" customWidth="1"/>
    <col min="10502" max="10502" width="11.5703125" style="602" bestFit="1" customWidth="1"/>
    <col min="10503" max="10503" width="17.7109375" style="602" bestFit="1" customWidth="1"/>
    <col min="10504" max="10752" width="11.42578125" style="602"/>
    <col min="10753" max="10753" width="4.140625" style="602" customWidth="1"/>
    <col min="10754" max="10754" width="45.85546875" style="602" customWidth="1"/>
    <col min="10755" max="10756" width="11.42578125" style="602"/>
    <col min="10757" max="10757" width="22" style="602" bestFit="1" customWidth="1"/>
    <col min="10758" max="10758" width="11.5703125" style="602" bestFit="1" customWidth="1"/>
    <col min="10759" max="10759" width="17.7109375" style="602" bestFit="1" customWidth="1"/>
    <col min="10760" max="11008" width="11.42578125" style="602"/>
    <col min="11009" max="11009" width="4.140625" style="602" customWidth="1"/>
    <col min="11010" max="11010" width="45.85546875" style="602" customWidth="1"/>
    <col min="11011" max="11012" width="11.42578125" style="602"/>
    <col min="11013" max="11013" width="22" style="602" bestFit="1" customWidth="1"/>
    <col min="11014" max="11014" width="11.5703125" style="602" bestFit="1" customWidth="1"/>
    <col min="11015" max="11015" width="17.7109375" style="602" bestFit="1" customWidth="1"/>
    <col min="11016" max="11264" width="11.42578125" style="602"/>
    <col min="11265" max="11265" width="4.140625" style="602" customWidth="1"/>
    <col min="11266" max="11266" width="45.85546875" style="602" customWidth="1"/>
    <col min="11267" max="11268" width="11.42578125" style="602"/>
    <col min="11269" max="11269" width="22" style="602" bestFit="1" customWidth="1"/>
    <col min="11270" max="11270" width="11.5703125" style="602" bestFit="1" customWidth="1"/>
    <col min="11271" max="11271" width="17.7109375" style="602" bestFit="1" customWidth="1"/>
    <col min="11272" max="11520" width="11.42578125" style="602"/>
    <col min="11521" max="11521" width="4.140625" style="602" customWidth="1"/>
    <col min="11522" max="11522" width="45.85546875" style="602" customWidth="1"/>
    <col min="11523" max="11524" width="11.42578125" style="602"/>
    <col min="11525" max="11525" width="22" style="602" bestFit="1" customWidth="1"/>
    <col min="11526" max="11526" width="11.5703125" style="602" bestFit="1" customWidth="1"/>
    <col min="11527" max="11527" width="17.7109375" style="602" bestFit="1" customWidth="1"/>
    <col min="11528" max="11776" width="11.42578125" style="602"/>
    <col min="11777" max="11777" width="4.140625" style="602" customWidth="1"/>
    <col min="11778" max="11778" width="45.85546875" style="602" customWidth="1"/>
    <col min="11779" max="11780" width="11.42578125" style="602"/>
    <col min="11781" max="11781" width="22" style="602" bestFit="1" customWidth="1"/>
    <col min="11782" max="11782" width="11.5703125" style="602" bestFit="1" customWidth="1"/>
    <col min="11783" max="11783" width="17.7109375" style="602" bestFit="1" customWidth="1"/>
    <col min="11784" max="12032" width="11.42578125" style="602"/>
    <col min="12033" max="12033" width="4.140625" style="602" customWidth="1"/>
    <col min="12034" max="12034" width="45.85546875" style="602" customWidth="1"/>
    <col min="12035" max="12036" width="11.42578125" style="602"/>
    <col min="12037" max="12037" width="22" style="602" bestFit="1" customWidth="1"/>
    <col min="12038" max="12038" width="11.5703125" style="602" bestFit="1" customWidth="1"/>
    <col min="12039" max="12039" width="17.7109375" style="602" bestFit="1" customWidth="1"/>
    <col min="12040" max="12288" width="11.42578125" style="602"/>
    <col min="12289" max="12289" width="4.140625" style="602" customWidth="1"/>
    <col min="12290" max="12290" width="45.85546875" style="602" customWidth="1"/>
    <col min="12291" max="12292" width="11.42578125" style="602"/>
    <col min="12293" max="12293" width="22" style="602" bestFit="1" customWidth="1"/>
    <col min="12294" max="12294" width="11.5703125" style="602" bestFit="1" customWidth="1"/>
    <col min="12295" max="12295" width="17.7109375" style="602" bestFit="1" customWidth="1"/>
    <col min="12296" max="12544" width="11.42578125" style="602"/>
    <col min="12545" max="12545" width="4.140625" style="602" customWidth="1"/>
    <col min="12546" max="12546" width="45.85546875" style="602" customWidth="1"/>
    <col min="12547" max="12548" width="11.42578125" style="602"/>
    <col min="12549" max="12549" width="22" style="602" bestFit="1" customWidth="1"/>
    <col min="12550" max="12550" width="11.5703125" style="602" bestFit="1" customWidth="1"/>
    <col min="12551" max="12551" width="17.7109375" style="602" bestFit="1" customWidth="1"/>
    <col min="12552" max="12800" width="11.42578125" style="602"/>
    <col min="12801" max="12801" width="4.140625" style="602" customWidth="1"/>
    <col min="12802" max="12802" width="45.85546875" style="602" customWidth="1"/>
    <col min="12803" max="12804" width="11.42578125" style="602"/>
    <col min="12805" max="12805" width="22" style="602" bestFit="1" customWidth="1"/>
    <col min="12806" max="12806" width="11.5703125" style="602" bestFit="1" customWidth="1"/>
    <col min="12807" max="12807" width="17.7109375" style="602" bestFit="1" customWidth="1"/>
    <col min="12808" max="13056" width="11.42578125" style="602"/>
    <col min="13057" max="13057" width="4.140625" style="602" customWidth="1"/>
    <col min="13058" max="13058" width="45.85546875" style="602" customWidth="1"/>
    <col min="13059" max="13060" width="11.42578125" style="602"/>
    <col min="13061" max="13061" width="22" style="602" bestFit="1" customWidth="1"/>
    <col min="13062" max="13062" width="11.5703125" style="602" bestFit="1" customWidth="1"/>
    <col min="13063" max="13063" width="17.7109375" style="602" bestFit="1" customWidth="1"/>
    <col min="13064" max="13312" width="11.42578125" style="602"/>
    <col min="13313" max="13313" width="4.140625" style="602" customWidth="1"/>
    <col min="13314" max="13314" width="45.85546875" style="602" customWidth="1"/>
    <col min="13315" max="13316" width="11.42578125" style="602"/>
    <col min="13317" max="13317" width="22" style="602" bestFit="1" customWidth="1"/>
    <col min="13318" max="13318" width="11.5703125" style="602" bestFit="1" customWidth="1"/>
    <col min="13319" max="13319" width="17.7109375" style="602" bestFit="1" customWidth="1"/>
    <col min="13320" max="13568" width="11.42578125" style="602"/>
    <col min="13569" max="13569" width="4.140625" style="602" customWidth="1"/>
    <col min="13570" max="13570" width="45.85546875" style="602" customWidth="1"/>
    <col min="13571" max="13572" width="11.42578125" style="602"/>
    <col min="13573" max="13573" width="22" style="602" bestFit="1" customWidth="1"/>
    <col min="13574" max="13574" width="11.5703125" style="602" bestFit="1" customWidth="1"/>
    <col min="13575" max="13575" width="17.7109375" style="602" bestFit="1" customWidth="1"/>
    <col min="13576" max="13824" width="11.42578125" style="602"/>
    <col min="13825" max="13825" width="4.140625" style="602" customWidth="1"/>
    <col min="13826" max="13826" width="45.85546875" style="602" customWidth="1"/>
    <col min="13827" max="13828" width="11.42578125" style="602"/>
    <col min="13829" max="13829" width="22" style="602" bestFit="1" customWidth="1"/>
    <col min="13830" max="13830" width="11.5703125" style="602" bestFit="1" customWidth="1"/>
    <col min="13831" max="13831" width="17.7109375" style="602" bestFit="1" customWidth="1"/>
    <col min="13832" max="14080" width="11.42578125" style="602"/>
    <col min="14081" max="14081" width="4.140625" style="602" customWidth="1"/>
    <col min="14082" max="14082" width="45.85546875" style="602" customWidth="1"/>
    <col min="14083" max="14084" width="11.42578125" style="602"/>
    <col min="14085" max="14085" width="22" style="602" bestFit="1" customWidth="1"/>
    <col min="14086" max="14086" width="11.5703125" style="602" bestFit="1" customWidth="1"/>
    <col min="14087" max="14087" width="17.7109375" style="602" bestFit="1" customWidth="1"/>
    <col min="14088" max="14336" width="11.42578125" style="602"/>
    <col min="14337" max="14337" width="4.140625" style="602" customWidth="1"/>
    <col min="14338" max="14338" width="45.85546875" style="602" customWidth="1"/>
    <col min="14339" max="14340" width="11.42578125" style="602"/>
    <col min="14341" max="14341" width="22" style="602" bestFit="1" customWidth="1"/>
    <col min="14342" max="14342" width="11.5703125" style="602" bestFit="1" customWidth="1"/>
    <col min="14343" max="14343" width="17.7109375" style="602" bestFit="1" customWidth="1"/>
    <col min="14344" max="14592" width="11.42578125" style="602"/>
    <col min="14593" max="14593" width="4.140625" style="602" customWidth="1"/>
    <col min="14594" max="14594" width="45.85546875" style="602" customWidth="1"/>
    <col min="14595" max="14596" width="11.42578125" style="602"/>
    <col min="14597" max="14597" width="22" style="602" bestFit="1" customWidth="1"/>
    <col min="14598" max="14598" width="11.5703125" style="602" bestFit="1" customWidth="1"/>
    <col min="14599" max="14599" width="17.7109375" style="602" bestFit="1" customWidth="1"/>
    <col min="14600" max="14848" width="11.42578125" style="602"/>
    <col min="14849" max="14849" width="4.140625" style="602" customWidth="1"/>
    <col min="14850" max="14850" width="45.85546875" style="602" customWidth="1"/>
    <col min="14851" max="14852" width="11.42578125" style="602"/>
    <col min="14853" max="14853" width="22" style="602" bestFit="1" customWidth="1"/>
    <col min="14854" max="14854" width="11.5703125" style="602" bestFit="1" customWidth="1"/>
    <col min="14855" max="14855" width="17.7109375" style="602" bestFit="1" customWidth="1"/>
    <col min="14856" max="15104" width="11.42578125" style="602"/>
    <col min="15105" max="15105" width="4.140625" style="602" customWidth="1"/>
    <col min="15106" max="15106" width="45.85546875" style="602" customWidth="1"/>
    <col min="15107" max="15108" width="11.42578125" style="602"/>
    <col min="15109" max="15109" width="22" style="602" bestFit="1" customWidth="1"/>
    <col min="15110" max="15110" width="11.5703125" style="602" bestFit="1" customWidth="1"/>
    <col min="15111" max="15111" width="17.7109375" style="602" bestFit="1" customWidth="1"/>
    <col min="15112" max="15360" width="11.42578125" style="602"/>
    <col min="15361" max="15361" width="4.140625" style="602" customWidth="1"/>
    <col min="15362" max="15362" width="45.85546875" style="602" customWidth="1"/>
    <col min="15363" max="15364" width="11.42578125" style="602"/>
    <col min="15365" max="15365" width="22" style="602" bestFit="1" customWidth="1"/>
    <col min="15366" max="15366" width="11.5703125" style="602" bestFit="1" customWidth="1"/>
    <col min="15367" max="15367" width="17.7109375" style="602" bestFit="1" customWidth="1"/>
    <col min="15368" max="15616" width="11.42578125" style="602"/>
    <col min="15617" max="15617" width="4.140625" style="602" customWidth="1"/>
    <col min="15618" max="15618" width="45.85546875" style="602" customWidth="1"/>
    <col min="15619" max="15620" width="11.42578125" style="602"/>
    <col min="15621" max="15621" width="22" style="602" bestFit="1" customWidth="1"/>
    <col min="15622" max="15622" width="11.5703125" style="602" bestFit="1" customWidth="1"/>
    <col min="15623" max="15623" width="17.7109375" style="602" bestFit="1" customWidth="1"/>
    <col min="15624" max="15872" width="11.42578125" style="602"/>
    <col min="15873" max="15873" width="4.140625" style="602" customWidth="1"/>
    <col min="15874" max="15874" width="45.85546875" style="602" customWidth="1"/>
    <col min="15875" max="15876" width="11.42578125" style="602"/>
    <col min="15877" max="15877" width="22" style="602" bestFit="1" customWidth="1"/>
    <col min="15878" max="15878" width="11.5703125" style="602" bestFit="1" customWidth="1"/>
    <col min="15879" max="15879" width="17.7109375" style="602" bestFit="1" customWidth="1"/>
    <col min="15880" max="16128" width="11.42578125" style="602"/>
    <col min="16129" max="16129" width="4.140625" style="602" customWidth="1"/>
    <col min="16130" max="16130" width="45.85546875" style="602" customWidth="1"/>
    <col min="16131" max="16132" width="11.42578125" style="602"/>
    <col min="16133" max="16133" width="22" style="602" bestFit="1" customWidth="1"/>
    <col min="16134" max="16134" width="11.5703125" style="602" bestFit="1" customWidth="1"/>
    <col min="16135" max="16135" width="17.7109375" style="602" bestFit="1" customWidth="1"/>
    <col min="16136" max="16384" width="11.42578125" style="602"/>
  </cols>
  <sheetData>
    <row r="1" spans="1:7" x14ac:dyDescent="0.2">
      <c r="A1" s="615" t="s">
        <v>295</v>
      </c>
      <c r="B1" s="616"/>
      <c r="C1" s="616"/>
      <c r="D1" s="616"/>
      <c r="E1" s="616"/>
      <c r="F1" s="763"/>
    </row>
    <row r="2" spans="1:7" x14ac:dyDescent="0.2">
      <c r="A2" s="617" t="s">
        <v>294</v>
      </c>
      <c r="B2" s="618"/>
      <c r="C2" s="618"/>
      <c r="D2" s="618"/>
      <c r="E2" s="618"/>
      <c r="F2" s="712"/>
    </row>
    <row r="3" spans="1:7" x14ac:dyDescent="0.2">
      <c r="A3" s="617" t="str">
        <f>+'[7]Clasific. Económica de Ingresos'!A3:E3</f>
        <v>PERIODO 2021</v>
      </c>
      <c r="B3" s="618"/>
      <c r="C3" s="618"/>
      <c r="D3" s="618"/>
      <c r="E3" s="618"/>
      <c r="F3" s="712"/>
    </row>
    <row r="4" spans="1:7" x14ac:dyDescent="0.2">
      <c r="A4" s="617" t="s">
        <v>629</v>
      </c>
      <c r="B4" s="618"/>
      <c r="C4" s="618"/>
      <c r="D4" s="618"/>
      <c r="E4" s="618"/>
      <c r="F4" s="712"/>
    </row>
    <row r="5" spans="1:7" ht="13.5" thickBot="1" x14ac:dyDescent="0.25">
      <c r="A5" s="452"/>
      <c r="B5" s="321"/>
      <c r="C5" s="321"/>
      <c r="D5" s="441"/>
      <c r="E5" s="321"/>
      <c r="F5" s="714"/>
    </row>
    <row r="6" spans="1:7" ht="13.5" thickBot="1" x14ac:dyDescent="0.25">
      <c r="A6" s="375"/>
      <c r="B6" s="764" t="s">
        <v>630</v>
      </c>
      <c r="C6" s="765"/>
      <c r="D6" s="766"/>
      <c r="E6" s="766">
        <f>+E8+E10+E12+E14+E16+E18+E29+E31+E33</f>
        <v>11115637099.862577</v>
      </c>
      <c r="F6" s="491">
        <f>+F8+F10+F12+F14+F16+F18+F29+F31+F33</f>
        <v>100.00000000000003</v>
      </c>
      <c r="G6" s="211">
        <f>+ProgramaI!E6+E6+'Programa III'!E6</f>
        <v>31482838597.29863</v>
      </c>
    </row>
    <row r="7" spans="1:7" x14ac:dyDescent="0.2">
      <c r="A7" s="228"/>
      <c r="B7" s="768"/>
      <c r="C7" s="768"/>
      <c r="D7" s="784"/>
      <c r="E7" s="784"/>
      <c r="F7" s="769"/>
      <c r="G7" s="211">
        <f>+G6-'Detalle General de Egresos'!E7</f>
        <v>0</v>
      </c>
    </row>
    <row r="8" spans="1:7" x14ac:dyDescent="0.2">
      <c r="A8" s="238">
        <v>0</v>
      </c>
      <c r="B8" s="757" t="s">
        <v>586</v>
      </c>
      <c r="C8" s="757"/>
      <c r="E8" s="335">
        <f>+[9]general!$G$13</f>
        <v>4101970690.6438794</v>
      </c>
      <c r="F8" s="312">
        <f>SUM(E8*100)/$E$6</f>
        <v>36.902704305582198</v>
      </c>
    </row>
    <row r="9" spans="1:7" x14ac:dyDescent="0.2">
      <c r="A9" s="238"/>
      <c r="B9" s="620"/>
      <c r="C9" s="620"/>
      <c r="D9" s="211"/>
      <c r="E9" s="211"/>
      <c r="F9" s="237"/>
    </row>
    <row r="10" spans="1:7" x14ac:dyDescent="0.2">
      <c r="A10" s="238">
        <v>1</v>
      </c>
      <c r="B10" s="757" t="s">
        <v>587</v>
      </c>
      <c r="C10" s="757"/>
      <c r="E10" s="335">
        <f>+[9]general!$G$45</f>
        <v>5319823637.4487</v>
      </c>
      <c r="F10" s="312">
        <f>SUM(E10*100)/$E$6</f>
        <v>47.85891793385796</v>
      </c>
    </row>
    <row r="11" spans="1:7" x14ac:dyDescent="0.2">
      <c r="A11" s="238"/>
      <c r="B11" s="239"/>
      <c r="C11" s="239"/>
      <c r="D11" s="335"/>
      <c r="E11" s="335"/>
      <c r="F11" s="312"/>
    </row>
    <row r="12" spans="1:7" x14ac:dyDescent="0.2">
      <c r="A12" s="238">
        <v>2</v>
      </c>
      <c r="B12" s="757" t="s">
        <v>588</v>
      </c>
      <c r="C12" s="757"/>
      <c r="E12" s="335">
        <f>+[9]general!$G$102</f>
        <v>229526157.94999999</v>
      </c>
      <c r="F12" s="312">
        <f>SUM(E12*100)/$E$6</f>
        <v>2.0648943095923635</v>
      </c>
    </row>
    <row r="13" spans="1:7" x14ac:dyDescent="0.2">
      <c r="A13" s="238"/>
      <c r="B13" s="620"/>
      <c r="C13" s="620"/>
      <c r="D13" s="248"/>
      <c r="E13" s="248"/>
      <c r="F13" s="312"/>
    </row>
    <row r="14" spans="1:7" x14ac:dyDescent="0.2">
      <c r="A14" s="238">
        <v>3</v>
      </c>
      <c r="B14" s="757" t="s">
        <v>589</v>
      </c>
      <c r="C14" s="757"/>
      <c r="E14" s="335">
        <f>+[9]general!$G$132</f>
        <v>279705157.72000003</v>
      </c>
      <c r="F14" s="312">
        <f>SUM(E14*100)/$E$6</f>
        <v>2.5163214236587303</v>
      </c>
    </row>
    <row r="15" spans="1:7" x14ac:dyDescent="0.2">
      <c r="A15" s="238"/>
      <c r="B15" s="620"/>
      <c r="C15" s="620"/>
      <c r="D15" s="248"/>
      <c r="E15" s="335"/>
      <c r="F15" s="312"/>
    </row>
    <row r="16" spans="1:7" x14ac:dyDescent="0.2">
      <c r="A16" s="238">
        <v>5</v>
      </c>
      <c r="B16" s="757" t="s">
        <v>590</v>
      </c>
      <c r="C16" s="757"/>
      <c r="E16" s="335">
        <f>+[9]general!$G$137</f>
        <v>420887783.38999999</v>
      </c>
      <c r="F16" s="312">
        <f>SUM(E16*100)/$E$6</f>
        <v>3.7864476827441895</v>
      </c>
    </row>
    <row r="17" spans="1:6" x14ac:dyDescent="0.2">
      <c r="A17" s="238"/>
      <c r="B17" s="620" t="s">
        <v>15</v>
      </c>
      <c r="C17" s="620"/>
      <c r="D17" s="248" t="s">
        <v>15</v>
      </c>
      <c r="E17" s="248"/>
      <c r="F17" s="312" t="s">
        <v>15</v>
      </c>
    </row>
    <row r="18" spans="1:6" x14ac:dyDescent="0.2">
      <c r="A18" s="238">
        <v>6</v>
      </c>
      <c r="B18" s="757" t="s">
        <v>591</v>
      </c>
      <c r="C18" s="757"/>
      <c r="E18" s="335">
        <f>+[9]general!$G$162</f>
        <v>251488855.31999999</v>
      </c>
      <c r="F18" s="312">
        <f>SUM(E18*100)/$E$6</f>
        <v>2.2624781023402534</v>
      </c>
    </row>
    <row r="19" spans="1:6" x14ac:dyDescent="0.2">
      <c r="A19" s="238"/>
      <c r="B19" s="239"/>
      <c r="C19" s="239"/>
      <c r="D19" s="248"/>
      <c r="E19" s="248"/>
      <c r="F19" s="312"/>
    </row>
    <row r="20" spans="1:6" hidden="1" x14ac:dyDescent="0.2">
      <c r="A20" s="718">
        <v>2</v>
      </c>
      <c r="B20" s="785" t="s">
        <v>631</v>
      </c>
      <c r="C20" s="785"/>
      <c r="D20" s="256"/>
      <c r="E20" s="256">
        <f>SUM(E21)</f>
        <v>0</v>
      </c>
      <c r="F20" s="364">
        <f>SUM(D20*100)/$E$6</f>
        <v>0</v>
      </c>
    </row>
    <row r="21" spans="1:6" hidden="1" x14ac:dyDescent="0.2">
      <c r="A21" s="774">
        <v>1</v>
      </c>
      <c r="B21" s="776" t="s">
        <v>614</v>
      </c>
      <c r="C21" s="775"/>
      <c r="D21" s="355"/>
      <c r="E21" s="355">
        <f>+[9]general!$F$175</f>
        <v>0</v>
      </c>
      <c r="F21" s="364">
        <f>SUM(D21*100)/$E$6</f>
        <v>0</v>
      </c>
    </row>
    <row r="22" spans="1:6" x14ac:dyDescent="0.2">
      <c r="A22" s="718">
        <v>3</v>
      </c>
      <c r="B22" s="785" t="s">
        <v>615</v>
      </c>
      <c r="C22" s="785"/>
      <c r="D22" s="256"/>
      <c r="E22" s="256">
        <f>SUM(E23:E24)</f>
        <v>187064242.71000001</v>
      </c>
      <c r="F22" s="364">
        <f>SUM(D22*100)/$E$6</f>
        <v>0</v>
      </c>
    </row>
    <row r="23" spans="1:6" x14ac:dyDescent="0.2">
      <c r="A23" s="774">
        <v>1</v>
      </c>
      <c r="B23" s="775" t="s">
        <v>616</v>
      </c>
      <c r="C23" s="775"/>
      <c r="D23" s="355"/>
      <c r="E23" s="355">
        <f>+[9]general!$G$177</f>
        <v>88264242.710000008</v>
      </c>
      <c r="F23" s="364">
        <f>SUM(E23*100)/$E$6</f>
        <v>0.79405473493814593</v>
      </c>
    </row>
    <row r="24" spans="1:6" x14ac:dyDescent="0.2">
      <c r="A24" s="774">
        <v>99</v>
      </c>
      <c r="B24" s="427" t="s">
        <v>619</v>
      </c>
      <c r="C24" s="427"/>
      <c r="D24" s="355"/>
      <c r="E24" s="355">
        <f>+[9]general!$G$181</f>
        <v>98800000</v>
      </c>
      <c r="F24" s="364">
        <f>SUM(E24*100)/$E$6</f>
        <v>0.88883794165267827</v>
      </c>
    </row>
    <row r="25" spans="1:6" x14ac:dyDescent="0.2">
      <c r="A25" s="718">
        <v>6</v>
      </c>
      <c r="B25" s="427" t="s">
        <v>632</v>
      </c>
      <c r="C25" s="427"/>
      <c r="D25" s="355"/>
      <c r="E25" s="355">
        <f>SUM(D26:E27)</f>
        <v>64424612.609999999</v>
      </c>
      <c r="F25" s="364">
        <f>SUM(D25*100)/$E$6</f>
        <v>0</v>
      </c>
    </row>
    <row r="26" spans="1:6" x14ac:dyDescent="0.2">
      <c r="A26" s="774">
        <v>1</v>
      </c>
      <c r="B26" s="775" t="s">
        <v>623</v>
      </c>
      <c r="C26" s="775"/>
      <c r="D26" s="355"/>
      <c r="E26" s="355">
        <f>+[9]general!$G$190</f>
        <v>52000000</v>
      </c>
      <c r="F26" s="364">
        <f>SUM(E26*100)/$E$6</f>
        <v>0.46780944297509386</v>
      </c>
    </row>
    <row r="27" spans="1:6" hidden="1" x14ac:dyDescent="0.2">
      <c r="A27" s="774">
        <v>2</v>
      </c>
      <c r="B27" s="427" t="s">
        <v>624</v>
      </c>
      <c r="C27" s="427"/>
      <c r="D27" s="355"/>
      <c r="E27" s="355">
        <f>+[9]general!$G$191</f>
        <v>12424612.609999999</v>
      </c>
      <c r="F27" s="364">
        <f>SUM(E27*100)/$E$6</f>
        <v>0.11177598277433513</v>
      </c>
    </row>
    <row r="28" spans="1:6" hidden="1" x14ac:dyDescent="0.2">
      <c r="A28" s="238"/>
      <c r="D28" s="248"/>
      <c r="E28" s="248"/>
      <c r="F28" s="312"/>
    </row>
    <row r="29" spans="1:6" hidden="1" x14ac:dyDescent="0.2">
      <c r="A29" s="238">
        <v>7</v>
      </c>
      <c r="B29" s="757" t="s">
        <v>592</v>
      </c>
      <c r="C29" s="757"/>
      <c r="E29" s="335">
        <f>+[9]general!$G$193</f>
        <v>0</v>
      </c>
      <c r="F29" s="312">
        <f>SUM(E29*100)/$E$6</f>
        <v>0</v>
      </c>
    </row>
    <row r="30" spans="1:6" ht="11.25" customHeight="1" x14ac:dyDescent="0.2">
      <c r="A30" s="238"/>
      <c r="B30" s="620"/>
      <c r="C30" s="620"/>
      <c r="D30" s="211"/>
      <c r="E30" s="211"/>
      <c r="F30" s="237"/>
    </row>
    <row r="31" spans="1:6" ht="13.5" customHeight="1" x14ac:dyDescent="0.2">
      <c r="A31" s="238">
        <v>8</v>
      </c>
      <c r="B31" s="757" t="s">
        <v>593</v>
      </c>
      <c r="C31" s="757"/>
      <c r="E31" s="335">
        <f>+[9]general!$G$209</f>
        <v>452358635.42000002</v>
      </c>
      <c r="F31" s="312">
        <f>SUM(E31*100)/$E$6</f>
        <v>4.069570024246226</v>
      </c>
    </row>
    <row r="32" spans="1:6" ht="13.5" customHeight="1" x14ac:dyDescent="0.2">
      <c r="A32" s="238"/>
      <c r="B32" s="620"/>
      <c r="C32" s="620"/>
      <c r="D32" s="211"/>
      <c r="E32" s="211"/>
      <c r="F32" s="237"/>
    </row>
    <row r="33" spans="1:6" x14ac:dyDescent="0.2">
      <c r="A33" s="238">
        <v>9</v>
      </c>
      <c r="B33" s="757" t="s">
        <v>594</v>
      </c>
      <c r="C33" s="757"/>
      <c r="D33" s="335"/>
      <c r="E33" s="335">
        <f>+[9]general!$G$215</f>
        <v>59876181.969999999</v>
      </c>
      <c r="F33" s="312">
        <f>SUM(E33*100)/$E$6</f>
        <v>0.53866621797809722</v>
      </c>
    </row>
    <row r="34" spans="1:6" ht="13.5" thickBot="1" x14ac:dyDescent="0.25">
      <c r="A34" s="320"/>
      <c r="B34" s="321"/>
      <c r="C34" s="321"/>
      <c r="D34" s="321"/>
      <c r="E34" s="321"/>
      <c r="F34" s="714"/>
    </row>
    <row r="37" spans="1:6" x14ac:dyDescent="0.2">
      <c r="E37" s="786">
        <f>+E6/'Detalle General de Egresos'!E7</f>
        <v>0.35306972290663613</v>
      </c>
    </row>
    <row r="47" spans="1:6" ht="13.5" thickBot="1" x14ac:dyDescent="0.25"/>
    <row r="48" spans="1:6" ht="13.5" thickBot="1" x14ac:dyDescent="0.25">
      <c r="F48" s="787"/>
    </row>
  </sheetData>
  <mergeCells count="27">
    <mergeCell ref="B32:C32"/>
    <mergeCell ref="B33:C33"/>
    <mergeCell ref="B22:C22"/>
    <mergeCell ref="B23:C23"/>
    <mergeCell ref="B26:C26"/>
    <mergeCell ref="B29:C29"/>
    <mergeCell ref="B30:C30"/>
    <mergeCell ref="B31:C31"/>
    <mergeCell ref="B15:C15"/>
    <mergeCell ref="B16:C16"/>
    <mergeCell ref="B17:C17"/>
    <mergeCell ref="B18:C18"/>
    <mergeCell ref="B20:C20"/>
    <mergeCell ref="B21:C21"/>
    <mergeCell ref="B8:C8"/>
    <mergeCell ref="B9:C9"/>
    <mergeCell ref="B10:C10"/>
    <mergeCell ref="B12:C12"/>
    <mergeCell ref="B13:C13"/>
    <mergeCell ref="B14:C14"/>
    <mergeCell ref="A1:F1"/>
    <mergeCell ref="A2:F2"/>
    <mergeCell ref="A3:F3"/>
    <mergeCell ref="A4:F4"/>
    <mergeCell ref="B6:C6"/>
    <mergeCell ref="B7:C7"/>
    <mergeCell ref="D7:E7"/>
  </mergeCells>
  <pageMargins left="0.74803149606299213" right="0.74803149606299213" top="0.98425196850393704" bottom="0.98425196850393704" header="0" footer="0"/>
  <pageSetup scale="80"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1FE0-95C2-4462-BBD9-BE1FC54EF15E}">
  <dimension ref="A1:H45"/>
  <sheetViews>
    <sheetView zoomScaleNormal="100" workbookViewId="0">
      <selection activeCell="K348" sqref="K348"/>
    </sheetView>
  </sheetViews>
  <sheetFormatPr baseColWidth="10" defaultRowHeight="12.75" x14ac:dyDescent="0.2"/>
  <cols>
    <col min="1" max="1" width="5.42578125" style="602" customWidth="1"/>
    <col min="2" max="2" width="38.140625" style="602" customWidth="1"/>
    <col min="3" max="4" width="11.42578125" style="602"/>
    <col min="5" max="5" width="21.5703125" style="602" bestFit="1" customWidth="1"/>
    <col min="6" max="6" width="11.5703125" style="602" bestFit="1" customWidth="1"/>
    <col min="7" max="7" width="15.28515625" style="602" bestFit="1" customWidth="1"/>
    <col min="8" max="8" width="15.85546875" style="602" bestFit="1" customWidth="1"/>
    <col min="9" max="256" width="11.42578125" style="602"/>
    <col min="257" max="257" width="5.42578125" style="602" customWidth="1"/>
    <col min="258" max="258" width="38.140625" style="602" customWidth="1"/>
    <col min="259" max="260" width="11.42578125" style="602"/>
    <col min="261" max="261" width="21.5703125" style="602" bestFit="1" customWidth="1"/>
    <col min="262" max="262" width="11.5703125" style="602" bestFit="1" customWidth="1"/>
    <col min="263" max="263" width="15.28515625" style="602" bestFit="1" customWidth="1"/>
    <col min="264" max="264" width="15.85546875" style="602" bestFit="1" customWidth="1"/>
    <col min="265" max="512" width="11.42578125" style="602"/>
    <col min="513" max="513" width="5.42578125" style="602" customWidth="1"/>
    <col min="514" max="514" width="38.140625" style="602" customWidth="1"/>
    <col min="515" max="516" width="11.42578125" style="602"/>
    <col min="517" max="517" width="21.5703125" style="602" bestFit="1" customWidth="1"/>
    <col min="518" max="518" width="11.5703125" style="602" bestFit="1" customWidth="1"/>
    <col min="519" max="519" width="15.28515625" style="602" bestFit="1" customWidth="1"/>
    <col min="520" max="520" width="15.85546875" style="602" bestFit="1" customWidth="1"/>
    <col min="521" max="768" width="11.42578125" style="602"/>
    <col min="769" max="769" width="5.42578125" style="602" customWidth="1"/>
    <col min="770" max="770" width="38.140625" style="602" customWidth="1"/>
    <col min="771" max="772" width="11.42578125" style="602"/>
    <col min="773" max="773" width="21.5703125" style="602" bestFit="1" customWidth="1"/>
    <col min="774" max="774" width="11.5703125" style="602" bestFit="1" customWidth="1"/>
    <col min="775" max="775" width="15.28515625" style="602" bestFit="1" customWidth="1"/>
    <col min="776" max="776" width="15.85546875" style="602" bestFit="1" customWidth="1"/>
    <col min="777" max="1024" width="11.42578125" style="602"/>
    <col min="1025" max="1025" width="5.42578125" style="602" customWidth="1"/>
    <col min="1026" max="1026" width="38.140625" style="602" customWidth="1"/>
    <col min="1027" max="1028" width="11.42578125" style="602"/>
    <col min="1029" max="1029" width="21.5703125" style="602" bestFit="1" customWidth="1"/>
    <col min="1030" max="1030" width="11.5703125" style="602" bestFit="1" customWidth="1"/>
    <col min="1031" max="1031" width="15.28515625" style="602" bestFit="1" customWidth="1"/>
    <col min="1032" max="1032" width="15.85546875" style="602" bestFit="1" customWidth="1"/>
    <col min="1033" max="1280" width="11.42578125" style="602"/>
    <col min="1281" max="1281" width="5.42578125" style="602" customWidth="1"/>
    <col min="1282" max="1282" width="38.140625" style="602" customWidth="1"/>
    <col min="1283" max="1284" width="11.42578125" style="602"/>
    <col min="1285" max="1285" width="21.5703125" style="602" bestFit="1" customWidth="1"/>
    <col min="1286" max="1286" width="11.5703125" style="602" bestFit="1" customWidth="1"/>
    <col min="1287" max="1287" width="15.28515625" style="602" bestFit="1" customWidth="1"/>
    <col min="1288" max="1288" width="15.85546875" style="602" bestFit="1" customWidth="1"/>
    <col min="1289" max="1536" width="11.42578125" style="602"/>
    <col min="1537" max="1537" width="5.42578125" style="602" customWidth="1"/>
    <col min="1538" max="1538" width="38.140625" style="602" customWidth="1"/>
    <col min="1539" max="1540" width="11.42578125" style="602"/>
    <col min="1541" max="1541" width="21.5703125" style="602" bestFit="1" customWidth="1"/>
    <col min="1542" max="1542" width="11.5703125" style="602" bestFit="1" customWidth="1"/>
    <col min="1543" max="1543" width="15.28515625" style="602" bestFit="1" customWidth="1"/>
    <col min="1544" max="1544" width="15.85546875" style="602" bestFit="1" customWidth="1"/>
    <col min="1545" max="1792" width="11.42578125" style="602"/>
    <col min="1793" max="1793" width="5.42578125" style="602" customWidth="1"/>
    <col min="1794" max="1794" width="38.140625" style="602" customWidth="1"/>
    <col min="1795" max="1796" width="11.42578125" style="602"/>
    <col min="1797" max="1797" width="21.5703125" style="602" bestFit="1" customWidth="1"/>
    <col min="1798" max="1798" width="11.5703125" style="602" bestFit="1" customWidth="1"/>
    <col min="1799" max="1799" width="15.28515625" style="602" bestFit="1" customWidth="1"/>
    <col min="1800" max="1800" width="15.85546875" style="602" bestFit="1" customWidth="1"/>
    <col min="1801" max="2048" width="11.42578125" style="602"/>
    <col min="2049" max="2049" width="5.42578125" style="602" customWidth="1"/>
    <col min="2050" max="2050" width="38.140625" style="602" customWidth="1"/>
    <col min="2051" max="2052" width="11.42578125" style="602"/>
    <col min="2053" max="2053" width="21.5703125" style="602" bestFit="1" customWidth="1"/>
    <col min="2054" max="2054" width="11.5703125" style="602" bestFit="1" customWidth="1"/>
    <col min="2055" max="2055" width="15.28515625" style="602" bestFit="1" customWidth="1"/>
    <col min="2056" max="2056" width="15.85546875" style="602" bestFit="1" customWidth="1"/>
    <col min="2057" max="2304" width="11.42578125" style="602"/>
    <col min="2305" max="2305" width="5.42578125" style="602" customWidth="1"/>
    <col min="2306" max="2306" width="38.140625" style="602" customWidth="1"/>
    <col min="2307" max="2308" width="11.42578125" style="602"/>
    <col min="2309" max="2309" width="21.5703125" style="602" bestFit="1" customWidth="1"/>
    <col min="2310" max="2310" width="11.5703125" style="602" bestFit="1" customWidth="1"/>
    <col min="2311" max="2311" width="15.28515625" style="602" bestFit="1" customWidth="1"/>
    <col min="2312" max="2312" width="15.85546875" style="602" bestFit="1" customWidth="1"/>
    <col min="2313" max="2560" width="11.42578125" style="602"/>
    <col min="2561" max="2561" width="5.42578125" style="602" customWidth="1"/>
    <col min="2562" max="2562" width="38.140625" style="602" customWidth="1"/>
    <col min="2563" max="2564" width="11.42578125" style="602"/>
    <col min="2565" max="2565" width="21.5703125" style="602" bestFit="1" customWidth="1"/>
    <col min="2566" max="2566" width="11.5703125" style="602" bestFit="1" customWidth="1"/>
    <col min="2567" max="2567" width="15.28515625" style="602" bestFit="1" customWidth="1"/>
    <col min="2568" max="2568" width="15.85546875" style="602" bestFit="1" customWidth="1"/>
    <col min="2569" max="2816" width="11.42578125" style="602"/>
    <col min="2817" max="2817" width="5.42578125" style="602" customWidth="1"/>
    <col min="2818" max="2818" width="38.140625" style="602" customWidth="1"/>
    <col min="2819" max="2820" width="11.42578125" style="602"/>
    <col min="2821" max="2821" width="21.5703125" style="602" bestFit="1" customWidth="1"/>
    <col min="2822" max="2822" width="11.5703125" style="602" bestFit="1" customWidth="1"/>
    <col min="2823" max="2823" width="15.28515625" style="602" bestFit="1" customWidth="1"/>
    <col min="2824" max="2824" width="15.85546875" style="602" bestFit="1" customWidth="1"/>
    <col min="2825" max="3072" width="11.42578125" style="602"/>
    <col min="3073" max="3073" width="5.42578125" style="602" customWidth="1"/>
    <col min="3074" max="3074" width="38.140625" style="602" customWidth="1"/>
    <col min="3075" max="3076" width="11.42578125" style="602"/>
    <col min="3077" max="3077" width="21.5703125" style="602" bestFit="1" customWidth="1"/>
    <col min="3078" max="3078" width="11.5703125" style="602" bestFit="1" customWidth="1"/>
    <col min="3079" max="3079" width="15.28515625" style="602" bestFit="1" customWidth="1"/>
    <col min="3080" max="3080" width="15.85546875" style="602" bestFit="1" customWidth="1"/>
    <col min="3081" max="3328" width="11.42578125" style="602"/>
    <col min="3329" max="3329" width="5.42578125" style="602" customWidth="1"/>
    <col min="3330" max="3330" width="38.140625" style="602" customWidth="1"/>
    <col min="3331" max="3332" width="11.42578125" style="602"/>
    <col min="3333" max="3333" width="21.5703125" style="602" bestFit="1" customWidth="1"/>
    <col min="3334" max="3334" width="11.5703125" style="602" bestFit="1" customWidth="1"/>
    <col min="3335" max="3335" width="15.28515625" style="602" bestFit="1" customWidth="1"/>
    <col min="3336" max="3336" width="15.85546875" style="602" bestFit="1" customWidth="1"/>
    <col min="3337" max="3584" width="11.42578125" style="602"/>
    <col min="3585" max="3585" width="5.42578125" style="602" customWidth="1"/>
    <col min="3586" max="3586" width="38.140625" style="602" customWidth="1"/>
    <col min="3587" max="3588" width="11.42578125" style="602"/>
    <col min="3589" max="3589" width="21.5703125" style="602" bestFit="1" customWidth="1"/>
    <col min="3590" max="3590" width="11.5703125" style="602" bestFit="1" customWidth="1"/>
    <col min="3591" max="3591" width="15.28515625" style="602" bestFit="1" customWidth="1"/>
    <col min="3592" max="3592" width="15.85546875" style="602" bestFit="1" customWidth="1"/>
    <col min="3593" max="3840" width="11.42578125" style="602"/>
    <col min="3841" max="3841" width="5.42578125" style="602" customWidth="1"/>
    <col min="3842" max="3842" width="38.140625" style="602" customWidth="1"/>
    <col min="3843" max="3844" width="11.42578125" style="602"/>
    <col min="3845" max="3845" width="21.5703125" style="602" bestFit="1" customWidth="1"/>
    <col min="3846" max="3846" width="11.5703125" style="602" bestFit="1" customWidth="1"/>
    <col min="3847" max="3847" width="15.28515625" style="602" bestFit="1" customWidth="1"/>
    <col min="3848" max="3848" width="15.85546875" style="602" bestFit="1" customWidth="1"/>
    <col min="3849" max="4096" width="11.42578125" style="602"/>
    <col min="4097" max="4097" width="5.42578125" style="602" customWidth="1"/>
    <col min="4098" max="4098" width="38.140625" style="602" customWidth="1"/>
    <col min="4099" max="4100" width="11.42578125" style="602"/>
    <col min="4101" max="4101" width="21.5703125" style="602" bestFit="1" customWidth="1"/>
    <col min="4102" max="4102" width="11.5703125" style="602" bestFit="1" customWidth="1"/>
    <col min="4103" max="4103" width="15.28515625" style="602" bestFit="1" customWidth="1"/>
    <col min="4104" max="4104" width="15.85546875" style="602" bestFit="1" customWidth="1"/>
    <col min="4105" max="4352" width="11.42578125" style="602"/>
    <col min="4353" max="4353" width="5.42578125" style="602" customWidth="1"/>
    <col min="4354" max="4354" width="38.140625" style="602" customWidth="1"/>
    <col min="4355" max="4356" width="11.42578125" style="602"/>
    <col min="4357" max="4357" width="21.5703125" style="602" bestFit="1" customWidth="1"/>
    <col min="4358" max="4358" width="11.5703125" style="602" bestFit="1" customWidth="1"/>
    <col min="4359" max="4359" width="15.28515625" style="602" bestFit="1" customWidth="1"/>
    <col min="4360" max="4360" width="15.85546875" style="602" bestFit="1" customWidth="1"/>
    <col min="4361" max="4608" width="11.42578125" style="602"/>
    <col min="4609" max="4609" width="5.42578125" style="602" customWidth="1"/>
    <col min="4610" max="4610" width="38.140625" style="602" customWidth="1"/>
    <col min="4611" max="4612" width="11.42578125" style="602"/>
    <col min="4613" max="4613" width="21.5703125" style="602" bestFit="1" customWidth="1"/>
    <col min="4614" max="4614" width="11.5703125" style="602" bestFit="1" customWidth="1"/>
    <col min="4615" max="4615" width="15.28515625" style="602" bestFit="1" customWidth="1"/>
    <col min="4616" max="4616" width="15.85546875" style="602" bestFit="1" customWidth="1"/>
    <col min="4617" max="4864" width="11.42578125" style="602"/>
    <col min="4865" max="4865" width="5.42578125" style="602" customWidth="1"/>
    <col min="4866" max="4866" width="38.140625" style="602" customWidth="1"/>
    <col min="4867" max="4868" width="11.42578125" style="602"/>
    <col min="4869" max="4869" width="21.5703125" style="602" bestFit="1" customWidth="1"/>
    <col min="4870" max="4870" width="11.5703125" style="602" bestFit="1" customWidth="1"/>
    <col min="4871" max="4871" width="15.28515625" style="602" bestFit="1" customWidth="1"/>
    <col min="4872" max="4872" width="15.85546875" style="602" bestFit="1" customWidth="1"/>
    <col min="4873" max="5120" width="11.42578125" style="602"/>
    <col min="5121" max="5121" width="5.42578125" style="602" customWidth="1"/>
    <col min="5122" max="5122" width="38.140625" style="602" customWidth="1"/>
    <col min="5123" max="5124" width="11.42578125" style="602"/>
    <col min="5125" max="5125" width="21.5703125" style="602" bestFit="1" customWidth="1"/>
    <col min="5126" max="5126" width="11.5703125" style="602" bestFit="1" customWidth="1"/>
    <col min="5127" max="5127" width="15.28515625" style="602" bestFit="1" customWidth="1"/>
    <col min="5128" max="5128" width="15.85546875" style="602" bestFit="1" customWidth="1"/>
    <col min="5129" max="5376" width="11.42578125" style="602"/>
    <col min="5377" max="5377" width="5.42578125" style="602" customWidth="1"/>
    <col min="5378" max="5378" width="38.140625" style="602" customWidth="1"/>
    <col min="5379" max="5380" width="11.42578125" style="602"/>
    <col min="5381" max="5381" width="21.5703125" style="602" bestFit="1" customWidth="1"/>
    <col min="5382" max="5382" width="11.5703125" style="602" bestFit="1" customWidth="1"/>
    <col min="5383" max="5383" width="15.28515625" style="602" bestFit="1" customWidth="1"/>
    <col min="5384" max="5384" width="15.85546875" style="602" bestFit="1" customWidth="1"/>
    <col min="5385" max="5632" width="11.42578125" style="602"/>
    <col min="5633" max="5633" width="5.42578125" style="602" customWidth="1"/>
    <col min="5634" max="5634" width="38.140625" style="602" customWidth="1"/>
    <col min="5635" max="5636" width="11.42578125" style="602"/>
    <col min="5637" max="5637" width="21.5703125" style="602" bestFit="1" customWidth="1"/>
    <col min="5638" max="5638" width="11.5703125" style="602" bestFit="1" customWidth="1"/>
    <col min="5639" max="5639" width="15.28515625" style="602" bestFit="1" customWidth="1"/>
    <col min="5640" max="5640" width="15.85546875" style="602" bestFit="1" customWidth="1"/>
    <col min="5641" max="5888" width="11.42578125" style="602"/>
    <col min="5889" max="5889" width="5.42578125" style="602" customWidth="1"/>
    <col min="5890" max="5890" width="38.140625" style="602" customWidth="1"/>
    <col min="5891" max="5892" width="11.42578125" style="602"/>
    <col min="5893" max="5893" width="21.5703125" style="602" bestFit="1" customWidth="1"/>
    <col min="5894" max="5894" width="11.5703125" style="602" bestFit="1" customWidth="1"/>
    <col min="5895" max="5895" width="15.28515625" style="602" bestFit="1" customWidth="1"/>
    <col min="5896" max="5896" width="15.85546875" style="602" bestFit="1" customWidth="1"/>
    <col min="5897" max="6144" width="11.42578125" style="602"/>
    <col min="6145" max="6145" width="5.42578125" style="602" customWidth="1"/>
    <col min="6146" max="6146" width="38.140625" style="602" customWidth="1"/>
    <col min="6147" max="6148" width="11.42578125" style="602"/>
    <col min="6149" max="6149" width="21.5703125" style="602" bestFit="1" customWidth="1"/>
    <col min="6150" max="6150" width="11.5703125" style="602" bestFit="1" customWidth="1"/>
    <col min="6151" max="6151" width="15.28515625" style="602" bestFit="1" customWidth="1"/>
    <col min="6152" max="6152" width="15.85546875" style="602" bestFit="1" customWidth="1"/>
    <col min="6153" max="6400" width="11.42578125" style="602"/>
    <col min="6401" max="6401" width="5.42578125" style="602" customWidth="1"/>
    <col min="6402" max="6402" width="38.140625" style="602" customWidth="1"/>
    <col min="6403" max="6404" width="11.42578125" style="602"/>
    <col min="6405" max="6405" width="21.5703125" style="602" bestFit="1" customWidth="1"/>
    <col min="6406" max="6406" width="11.5703125" style="602" bestFit="1" customWidth="1"/>
    <col min="6407" max="6407" width="15.28515625" style="602" bestFit="1" customWidth="1"/>
    <col min="6408" max="6408" width="15.85546875" style="602" bestFit="1" customWidth="1"/>
    <col min="6409" max="6656" width="11.42578125" style="602"/>
    <col min="6657" max="6657" width="5.42578125" style="602" customWidth="1"/>
    <col min="6658" max="6658" width="38.140625" style="602" customWidth="1"/>
    <col min="6659" max="6660" width="11.42578125" style="602"/>
    <col min="6661" max="6661" width="21.5703125" style="602" bestFit="1" customWidth="1"/>
    <col min="6662" max="6662" width="11.5703125" style="602" bestFit="1" customWidth="1"/>
    <col min="6663" max="6663" width="15.28515625" style="602" bestFit="1" customWidth="1"/>
    <col min="6664" max="6664" width="15.85546875" style="602" bestFit="1" customWidth="1"/>
    <col min="6665" max="6912" width="11.42578125" style="602"/>
    <col min="6913" max="6913" width="5.42578125" style="602" customWidth="1"/>
    <col min="6914" max="6914" width="38.140625" style="602" customWidth="1"/>
    <col min="6915" max="6916" width="11.42578125" style="602"/>
    <col min="6917" max="6917" width="21.5703125" style="602" bestFit="1" customWidth="1"/>
    <col min="6918" max="6918" width="11.5703125" style="602" bestFit="1" customWidth="1"/>
    <col min="6919" max="6919" width="15.28515625" style="602" bestFit="1" customWidth="1"/>
    <col min="6920" max="6920" width="15.85546875" style="602" bestFit="1" customWidth="1"/>
    <col min="6921" max="7168" width="11.42578125" style="602"/>
    <col min="7169" max="7169" width="5.42578125" style="602" customWidth="1"/>
    <col min="7170" max="7170" width="38.140625" style="602" customWidth="1"/>
    <col min="7171" max="7172" width="11.42578125" style="602"/>
    <col min="7173" max="7173" width="21.5703125" style="602" bestFit="1" customWidth="1"/>
    <col min="7174" max="7174" width="11.5703125" style="602" bestFit="1" customWidth="1"/>
    <col min="7175" max="7175" width="15.28515625" style="602" bestFit="1" customWidth="1"/>
    <col min="7176" max="7176" width="15.85546875" style="602" bestFit="1" customWidth="1"/>
    <col min="7177" max="7424" width="11.42578125" style="602"/>
    <col min="7425" max="7425" width="5.42578125" style="602" customWidth="1"/>
    <col min="7426" max="7426" width="38.140625" style="602" customWidth="1"/>
    <col min="7427" max="7428" width="11.42578125" style="602"/>
    <col min="7429" max="7429" width="21.5703125" style="602" bestFit="1" customWidth="1"/>
    <col min="7430" max="7430" width="11.5703125" style="602" bestFit="1" customWidth="1"/>
    <col min="7431" max="7431" width="15.28515625" style="602" bestFit="1" customWidth="1"/>
    <col min="7432" max="7432" width="15.85546875" style="602" bestFit="1" customWidth="1"/>
    <col min="7433" max="7680" width="11.42578125" style="602"/>
    <col min="7681" max="7681" width="5.42578125" style="602" customWidth="1"/>
    <col min="7682" max="7682" width="38.140625" style="602" customWidth="1"/>
    <col min="7683" max="7684" width="11.42578125" style="602"/>
    <col min="7685" max="7685" width="21.5703125" style="602" bestFit="1" customWidth="1"/>
    <col min="7686" max="7686" width="11.5703125" style="602" bestFit="1" customWidth="1"/>
    <col min="7687" max="7687" width="15.28515625" style="602" bestFit="1" customWidth="1"/>
    <col min="7688" max="7688" width="15.85546875" style="602" bestFit="1" customWidth="1"/>
    <col min="7689" max="7936" width="11.42578125" style="602"/>
    <col min="7937" max="7937" width="5.42578125" style="602" customWidth="1"/>
    <col min="7938" max="7938" width="38.140625" style="602" customWidth="1"/>
    <col min="7939" max="7940" width="11.42578125" style="602"/>
    <col min="7941" max="7941" width="21.5703125" style="602" bestFit="1" customWidth="1"/>
    <col min="7942" max="7942" width="11.5703125" style="602" bestFit="1" customWidth="1"/>
    <col min="7943" max="7943" width="15.28515625" style="602" bestFit="1" customWidth="1"/>
    <col min="7944" max="7944" width="15.85546875" style="602" bestFit="1" customWidth="1"/>
    <col min="7945" max="8192" width="11.42578125" style="602"/>
    <col min="8193" max="8193" width="5.42578125" style="602" customWidth="1"/>
    <col min="8194" max="8194" width="38.140625" style="602" customWidth="1"/>
    <col min="8195" max="8196" width="11.42578125" style="602"/>
    <col min="8197" max="8197" width="21.5703125" style="602" bestFit="1" customWidth="1"/>
    <col min="8198" max="8198" width="11.5703125" style="602" bestFit="1" customWidth="1"/>
    <col min="8199" max="8199" width="15.28515625" style="602" bestFit="1" customWidth="1"/>
    <col min="8200" max="8200" width="15.85546875" style="602" bestFit="1" customWidth="1"/>
    <col min="8201" max="8448" width="11.42578125" style="602"/>
    <col min="8449" max="8449" width="5.42578125" style="602" customWidth="1"/>
    <col min="8450" max="8450" width="38.140625" style="602" customWidth="1"/>
    <col min="8451" max="8452" width="11.42578125" style="602"/>
    <col min="8453" max="8453" width="21.5703125" style="602" bestFit="1" customWidth="1"/>
    <col min="8454" max="8454" width="11.5703125" style="602" bestFit="1" customWidth="1"/>
    <col min="8455" max="8455" width="15.28515625" style="602" bestFit="1" customWidth="1"/>
    <col min="8456" max="8456" width="15.85546875" style="602" bestFit="1" customWidth="1"/>
    <col min="8457" max="8704" width="11.42578125" style="602"/>
    <col min="8705" max="8705" width="5.42578125" style="602" customWidth="1"/>
    <col min="8706" max="8706" width="38.140625" style="602" customWidth="1"/>
    <col min="8707" max="8708" width="11.42578125" style="602"/>
    <col min="8709" max="8709" width="21.5703125" style="602" bestFit="1" customWidth="1"/>
    <col min="8710" max="8710" width="11.5703125" style="602" bestFit="1" customWidth="1"/>
    <col min="8711" max="8711" width="15.28515625" style="602" bestFit="1" customWidth="1"/>
    <col min="8712" max="8712" width="15.85546875" style="602" bestFit="1" customWidth="1"/>
    <col min="8713" max="8960" width="11.42578125" style="602"/>
    <col min="8961" max="8961" width="5.42578125" style="602" customWidth="1"/>
    <col min="8962" max="8962" width="38.140625" style="602" customWidth="1"/>
    <col min="8963" max="8964" width="11.42578125" style="602"/>
    <col min="8965" max="8965" width="21.5703125" style="602" bestFit="1" customWidth="1"/>
    <col min="8966" max="8966" width="11.5703125" style="602" bestFit="1" customWidth="1"/>
    <col min="8967" max="8967" width="15.28515625" style="602" bestFit="1" customWidth="1"/>
    <col min="8968" max="8968" width="15.85546875" style="602" bestFit="1" customWidth="1"/>
    <col min="8969" max="9216" width="11.42578125" style="602"/>
    <col min="9217" max="9217" width="5.42578125" style="602" customWidth="1"/>
    <col min="9218" max="9218" width="38.140625" style="602" customWidth="1"/>
    <col min="9219" max="9220" width="11.42578125" style="602"/>
    <col min="9221" max="9221" width="21.5703125" style="602" bestFit="1" customWidth="1"/>
    <col min="9222" max="9222" width="11.5703125" style="602" bestFit="1" customWidth="1"/>
    <col min="9223" max="9223" width="15.28515625" style="602" bestFit="1" customWidth="1"/>
    <col min="9224" max="9224" width="15.85546875" style="602" bestFit="1" customWidth="1"/>
    <col min="9225" max="9472" width="11.42578125" style="602"/>
    <col min="9473" max="9473" width="5.42578125" style="602" customWidth="1"/>
    <col min="9474" max="9474" width="38.140625" style="602" customWidth="1"/>
    <col min="9475" max="9476" width="11.42578125" style="602"/>
    <col min="9477" max="9477" width="21.5703125" style="602" bestFit="1" customWidth="1"/>
    <col min="9478" max="9478" width="11.5703125" style="602" bestFit="1" customWidth="1"/>
    <col min="9479" max="9479" width="15.28515625" style="602" bestFit="1" customWidth="1"/>
    <col min="9480" max="9480" width="15.85546875" style="602" bestFit="1" customWidth="1"/>
    <col min="9481" max="9728" width="11.42578125" style="602"/>
    <col min="9729" max="9729" width="5.42578125" style="602" customWidth="1"/>
    <col min="9730" max="9730" width="38.140625" style="602" customWidth="1"/>
    <col min="9731" max="9732" width="11.42578125" style="602"/>
    <col min="9733" max="9733" width="21.5703125" style="602" bestFit="1" customWidth="1"/>
    <col min="9734" max="9734" width="11.5703125" style="602" bestFit="1" customWidth="1"/>
    <col min="9735" max="9735" width="15.28515625" style="602" bestFit="1" customWidth="1"/>
    <col min="9736" max="9736" width="15.85546875" style="602" bestFit="1" customWidth="1"/>
    <col min="9737" max="9984" width="11.42578125" style="602"/>
    <col min="9985" max="9985" width="5.42578125" style="602" customWidth="1"/>
    <col min="9986" max="9986" width="38.140625" style="602" customWidth="1"/>
    <col min="9987" max="9988" width="11.42578125" style="602"/>
    <col min="9989" max="9989" width="21.5703125" style="602" bestFit="1" customWidth="1"/>
    <col min="9990" max="9990" width="11.5703125" style="602" bestFit="1" customWidth="1"/>
    <col min="9991" max="9991" width="15.28515625" style="602" bestFit="1" customWidth="1"/>
    <col min="9992" max="9992" width="15.85546875" style="602" bestFit="1" customWidth="1"/>
    <col min="9993" max="10240" width="11.42578125" style="602"/>
    <col min="10241" max="10241" width="5.42578125" style="602" customWidth="1"/>
    <col min="10242" max="10242" width="38.140625" style="602" customWidth="1"/>
    <col min="10243" max="10244" width="11.42578125" style="602"/>
    <col min="10245" max="10245" width="21.5703125" style="602" bestFit="1" customWidth="1"/>
    <col min="10246" max="10246" width="11.5703125" style="602" bestFit="1" customWidth="1"/>
    <col min="10247" max="10247" width="15.28515625" style="602" bestFit="1" customWidth="1"/>
    <col min="10248" max="10248" width="15.85546875" style="602" bestFit="1" customWidth="1"/>
    <col min="10249" max="10496" width="11.42578125" style="602"/>
    <col min="10497" max="10497" width="5.42578125" style="602" customWidth="1"/>
    <col min="10498" max="10498" width="38.140625" style="602" customWidth="1"/>
    <col min="10499" max="10500" width="11.42578125" style="602"/>
    <col min="10501" max="10501" width="21.5703125" style="602" bestFit="1" customWidth="1"/>
    <col min="10502" max="10502" width="11.5703125" style="602" bestFit="1" customWidth="1"/>
    <col min="10503" max="10503" width="15.28515625" style="602" bestFit="1" customWidth="1"/>
    <col min="10504" max="10504" width="15.85546875" style="602" bestFit="1" customWidth="1"/>
    <col min="10505" max="10752" width="11.42578125" style="602"/>
    <col min="10753" max="10753" width="5.42578125" style="602" customWidth="1"/>
    <col min="10754" max="10754" width="38.140625" style="602" customWidth="1"/>
    <col min="10755" max="10756" width="11.42578125" style="602"/>
    <col min="10757" max="10757" width="21.5703125" style="602" bestFit="1" customWidth="1"/>
    <col min="10758" max="10758" width="11.5703125" style="602" bestFit="1" customWidth="1"/>
    <col min="10759" max="10759" width="15.28515625" style="602" bestFit="1" customWidth="1"/>
    <col min="10760" max="10760" width="15.85546875" style="602" bestFit="1" customWidth="1"/>
    <col min="10761" max="11008" width="11.42578125" style="602"/>
    <col min="11009" max="11009" width="5.42578125" style="602" customWidth="1"/>
    <col min="11010" max="11010" width="38.140625" style="602" customWidth="1"/>
    <col min="11011" max="11012" width="11.42578125" style="602"/>
    <col min="11013" max="11013" width="21.5703125" style="602" bestFit="1" customWidth="1"/>
    <col min="11014" max="11014" width="11.5703125" style="602" bestFit="1" customWidth="1"/>
    <col min="11015" max="11015" width="15.28515625" style="602" bestFit="1" customWidth="1"/>
    <col min="11016" max="11016" width="15.85546875" style="602" bestFit="1" customWidth="1"/>
    <col min="11017" max="11264" width="11.42578125" style="602"/>
    <col min="11265" max="11265" width="5.42578125" style="602" customWidth="1"/>
    <col min="11266" max="11266" width="38.140625" style="602" customWidth="1"/>
    <col min="11267" max="11268" width="11.42578125" style="602"/>
    <col min="11269" max="11269" width="21.5703125" style="602" bestFit="1" customWidth="1"/>
    <col min="11270" max="11270" width="11.5703125" style="602" bestFit="1" customWidth="1"/>
    <col min="11271" max="11271" width="15.28515625" style="602" bestFit="1" customWidth="1"/>
    <col min="11272" max="11272" width="15.85546875" style="602" bestFit="1" customWidth="1"/>
    <col min="11273" max="11520" width="11.42578125" style="602"/>
    <col min="11521" max="11521" width="5.42578125" style="602" customWidth="1"/>
    <col min="11522" max="11522" width="38.140625" style="602" customWidth="1"/>
    <col min="11523" max="11524" width="11.42578125" style="602"/>
    <col min="11525" max="11525" width="21.5703125" style="602" bestFit="1" customWidth="1"/>
    <col min="11526" max="11526" width="11.5703125" style="602" bestFit="1" customWidth="1"/>
    <col min="11527" max="11527" width="15.28515625" style="602" bestFit="1" customWidth="1"/>
    <col min="11528" max="11528" width="15.85546875" style="602" bestFit="1" customWidth="1"/>
    <col min="11529" max="11776" width="11.42578125" style="602"/>
    <col min="11777" max="11777" width="5.42578125" style="602" customWidth="1"/>
    <col min="11778" max="11778" width="38.140625" style="602" customWidth="1"/>
    <col min="11779" max="11780" width="11.42578125" style="602"/>
    <col min="11781" max="11781" width="21.5703125" style="602" bestFit="1" customWidth="1"/>
    <col min="11782" max="11782" width="11.5703125" style="602" bestFit="1" customWidth="1"/>
    <col min="11783" max="11783" width="15.28515625" style="602" bestFit="1" customWidth="1"/>
    <col min="11784" max="11784" width="15.85546875" style="602" bestFit="1" customWidth="1"/>
    <col min="11785" max="12032" width="11.42578125" style="602"/>
    <col min="12033" max="12033" width="5.42578125" style="602" customWidth="1"/>
    <col min="12034" max="12034" width="38.140625" style="602" customWidth="1"/>
    <col min="12035" max="12036" width="11.42578125" style="602"/>
    <col min="12037" max="12037" width="21.5703125" style="602" bestFit="1" customWidth="1"/>
    <col min="12038" max="12038" width="11.5703125" style="602" bestFit="1" customWidth="1"/>
    <col min="12039" max="12039" width="15.28515625" style="602" bestFit="1" customWidth="1"/>
    <col min="12040" max="12040" width="15.85546875" style="602" bestFit="1" customWidth="1"/>
    <col min="12041" max="12288" width="11.42578125" style="602"/>
    <col min="12289" max="12289" width="5.42578125" style="602" customWidth="1"/>
    <col min="12290" max="12290" width="38.140625" style="602" customWidth="1"/>
    <col min="12291" max="12292" width="11.42578125" style="602"/>
    <col min="12293" max="12293" width="21.5703125" style="602" bestFit="1" customWidth="1"/>
    <col min="12294" max="12294" width="11.5703125" style="602" bestFit="1" customWidth="1"/>
    <col min="12295" max="12295" width="15.28515625" style="602" bestFit="1" customWidth="1"/>
    <col min="12296" max="12296" width="15.85546875" style="602" bestFit="1" customWidth="1"/>
    <col min="12297" max="12544" width="11.42578125" style="602"/>
    <col min="12545" max="12545" width="5.42578125" style="602" customWidth="1"/>
    <col min="12546" max="12546" width="38.140625" style="602" customWidth="1"/>
    <col min="12547" max="12548" width="11.42578125" style="602"/>
    <col min="12549" max="12549" width="21.5703125" style="602" bestFit="1" customWidth="1"/>
    <col min="12550" max="12550" width="11.5703125" style="602" bestFit="1" customWidth="1"/>
    <col min="12551" max="12551" width="15.28515625" style="602" bestFit="1" customWidth="1"/>
    <col min="12552" max="12552" width="15.85546875" style="602" bestFit="1" customWidth="1"/>
    <col min="12553" max="12800" width="11.42578125" style="602"/>
    <col min="12801" max="12801" width="5.42578125" style="602" customWidth="1"/>
    <col min="12802" max="12802" width="38.140625" style="602" customWidth="1"/>
    <col min="12803" max="12804" width="11.42578125" style="602"/>
    <col min="12805" max="12805" width="21.5703125" style="602" bestFit="1" customWidth="1"/>
    <col min="12806" max="12806" width="11.5703125" style="602" bestFit="1" customWidth="1"/>
    <col min="12807" max="12807" width="15.28515625" style="602" bestFit="1" customWidth="1"/>
    <col min="12808" max="12808" width="15.85546875" style="602" bestFit="1" customWidth="1"/>
    <col min="12809" max="13056" width="11.42578125" style="602"/>
    <col min="13057" max="13057" width="5.42578125" style="602" customWidth="1"/>
    <col min="13058" max="13058" width="38.140625" style="602" customWidth="1"/>
    <col min="13059" max="13060" width="11.42578125" style="602"/>
    <col min="13061" max="13061" width="21.5703125" style="602" bestFit="1" customWidth="1"/>
    <col min="13062" max="13062" width="11.5703125" style="602" bestFit="1" customWidth="1"/>
    <col min="13063" max="13063" width="15.28515625" style="602" bestFit="1" customWidth="1"/>
    <col min="13064" max="13064" width="15.85546875" style="602" bestFit="1" customWidth="1"/>
    <col min="13065" max="13312" width="11.42578125" style="602"/>
    <col min="13313" max="13313" width="5.42578125" style="602" customWidth="1"/>
    <col min="13314" max="13314" width="38.140625" style="602" customWidth="1"/>
    <col min="13315" max="13316" width="11.42578125" style="602"/>
    <col min="13317" max="13317" width="21.5703125" style="602" bestFit="1" customWidth="1"/>
    <col min="13318" max="13318" width="11.5703125" style="602" bestFit="1" customWidth="1"/>
    <col min="13319" max="13319" width="15.28515625" style="602" bestFit="1" customWidth="1"/>
    <col min="13320" max="13320" width="15.85546875" style="602" bestFit="1" customWidth="1"/>
    <col min="13321" max="13568" width="11.42578125" style="602"/>
    <col min="13569" max="13569" width="5.42578125" style="602" customWidth="1"/>
    <col min="13570" max="13570" width="38.140625" style="602" customWidth="1"/>
    <col min="13571" max="13572" width="11.42578125" style="602"/>
    <col min="13573" max="13573" width="21.5703125" style="602" bestFit="1" customWidth="1"/>
    <col min="13574" max="13574" width="11.5703125" style="602" bestFit="1" customWidth="1"/>
    <col min="13575" max="13575" width="15.28515625" style="602" bestFit="1" customWidth="1"/>
    <col min="13576" max="13576" width="15.85546875" style="602" bestFit="1" customWidth="1"/>
    <col min="13577" max="13824" width="11.42578125" style="602"/>
    <col min="13825" max="13825" width="5.42578125" style="602" customWidth="1"/>
    <col min="13826" max="13826" width="38.140625" style="602" customWidth="1"/>
    <col min="13827" max="13828" width="11.42578125" style="602"/>
    <col min="13829" max="13829" width="21.5703125" style="602" bestFit="1" customWidth="1"/>
    <col min="13830" max="13830" width="11.5703125" style="602" bestFit="1" customWidth="1"/>
    <col min="13831" max="13831" width="15.28515625" style="602" bestFit="1" customWidth="1"/>
    <col min="13832" max="13832" width="15.85546875" style="602" bestFit="1" customWidth="1"/>
    <col min="13833" max="14080" width="11.42578125" style="602"/>
    <col min="14081" max="14081" width="5.42578125" style="602" customWidth="1"/>
    <col min="14082" max="14082" width="38.140625" style="602" customWidth="1"/>
    <col min="14083" max="14084" width="11.42578125" style="602"/>
    <col min="14085" max="14085" width="21.5703125" style="602" bestFit="1" customWidth="1"/>
    <col min="14086" max="14086" width="11.5703125" style="602" bestFit="1" customWidth="1"/>
    <col min="14087" max="14087" width="15.28515625" style="602" bestFit="1" customWidth="1"/>
    <col min="14088" max="14088" width="15.85546875" style="602" bestFit="1" customWidth="1"/>
    <col min="14089" max="14336" width="11.42578125" style="602"/>
    <col min="14337" max="14337" width="5.42578125" style="602" customWidth="1"/>
    <col min="14338" max="14338" width="38.140625" style="602" customWidth="1"/>
    <col min="14339" max="14340" width="11.42578125" style="602"/>
    <col min="14341" max="14341" width="21.5703125" style="602" bestFit="1" customWidth="1"/>
    <col min="14342" max="14342" width="11.5703125" style="602" bestFit="1" customWidth="1"/>
    <col min="14343" max="14343" width="15.28515625" style="602" bestFit="1" customWidth="1"/>
    <col min="14344" max="14344" width="15.85546875" style="602" bestFit="1" customWidth="1"/>
    <col min="14345" max="14592" width="11.42578125" style="602"/>
    <col min="14593" max="14593" width="5.42578125" style="602" customWidth="1"/>
    <col min="14594" max="14594" width="38.140625" style="602" customWidth="1"/>
    <col min="14595" max="14596" width="11.42578125" style="602"/>
    <col min="14597" max="14597" width="21.5703125" style="602" bestFit="1" customWidth="1"/>
    <col min="14598" max="14598" width="11.5703125" style="602" bestFit="1" customWidth="1"/>
    <col min="14599" max="14599" width="15.28515625" style="602" bestFit="1" customWidth="1"/>
    <col min="14600" max="14600" width="15.85546875" style="602" bestFit="1" customWidth="1"/>
    <col min="14601" max="14848" width="11.42578125" style="602"/>
    <col min="14849" max="14849" width="5.42578125" style="602" customWidth="1"/>
    <col min="14850" max="14850" width="38.140625" style="602" customWidth="1"/>
    <col min="14851" max="14852" width="11.42578125" style="602"/>
    <col min="14853" max="14853" width="21.5703125" style="602" bestFit="1" customWidth="1"/>
    <col min="14854" max="14854" width="11.5703125" style="602" bestFit="1" customWidth="1"/>
    <col min="14855" max="14855" width="15.28515625" style="602" bestFit="1" customWidth="1"/>
    <col min="14856" max="14856" width="15.85546875" style="602" bestFit="1" customWidth="1"/>
    <col min="14857" max="15104" width="11.42578125" style="602"/>
    <col min="15105" max="15105" width="5.42578125" style="602" customWidth="1"/>
    <col min="15106" max="15106" width="38.140625" style="602" customWidth="1"/>
    <col min="15107" max="15108" width="11.42578125" style="602"/>
    <col min="15109" max="15109" width="21.5703125" style="602" bestFit="1" customWidth="1"/>
    <col min="15110" max="15110" width="11.5703125" style="602" bestFit="1" customWidth="1"/>
    <col min="15111" max="15111" width="15.28515625" style="602" bestFit="1" customWidth="1"/>
    <col min="15112" max="15112" width="15.85546875" style="602" bestFit="1" customWidth="1"/>
    <col min="15113" max="15360" width="11.42578125" style="602"/>
    <col min="15361" max="15361" width="5.42578125" style="602" customWidth="1"/>
    <col min="15362" max="15362" width="38.140625" style="602" customWidth="1"/>
    <col min="15363" max="15364" width="11.42578125" style="602"/>
    <col min="15365" max="15365" width="21.5703125" style="602" bestFit="1" customWidth="1"/>
    <col min="15366" max="15366" width="11.5703125" style="602" bestFit="1" customWidth="1"/>
    <col min="15367" max="15367" width="15.28515625" style="602" bestFit="1" customWidth="1"/>
    <col min="15368" max="15368" width="15.85546875" style="602" bestFit="1" customWidth="1"/>
    <col min="15369" max="15616" width="11.42578125" style="602"/>
    <col min="15617" max="15617" width="5.42578125" style="602" customWidth="1"/>
    <col min="15618" max="15618" width="38.140625" style="602" customWidth="1"/>
    <col min="15619" max="15620" width="11.42578125" style="602"/>
    <col min="15621" max="15621" width="21.5703125" style="602" bestFit="1" customWidth="1"/>
    <col min="15622" max="15622" width="11.5703125" style="602" bestFit="1" customWidth="1"/>
    <col min="15623" max="15623" width="15.28515625" style="602" bestFit="1" customWidth="1"/>
    <col min="15624" max="15624" width="15.85546875" style="602" bestFit="1" customWidth="1"/>
    <col min="15625" max="15872" width="11.42578125" style="602"/>
    <col min="15873" max="15873" width="5.42578125" style="602" customWidth="1"/>
    <col min="15874" max="15874" width="38.140625" style="602" customWidth="1"/>
    <col min="15875" max="15876" width="11.42578125" style="602"/>
    <col min="15877" max="15877" width="21.5703125" style="602" bestFit="1" customWidth="1"/>
    <col min="15878" max="15878" width="11.5703125" style="602" bestFit="1" customWidth="1"/>
    <col min="15879" max="15879" width="15.28515625" style="602" bestFit="1" customWidth="1"/>
    <col min="15880" max="15880" width="15.85546875" style="602" bestFit="1" customWidth="1"/>
    <col min="15881" max="16128" width="11.42578125" style="602"/>
    <col min="16129" max="16129" width="5.42578125" style="602" customWidth="1"/>
    <col min="16130" max="16130" width="38.140625" style="602" customWidth="1"/>
    <col min="16131" max="16132" width="11.42578125" style="602"/>
    <col min="16133" max="16133" width="21.5703125" style="602" bestFit="1" customWidth="1"/>
    <col min="16134" max="16134" width="11.5703125" style="602" bestFit="1" customWidth="1"/>
    <col min="16135" max="16135" width="15.28515625" style="602" bestFit="1" customWidth="1"/>
    <col min="16136" max="16136" width="15.85546875" style="602" bestFit="1" customWidth="1"/>
    <col min="16137" max="16384" width="11.42578125" style="602"/>
  </cols>
  <sheetData>
    <row r="1" spans="1:6" x14ac:dyDescent="0.2">
      <c r="A1" s="615" t="s">
        <v>295</v>
      </c>
      <c r="B1" s="616"/>
      <c r="C1" s="616"/>
      <c r="D1" s="616"/>
      <c r="E1" s="616"/>
      <c r="F1" s="763"/>
    </row>
    <row r="2" spans="1:6" x14ac:dyDescent="0.2">
      <c r="A2" s="617" t="s">
        <v>294</v>
      </c>
      <c r="B2" s="618"/>
      <c r="C2" s="618"/>
      <c r="D2" s="618"/>
      <c r="E2" s="618"/>
      <c r="F2" s="712"/>
    </row>
    <row r="3" spans="1:6" x14ac:dyDescent="0.2">
      <c r="A3" s="617" t="str">
        <f>+'[7]Clasific. Económica de Ingresos'!A3:E3</f>
        <v>PERIODO 2021</v>
      </c>
      <c r="B3" s="618"/>
      <c r="C3" s="618"/>
      <c r="D3" s="618"/>
      <c r="E3" s="618"/>
      <c r="F3" s="712"/>
    </row>
    <row r="4" spans="1:6" x14ac:dyDescent="0.2">
      <c r="A4" s="617" t="s">
        <v>633</v>
      </c>
      <c r="B4" s="618"/>
      <c r="C4" s="618"/>
      <c r="D4" s="618"/>
      <c r="E4" s="618"/>
      <c r="F4" s="712"/>
    </row>
    <row r="5" spans="1:6" ht="13.5" thickBot="1" x14ac:dyDescent="0.25">
      <c r="A5" s="238"/>
      <c r="D5" s="211"/>
      <c r="F5" s="603"/>
    </row>
    <row r="6" spans="1:6" ht="13.5" thickBot="1" x14ac:dyDescent="0.25">
      <c r="A6" s="375"/>
      <c r="B6" s="764" t="s">
        <v>634</v>
      </c>
      <c r="C6" s="765"/>
      <c r="D6" s="766"/>
      <c r="E6" s="766">
        <f>+E8+E10+E12+E14+E16+E18+E27+E41+E43</f>
        <v>10222323000.639223</v>
      </c>
      <c r="F6" s="491">
        <f>+F8+F10+F12+F14+F16+F18+F27+F41+F43</f>
        <v>100.00000000000001</v>
      </c>
    </row>
    <row r="7" spans="1:6" x14ac:dyDescent="0.2">
      <c r="A7" s="228"/>
      <c r="B7" s="768"/>
      <c r="C7" s="768"/>
      <c r="D7" s="443"/>
      <c r="E7" s="443"/>
      <c r="F7" s="769"/>
    </row>
    <row r="8" spans="1:6" x14ac:dyDescent="0.2">
      <c r="A8" s="238">
        <v>0</v>
      </c>
      <c r="B8" s="757" t="s">
        <v>586</v>
      </c>
      <c r="C8" s="757"/>
      <c r="D8" s="335"/>
      <c r="E8" s="335">
        <f>+[9]general!$H$13</f>
        <v>1586286407.3968234</v>
      </c>
      <c r="F8" s="312">
        <f>SUM(E8*100)/$E$6</f>
        <v>15.517866215904444</v>
      </c>
    </row>
    <row r="9" spans="1:6" x14ac:dyDescent="0.2">
      <c r="A9" s="238"/>
      <c r="B9" s="620"/>
      <c r="C9" s="620"/>
      <c r="D9" s="211"/>
      <c r="E9" s="211"/>
      <c r="F9" s="237"/>
    </row>
    <row r="10" spans="1:6" x14ac:dyDescent="0.2">
      <c r="A10" s="238">
        <v>1</v>
      </c>
      <c r="B10" s="757" t="s">
        <v>587</v>
      </c>
      <c r="C10" s="757"/>
      <c r="D10" s="335"/>
      <c r="E10" s="335">
        <f>+[9]general!$H$45</f>
        <v>1477356023.3824</v>
      </c>
      <c r="F10" s="312">
        <f>SUM(E10*100)/$E$6</f>
        <v>14.452253399643288</v>
      </c>
    </row>
    <row r="11" spans="1:6" x14ac:dyDescent="0.2">
      <c r="A11" s="238"/>
      <c r="B11" s="239"/>
      <c r="C11" s="239"/>
      <c r="D11" s="335"/>
      <c r="E11" s="335"/>
      <c r="F11" s="312"/>
    </row>
    <row r="12" spans="1:6" x14ac:dyDescent="0.2">
      <c r="A12" s="238">
        <v>2</v>
      </c>
      <c r="B12" s="757" t="s">
        <v>588</v>
      </c>
      <c r="C12" s="757"/>
      <c r="D12" s="335"/>
      <c r="E12" s="335">
        <f>+[9]general!$H$102</f>
        <v>846737013.46000004</v>
      </c>
      <c r="F12" s="312">
        <f>SUM(E12*100)/$E$6</f>
        <v>8.2832152085886133</v>
      </c>
    </row>
    <row r="13" spans="1:6" x14ac:dyDescent="0.2">
      <c r="A13" s="238"/>
      <c r="B13" s="620"/>
      <c r="C13" s="620"/>
      <c r="D13" s="248"/>
      <c r="E13" s="248"/>
      <c r="F13" s="312"/>
    </row>
    <row r="14" spans="1:6" hidden="1" x14ac:dyDescent="0.2">
      <c r="A14" s="238">
        <v>3</v>
      </c>
      <c r="B14" s="757" t="s">
        <v>589</v>
      </c>
      <c r="C14" s="757"/>
      <c r="D14" s="335"/>
      <c r="E14" s="335">
        <f>+[9]general!$H$132</f>
        <v>0</v>
      </c>
      <c r="F14" s="312">
        <f>SUM(E14*100)/$E$6</f>
        <v>0</v>
      </c>
    </row>
    <row r="15" spans="1:6" hidden="1" x14ac:dyDescent="0.2">
      <c r="A15" s="238"/>
      <c r="B15" s="620"/>
      <c r="C15" s="620"/>
      <c r="D15" s="335"/>
      <c r="E15" s="335"/>
      <c r="F15" s="312"/>
    </row>
    <row r="16" spans="1:6" x14ac:dyDescent="0.2">
      <c r="A16" s="238">
        <v>5</v>
      </c>
      <c r="B16" s="757" t="s">
        <v>590</v>
      </c>
      <c r="C16" s="757"/>
      <c r="D16" s="335"/>
      <c r="E16" s="335">
        <f>+[9]general!$H$137</f>
        <v>6198025384.6700001</v>
      </c>
      <c r="F16" s="312">
        <f>SUM(E16*100)/$E$6</f>
        <v>60.632259265163356</v>
      </c>
    </row>
    <row r="17" spans="1:8" x14ac:dyDescent="0.2">
      <c r="A17" s="238"/>
      <c r="B17" s="620" t="s">
        <v>15</v>
      </c>
      <c r="C17" s="620"/>
      <c r="D17" s="248"/>
      <c r="E17" s="248" t="s">
        <v>15</v>
      </c>
      <c r="F17" s="312" t="s">
        <v>15</v>
      </c>
    </row>
    <row r="18" spans="1:8" x14ac:dyDescent="0.2">
      <c r="A18" s="238">
        <v>6</v>
      </c>
      <c r="B18" s="757" t="s">
        <v>591</v>
      </c>
      <c r="C18" s="757"/>
      <c r="D18" s="335"/>
      <c r="E18" s="335">
        <f>+[9]general!$H$162</f>
        <v>42560218.18</v>
      </c>
      <c r="F18" s="312">
        <f>SUM(E18*100)/$E$6</f>
        <v>0.4163458558034081</v>
      </c>
    </row>
    <row r="19" spans="1:8" x14ac:dyDescent="0.2">
      <c r="A19" s="238"/>
      <c r="B19" s="239"/>
      <c r="C19" s="239"/>
      <c r="D19" s="248"/>
      <c r="E19" s="248"/>
      <c r="F19" s="312"/>
    </row>
    <row r="20" spans="1:8" x14ac:dyDescent="0.2">
      <c r="A20" s="718">
        <v>3</v>
      </c>
      <c r="B20" s="785" t="s">
        <v>615</v>
      </c>
      <c r="C20" s="785"/>
      <c r="D20" s="256"/>
      <c r="E20" s="256">
        <f>SUM(E21:E22)</f>
        <v>35560218.18</v>
      </c>
      <c r="F20" s="364">
        <f>SUM(D20*100)/$E$6</f>
        <v>0</v>
      </c>
    </row>
    <row r="21" spans="1:8" x14ac:dyDescent="0.2">
      <c r="A21" s="774">
        <v>1</v>
      </c>
      <c r="B21" s="775" t="s">
        <v>616</v>
      </c>
      <c r="C21" s="775"/>
      <c r="D21" s="355"/>
      <c r="E21" s="355">
        <f>+[9]general!$H$177</f>
        <v>12460218.18</v>
      </c>
      <c r="F21" s="364">
        <f>SUM(E21*100)/$E$6</f>
        <v>0.121892237011302</v>
      </c>
    </row>
    <row r="22" spans="1:8" x14ac:dyDescent="0.2">
      <c r="A22" s="774">
        <v>99</v>
      </c>
      <c r="B22" s="427" t="s">
        <v>635</v>
      </c>
      <c r="C22" s="427"/>
      <c r="D22" s="355"/>
      <c r="E22" s="355">
        <f>+[9]general!$H$181</f>
        <v>23100000</v>
      </c>
      <c r="F22" s="364"/>
    </row>
    <row r="23" spans="1:8" hidden="1" x14ac:dyDescent="0.2">
      <c r="A23" s="718">
        <v>6</v>
      </c>
      <c r="B23" s="427" t="s">
        <v>623</v>
      </c>
      <c r="C23" s="427"/>
      <c r="D23" s="355"/>
      <c r="E23" s="355">
        <f>SUM(E24:E25)</f>
        <v>7000000</v>
      </c>
      <c r="F23" s="364">
        <f>SUM(D23*100)/$E$6</f>
        <v>0</v>
      </c>
    </row>
    <row r="24" spans="1:8" hidden="1" x14ac:dyDescent="0.2">
      <c r="A24" s="774">
        <v>1</v>
      </c>
      <c r="B24" s="775" t="s">
        <v>623</v>
      </c>
      <c r="C24" s="775"/>
      <c r="D24" s="355"/>
      <c r="E24" s="355">
        <f>+[9]general!$H$190</f>
        <v>7000000</v>
      </c>
      <c r="F24" s="364">
        <f>SUM(E24*100)/$E$6</f>
        <v>6.8477585765606072E-2</v>
      </c>
    </row>
    <row r="25" spans="1:8" hidden="1" x14ac:dyDescent="0.2">
      <c r="A25" s="774">
        <v>2</v>
      </c>
      <c r="B25" s="427" t="s">
        <v>624</v>
      </c>
      <c r="C25" s="427"/>
      <c r="D25" s="355"/>
      <c r="E25" s="355">
        <f>+[9]general!$H$191</f>
        <v>0</v>
      </c>
      <c r="F25" s="364">
        <f>SUM(E25*100)/$E$6</f>
        <v>0</v>
      </c>
    </row>
    <row r="26" spans="1:8" x14ac:dyDescent="0.2">
      <c r="A26" s="238"/>
      <c r="D26" s="248"/>
      <c r="E26" s="248"/>
      <c r="F26" s="312"/>
    </row>
    <row r="27" spans="1:8" hidden="1" x14ac:dyDescent="0.2">
      <c r="A27" s="238">
        <v>7</v>
      </c>
      <c r="B27" s="757" t="s">
        <v>592</v>
      </c>
      <c r="C27" s="757"/>
      <c r="E27" s="335">
        <f>+[9]general!$H$193</f>
        <v>0</v>
      </c>
      <c r="F27" s="312">
        <f>SUM(E27*100)/$E$6</f>
        <v>0</v>
      </c>
      <c r="H27" s="211">
        <f>+E27+E43</f>
        <v>71357953.549999997</v>
      </c>
    </row>
    <row r="28" spans="1:8" ht="20.25" hidden="1" customHeight="1" x14ac:dyDescent="0.2">
      <c r="A28" s="238">
        <v>1</v>
      </c>
      <c r="B28" s="239" t="s">
        <v>636</v>
      </c>
      <c r="C28" s="239"/>
      <c r="D28" s="335"/>
      <c r="E28" s="335">
        <f>SUM(E29:E30)+E34</f>
        <v>0</v>
      </c>
      <c r="F28" s="312"/>
    </row>
    <row r="29" spans="1:8" ht="12.75" hidden="1" customHeight="1" x14ac:dyDescent="0.2">
      <c r="A29" s="774">
        <v>1</v>
      </c>
      <c r="B29" s="779" t="s">
        <v>637</v>
      </c>
      <c r="C29" s="779"/>
      <c r="D29" s="772"/>
      <c r="E29" s="772">
        <f>+[9]general!$H$195</f>
        <v>0</v>
      </c>
      <c r="F29" s="364"/>
    </row>
    <row r="30" spans="1:8" s="427" customFormat="1" ht="12.75" hidden="1" customHeight="1" x14ac:dyDescent="0.2">
      <c r="A30" s="774">
        <v>3</v>
      </c>
      <c r="B30" s="779" t="s">
        <v>625</v>
      </c>
      <c r="C30" s="779"/>
      <c r="D30" s="772"/>
      <c r="E30" s="772">
        <f>+[9]general!$H$197</f>
        <v>0</v>
      </c>
      <c r="F30" s="364">
        <f>SUM(D30*100)/$E$6</f>
        <v>0</v>
      </c>
    </row>
    <row r="31" spans="1:8" s="427" customFormat="1" ht="12.75" hidden="1" customHeight="1" x14ac:dyDescent="0.2">
      <c r="A31" s="774"/>
      <c r="B31" s="788" t="s">
        <v>638</v>
      </c>
      <c r="C31" s="788"/>
      <c r="D31" s="772"/>
      <c r="E31" s="772">
        <v>0</v>
      </c>
      <c r="F31" s="364"/>
    </row>
    <row r="32" spans="1:8" s="427" customFormat="1" ht="12.75" hidden="1" customHeight="1" x14ac:dyDescent="0.2">
      <c r="A32" s="718"/>
      <c r="B32" s="779" t="s">
        <v>639</v>
      </c>
      <c r="C32" s="779"/>
      <c r="D32" s="772"/>
      <c r="E32" s="772">
        <f>-E31</f>
        <v>0</v>
      </c>
      <c r="F32" s="364"/>
      <c r="G32" s="355">
        <f>+E32+E31</f>
        <v>0</v>
      </c>
    </row>
    <row r="33" spans="1:7" s="427" customFormat="1" ht="12.75" hidden="1" customHeight="1" x14ac:dyDescent="0.2">
      <c r="A33" s="718"/>
      <c r="B33" s="780" t="s">
        <v>626</v>
      </c>
      <c r="C33" s="544"/>
      <c r="D33" s="772"/>
      <c r="E33" s="772">
        <v>0</v>
      </c>
      <c r="F33" s="364">
        <f>SUM(D33*100)/$E$6</f>
        <v>0</v>
      </c>
    </row>
    <row r="34" spans="1:7" s="427" customFormat="1" ht="12.75" hidden="1" customHeight="1" x14ac:dyDescent="0.2">
      <c r="A34" s="774">
        <v>4</v>
      </c>
      <c r="B34" s="779" t="s">
        <v>211</v>
      </c>
      <c r="C34" s="779"/>
      <c r="D34" s="772"/>
      <c r="E34" s="772">
        <f>+[9]general!$H$198</f>
        <v>0</v>
      </c>
      <c r="F34" s="364"/>
    </row>
    <row r="35" spans="1:7" s="427" customFormat="1" ht="12.75" hidden="1" customHeight="1" x14ac:dyDescent="0.2">
      <c r="A35" s="774">
        <v>7</v>
      </c>
      <c r="B35" s="779" t="s">
        <v>627</v>
      </c>
      <c r="C35" s="779"/>
      <c r="D35" s="772"/>
      <c r="E35" s="772">
        <f>+E36</f>
        <v>0</v>
      </c>
      <c r="F35" s="364">
        <f>SUM(D35*100)/$E$6</f>
        <v>0</v>
      </c>
    </row>
    <row r="36" spans="1:7" s="427" customFormat="1" ht="12.75" hidden="1" customHeight="1" x14ac:dyDescent="0.2">
      <c r="A36" s="718"/>
      <c r="B36" s="780" t="s">
        <v>628</v>
      </c>
      <c r="C36" s="544"/>
      <c r="D36" s="772"/>
      <c r="E36" s="772">
        <v>0</v>
      </c>
      <c r="F36" s="364">
        <f>SUM(D36*100)/$E$6</f>
        <v>0</v>
      </c>
    </row>
    <row r="37" spans="1:7" s="544" customFormat="1" ht="12.75" hidden="1" customHeight="1" x14ac:dyDescent="0.2">
      <c r="A37" s="718">
        <v>3</v>
      </c>
      <c r="B37" s="777" t="s">
        <v>640</v>
      </c>
      <c r="C37" s="777"/>
      <c r="E37" s="789">
        <f>+[9]general!$H$203</f>
        <v>0</v>
      </c>
      <c r="F37" s="364"/>
    </row>
    <row r="38" spans="1:7" s="427" customFormat="1" hidden="1" x14ac:dyDescent="0.2">
      <c r="A38" s="718"/>
      <c r="B38" s="780" t="s">
        <v>641</v>
      </c>
      <c r="C38" s="780"/>
      <c r="D38" s="780"/>
      <c r="E38" s="790">
        <f>+[9]general!$H$204</f>
        <v>0</v>
      </c>
      <c r="F38" s="364"/>
      <c r="G38" s="355">
        <f>+E38+E32+E31</f>
        <v>0</v>
      </c>
    </row>
    <row r="39" spans="1:7" s="427" customFormat="1" hidden="1" x14ac:dyDescent="0.2">
      <c r="A39" s="718"/>
      <c r="B39" s="779" t="s">
        <v>642</v>
      </c>
      <c r="C39" s="779"/>
      <c r="D39" s="772"/>
      <c r="E39" s="790">
        <f>+[9]general!$H$207</f>
        <v>0</v>
      </c>
      <c r="F39" s="364"/>
    </row>
    <row r="40" spans="1:7" ht="13.5" hidden="1" thickBot="1" x14ac:dyDescent="0.25">
      <c r="A40" s="452"/>
      <c r="B40" s="759"/>
      <c r="C40" s="759"/>
      <c r="D40" s="441"/>
      <c r="E40" s="441"/>
      <c r="F40" s="731"/>
    </row>
    <row r="41" spans="1:7" hidden="1" x14ac:dyDescent="0.2">
      <c r="A41" s="238">
        <v>8</v>
      </c>
      <c r="B41" s="757" t="s">
        <v>593</v>
      </c>
      <c r="C41" s="757"/>
      <c r="E41" s="335">
        <f>+[9]general!$H$209</f>
        <v>0</v>
      </c>
      <c r="F41" s="312">
        <f>SUM(E41*100)/$E$6</f>
        <v>0</v>
      </c>
    </row>
    <row r="42" spans="1:7" ht="13.5" hidden="1" customHeight="1" x14ac:dyDescent="0.2">
      <c r="A42" s="238"/>
      <c r="B42" s="620"/>
      <c r="C42" s="620"/>
      <c r="E42" s="211"/>
      <c r="F42" s="237"/>
    </row>
    <row r="43" spans="1:7" ht="13.5" thickBot="1" x14ac:dyDescent="0.25">
      <c r="A43" s="452">
        <v>9</v>
      </c>
      <c r="B43" s="781" t="s">
        <v>594</v>
      </c>
      <c r="C43" s="781"/>
      <c r="D43" s="782"/>
      <c r="E43" s="782">
        <f>+[9]general!$H$215</f>
        <v>71357953.549999997</v>
      </c>
      <c r="F43" s="791">
        <f>SUM(E43*100)/$E$6</f>
        <v>0.69806005489689416</v>
      </c>
    </row>
    <row r="45" spans="1:7" x14ac:dyDescent="0.2">
      <c r="E45" s="786">
        <f>+E6/'Detalle General de Egresos'!E7</f>
        <v>0.32469508646899276</v>
      </c>
    </row>
  </sheetData>
  <mergeCells count="31">
    <mergeCell ref="B43:C43"/>
    <mergeCell ref="B35:C35"/>
    <mergeCell ref="B37:C37"/>
    <mergeCell ref="B39:C39"/>
    <mergeCell ref="B40:C40"/>
    <mergeCell ref="B41:C41"/>
    <mergeCell ref="B42:C42"/>
    <mergeCell ref="B24:C24"/>
    <mergeCell ref="B27:C27"/>
    <mergeCell ref="B29:C29"/>
    <mergeCell ref="B30:C30"/>
    <mergeCell ref="B32:C32"/>
    <mergeCell ref="B34:C34"/>
    <mergeCell ref="B15:C15"/>
    <mergeCell ref="B16:C16"/>
    <mergeCell ref="B17:C17"/>
    <mergeCell ref="B18:C18"/>
    <mergeCell ref="B20:C20"/>
    <mergeCell ref="B21:C21"/>
    <mergeCell ref="B8:C8"/>
    <mergeCell ref="B9:C9"/>
    <mergeCell ref="B10:C10"/>
    <mergeCell ref="B12:C12"/>
    <mergeCell ref="B13:C13"/>
    <mergeCell ref="B14:C14"/>
    <mergeCell ref="A1:F1"/>
    <mergeCell ref="A2:F2"/>
    <mergeCell ref="A3:F3"/>
    <mergeCell ref="A4:F4"/>
    <mergeCell ref="B6:C6"/>
    <mergeCell ref="B7:C7"/>
  </mergeCells>
  <pageMargins left="0.75" right="0.75" top="1" bottom="1" header="0" footer="0"/>
  <pageSetup scale="89" orientation="portrait" horizontalDpi="4294967295"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23FD-F773-4500-84AA-AB08AD13E297}">
  <dimension ref="A1:AD744"/>
  <sheetViews>
    <sheetView view="pageBreakPreview" topLeftCell="A665" zoomScaleNormal="75" zoomScaleSheetLayoutView="100" workbookViewId="0">
      <selection activeCell="K348" sqref="K348"/>
    </sheetView>
  </sheetViews>
  <sheetFormatPr baseColWidth="10" defaultRowHeight="12.75" x14ac:dyDescent="0.2"/>
  <cols>
    <col min="1" max="1" width="21.28515625" style="602" customWidth="1"/>
    <col min="2" max="2" width="41.7109375" style="602" customWidth="1"/>
    <col min="3" max="3" width="18.28515625" style="602" bestFit="1" customWidth="1"/>
    <col min="4" max="4" width="4.7109375" style="602" customWidth="1"/>
    <col min="5" max="5" width="5.5703125" style="602" customWidth="1"/>
    <col min="6" max="6" width="4.7109375" style="602" customWidth="1"/>
    <col min="7" max="7" width="37.85546875" style="299" customWidth="1"/>
    <col min="8" max="8" width="0.140625" style="299" hidden="1" customWidth="1"/>
    <col min="9" max="11" width="18.28515625" style="236" bestFit="1" customWidth="1"/>
    <col min="12" max="13" width="17.140625" style="236" bestFit="1" customWidth="1"/>
    <col min="14" max="14" width="4.5703125" style="211" customWidth="1"/>
    <col min="15" max="15" width="25.7109375" style="211" customWidth="1"/>
    <col min="16" max="16" width="19.140625" style="792" customWidth="1"/>
    <col min="17" max="17" width="17.7109375" style="211" bestFit="1" customWidth="1"/>
    <col min="18" max="18" width="20.140625" style="602" bestFit="1" customWidth="1"/>
    <col min="19" max="256" width="11.42578125" style="602"/>
    <col min="257" max="257" width="21.28515625" style="602" customWidth="1"/>
    <col min="258" max="258" width="41.7109375" style="602" customWidth="1"/>
    <col min="259" max="259" width="18.28515625" style="602" bestFit="1" customWidth="1"/>
    <col min="260" max="260" width="4.7109375" style="602" customWidth="1"/>
    <col min="261" max="261" width="5.5703125" style="602" customWidth="1"/>
    <col min="262" max="262" width="4.7109375" style="602" customWidth="1"/>
    <col min="263" max="263" width="37.85546875" style="602" customWidth="1"/>
    <col min="264" max="264" width="0" style="602" hidden="1" customWidth="1"/>
    <col min="265" max="267" width="18.28515625" style="602" bestFit="1" customWidth="1"/>
    <col min="268" max="269" width="17.140625" style="602" bestFit="1" customWidth="1"/>
    <col min="270" max="270" width="4.5703125" style="602" customWidth="1"/>
    <col min="271" max="271" width="25.7109375" style="602" customWidth="1"/>
    <col min="272" max="272" width="19.140625" style="602" customWidth="1"/>
    <col min="273" max="273" width="17.7109375" style="602" bestFit="1" customWidth="1"/>
    <col min="274" max="274" width="20.140625" style="602" bestFit="1" customWidth="1"/>
    <col min="275" max="512" width="11.42578125" style="602"/>
    <col min="513" max="513" width="21.28515625" style="602" customWidth="1"/>
    <col min="514" max="514" width="41.7109375" style="602" customWidth="1"/>
    <col min="515" max="515" width="18.28515625" style="602" bestFit="1" customWidth="1"/>
    <col min="516" max="516" width="4.7109375" style="602" customWidth="1"/>
    <col min="517" max="517" width="5.5703125" style="602" customWidth="1"/>
    <col min="518" max="518" width="4.7109375" style="602" customWidth="1"/>
    <col min="519" max="519" width="37.85546875" style="602" customWidth="1"/>
    <col min="520" max="520" width="0" style="602" hidden="1" customWidth="1"/>
    <col min="521" max="523" width="18.28515625" style="602" bestFit="1" customWidth="1"/>
    <col min="524" max="525" width="17.140625" style="602" bestFit="1" customWidth="1"/>
    <col min="526" max="526" width="4.5703125" style="602" customWidth="1"/>
    <col min="527" max="527" width="25.7109375" style="602" customWidth="1"/>
    <col min="528" max="528" width="19.140625" style="602" customWidth="1"/>
    <col min="529" max="529" width="17.7109375" style="602" bestFit="1" customWidth="1"/>
    <col min="530" max="530" width="20.140625" style="602" bestFit="1" customWidth="1"/>
    <col min="531" max="768" width="11.42578125" style="602"/>
    <col min="769" max="769" width="21.28515625" style="602" customWidth="1"/>
    <col min="770" max="770" width="41.7109375" style="602" customWidth="1"/>
    <col min="771" max="771" width="18.28515625" style="602" bestFit="1" customWidth="1"/>
    <col min="772" max="772" width="4.7109375" style="602" customWidth="1"/>
    <col min="773" max="773" width="5.5703125" style="602" customWidth="1"/>
    <col min="774" max="774" width="4.7109375" style="602" customWidth="1"/>
    <col min="775" max="775" width="37.85546875" style="602" customWidth="1"/>
    <col min="776" max="776" width="0" style="602" hidden="1" customWidth="1"/>
    <col min="777" max="779" width="18.28515625" style="602" bestFit="1" customWidth="1"/>
    <col min="780" max="781" width="17.140625" style="602" bestFit="1" customWidth="1"/>
    <col min="782" max="782" width="4.5703125" style="602" customWidth="1"/>
    <col min="783" max="783" width="25.7109375" style="602" customWidth="1"/>
    <col min="784" max="784" width="19.140625" style="602" customWidth="1"/>
    <col min="785" max="785" width="17.7109375" style="602" bestFit="1" customWidth="1"/>
    <col min="786" max="786" width="20.140625" style="602" bestFit="1" customWidth="1"/>
    <col min="787" max="1024" width="11.42578125" style="602"/>
    <col min="1025" max="1025" width="21.28515625" style="602" customWidth="1"/>
    <col min="1026" max="1026" width="41.7109375" style="602" customWidth="1"/>
    <col min="1027" max="1027" width="18.28515625" style="602" bestFit="1" customWidth="1"/>
    <col min="1028" max="1028" width="4.7109375" style="602" customWidth="1"/>
    <col min="1029" max="1029" width="5.5703125" style="602" customWidth="1"/>
    <col min="1030" max="1030" width="4.7109375" style="602" customWidth="1"/>
    <col min="1031" max="1031" width="37.85546875" style="602" customWidth="1"/>
    <col min="1032" max="1032" width="0" style="602" hidden="1" customWidth="1"/>
    <col min="1033" max="1035" width="18.28515625" style="602" bestFit="1" customWidth="1"/>
    <col min="1036" max="1037" width="17.140625" style="602" bestFit="1" customWidth="1"/>
    <col min="1038" max="1038" width="4.5703125" style="602" customWidth="1"/>
    <col min="1039" max="1039" width="25.7109375" style="602" customWidth="1"/>
    <col min="1040" max="1040" width="19.140625" style="602" customWidth="1"/>
    <col min="1041" max="1041" width="17.7109375" style="602" bestFit="1" customWidth="1"/>
    <col min="1042" max="1042" width="20.140625" style="602" bestFit="1" customWidth="1"/>
    <col min="1043" max="1280" width="11.42578125" style="602"/>
    <col min="1281" max="1281" width="21.28515625" style="602" customWidth="1"/>
    <col min="1282" max="1282" width="41.7109375" style="602" customWidth="1"/>
    <col min="1283" max="1283" width="18.28515625" style="602" bestFit="1" customWidth="1"/>
    <col min="1284" max="1284" width="4.7109375" style="602" customWidth="1"/>
    <col min="1285" max="1285" width="5.5703125" style="602" customWidth="1"/>
    <col min="1286" max="1286" width="4.7109375" style="602" customWidth="1"/>
    <col min="1287" max="1287" width="37.85546875" style="602" customWidth="1"/>
    <col min="1288" max="1288" width="0" style="602" hidden="1" customWidth="1"/>
    <col min="1289" max="1291" width="18.28515625" style="602" bestFit="1" customWidth="1"/>
    <col min="1292" max="1293" width="17.140625" style="602" bestFit="1" customWidth="1"/>
    <col min="1294" max="1294" width="4.5703125" style="602" customWidth="1"/>
    <col min="1295" max="1295" width="25.7109375" style="602" customWidth="1"/>
    <col min="1296" max="1296" width="19.140625" style="602" customWidth="1"/>
    <col min="1297" max="1297" width="17.7109375" style="602" bestFit="1" customWidth="1"/>
    <col min="1298" max="1298" width="20.140625" style="602" bestFit="1" customWidth="1"/>
    <col min="1299" max="1536" width="11.42578125" style="602"/>
    <col min="1537" max="1537" width="21.28515625" style="602" customWidth="1"/>
    <col min="1538" max="1538" width="41.7109375" style="602" customWidth="1"/>
    <col min="1539" max="1539" width="18.28515625" style="602" bestFit="1" customWidth="1"/>
    <col min="1540" max="1540" width="4.7109375" style="602" customWidth="1"/>
    <col min="1541" max="1541" width="5.5703125" style="602" customWidth="1"/>
    <col min="1542" max="1542" width="4.7109375" style="602" customWidth="1"/>
    <col min="1543" max="1543" width="37.85546875" style="602" customWidth="1"/>
    <col min="1544" max="1544" width="0" style="602" hidden="1" customWidth="1"/>
    <col min="1545" max="1547" width="18.28515625" style="602" bestFit="1" customWidth="1"/>
    <col min="1548" max="1549" width="17.140625" style="602" bestFit="1" customWidth="1"/>
    <col min="1550" max="1550" width="4.5703125" style="602" customWidth="1"/>
    <col min="1551" max="1551" width="25.7109375" style="602" customWidth="1"/>
    <col min="1552" max="1552" width="19.140625" style="602" customWidth="1"/>
    <col min="1553" max="1553" width="17.7109375" style="602" bestFit="1" customWidth="1"/>
    <col min="1554" max="1554" width="20.140625" style="602" bestFit="1" customWidth="1"/>
    <col min="1555" max="1792" width="11.42578125" style="602"/>
    <col min="1793" max="1793" width="21.28515625" style="602" customWidth="1"/>
    <col min="1794" max="1794" width="41.7109375" style="602" customWidth="1"/>
    <col min="1795" max="1795" width="18.28515625" style="602" bestFit="1" customWidth="1"/>
    <col min="1796" max="1796" width="4.7109375" style="602" customWidth="1"/>
    <col min="1797" max="1797" width="5.5703125" style="602" customWidth="1"/>
    <col min="1798" max="1798" width="4.7109375" style="602" customWidth="1"/>
    <col min="1799" max="1799" width="37.85546875" style="602" customWidth="1"/>
    <col min="1800" max="1800" width="0" style="602" hidden="1" customWidth="1"/>
    <col min="1801" max="1803" width="18.28515625" style="602" bestFit="1" customWidth="1"/>
    <col min="1804" max="1805" width="17.140625" style="602" bestFit="1" customWidth="1"/>
    <col min="1806" max="1806" width="4.5703125" style="602" customWidth="1"/>
    <col min="1807" max="1807" width="25.7109375" style="602" customWidth="1"/>
    <col min="1808" max="1808" width="19.140625" style="602" customWidth="1"/>
    <col min="1809" max="1809" width="17.7109375" style="602" bestFit="1" customWidth="1"/>
    <col min="1810" max="1810" width="20.140625" style="602" bestFit="1" customWidth="1"/>
    <col min="1811" max="2048" width="11.42578125" style="602"/>
    <col min="2049" max="2049" width="21.28515625" style="602" customWidth="1"/>
    <col min="2050" max="2050" width="41.7109375" style="602" customWidth="1"/>
    <col min="2051" max="2051" width="18.28515625" style="602" bestFit="1" customWidth="1"/>
    <col min="2052" max="2052" width="4.7109375" style="602" customWidth="1"/>
    <col min="2053" max="2053" width="5.5703125" style="602" customWidth="1"/>
    <col min="2054" max="2054" width="4.7109375" style="602" customWidth="1"/>
    <col min="2055" max="2055" width="37.85546875" style="602" customWidth="1"/>
    <col min="2056" max="2056" width="0" style="602" hidden="1" customWidth="1"/>
    <col min="2057" max="2059" width="18.28515625" style="602" bestFit="1" customWidth="1"/>
    <col min="2060" max="2061" width="17.140625" style="602" bestFit="1" customWidth="1"/>
    <col min="2062" max="2062" width="4.5703125" style="602" customWidth="1"/>
    <col min="2063" max="2063" width="25.7109375" style="602" customWidth="1"/>
    <col min="2064" max="2064" width="19.140625" style="602" customWidth="1"/>
    <col min="2065" max="2065" width="17.7109375" style="602" bestFit="1" customWidth="1"/>
    <col min="2066" max="2066" width="20.140625" style="602" bestFit="1" customWidth="1"/>
    <col min="2067" max="2304" width="11.42578125" style="602"/>
    <col min="2305" max="2305" width="21.28515625" style="602" customWidth="1"/>
    <col min="2306" max="2306" width="41.7109375" style="602" customWidth="1"/>
    <col min="2307" max="2307" width="18.28515625" style="602" bestFit="1" customWidth="1"/>
    <col min="2308" max="2308" width="4.7109375" style="602" customWidth="1"/>
    <col min="2309" max="2309" width="5.5703125" style="602" customWidth="1"/>
    <col min="2310" max="2310" width="4.7109375" style="602" customWidth="1"/>
    <col min="2311" max="2311" width="37.85546875" style="602" customWidth="1"/>
    <col min="2312" max="2312" width="0" style="602" hidden="1" customWidth="1"/>
    <col min="2313" max="2315" width="18.28515625" style="602" bestFit="1" customWidth="1"/>
    <col min="2316" max="2317" width="17.140625" style="602" bestFit="1" customWidth="1"/>
    <col min="2318" max="2318" width="4.5703125" style="602" customWidth="1"/>
    <col min="2319" max="2319" width="25.7109375" style="602" customWidth="1"/>
    <col min="2320" max="2320" width="19.140625" style="602" customWidth="1"/>
    <col min="2321" max="2321" width="17.7109375" style="602" bestFit="1" customWidth="1"/>
    <col min="2322" max="2322" width="20.140625" style="602" bestFit="1" customWidth="1"/>
    <col min="2323" max="2560" width="11.42578125" style="602"/>
    <col min="2561" max="2561" width="21.28515625" style="602" customWidth="1"/>
    <col min="2562" max="2562" width="41.7109375" style="602" customWidth="1"/>
    <col min="2563" max="2563" width="18.28515625" style="602" bestFit="1" customWidth="1"/>
    <col min="2564" max="2564" width="4.7109375" style="602" customWidth="1"/>
    <col min="2565" max="2565" width="5.5703125" style="602" customWidth="1"/>
    <col min="2566" max="2566" width="4.7109375" style="602" customWidth="1"/>
    <col min="2567" max="2567" width="37.85546875" style="602" customWidth="1"/>
    <col min="2568" max="2568" width="0" style="602" hidden="1" customWidth="1"/>
    <col min="2569" max="2571" width="18.28515625" style="602" bestFit="1" customWidth="1"/>
    <col min="2572" max="2573" width="17.140625" style="602" bestFit="1" customWidth="1"/>
    <col min="2574" max="2574" width="4.5703125" style="602" customWidth="1"/>
    <col min="2575" max="2575" width="25.7109375" style="602" customWidth="1"/>
    <col min="2576" max="2576" width="19.140625" style="602" customWidth="1"/>
    <col min="2577" max="2577" width="17.7109375" style="602" bestFit="1" customWidth="1"/>
    <col min="2578" max="2578" width="20.140625" style="602" bestFit="1" customWidth="1"/>
    <col min="2579" max="2816" width="11.42578125" style="602"/>
    <col min="2817" max="2817" width="21.28515625" style="602" customWidth="1"/>
    <col min="2818" max="2818" width="41.7109375" style="602" customWidth="1"/>
    <col min="2819" max="2819" width="18.28515625" style="602" bestFit="1" customWidth="1"/>
    <col min="2820" max="2820" width="4.7109375" style="602" customWidth="1"/>
    <col min="2821" max="2821" width="5.5703125" style="602" customWidth="1"/>
    <col min="2822" max="2822" width="4.7109375" style="602" customWidth="1"/>
    <col min="2823" max="2823" width="37.85546875" style="602" customWidth="1"/>
    <col min="2824" max="2824" width="0" style="602" hidden="1" customWidth="1"/>
    <col min="2825" max="2827" width="18.28515625" style="602" bestFit="1" customWidth="1"/>
    <col min="2828" max="2829" width="17.140625" style="602" bestFit="1" customWidth="1"/>
    <col min="2830" max="2830" width="4.5703125" style="602" customWidth="1"/>
    <col min="2831" max="2831" width="25.7109375" style="602" customWidth="1"/>
    <col min="2832" max="2832" width="19.140625" style="602" customWidth="1"/>
    <col min="2833" max="2833" width="17.7109375" style="602" bestFit="1" customWidth="1"/>
    <col min="2834" max="2834" width="20.140625" style="602" bestFit="1" customWidth="1"/>
    <col min="2835" max="3072" width="11.42578125" style="602"/>
    <col min="3073" max="3073" width="21.28515625" style="602" customWidth="1"/>
    <col min="3074" max="3074" width="41.7109375" style="602" customWidth="1"/>
    <col min="3075" max="3075" width="18.28515625" style="602" bestFit="1" customWidth="1"/>
    <col min="3076" max="3076" width="4.7109375" style="602" customWidth="1"/>
    <col min="3077" max="3077" width="5.5703125" style="602" customWidth="1"/>
    <col min="3078" max="3078" width="4.7109375" style="602" customWidth="1"/>
    <col min="3079" max="3079" width="37.85546875" style="602" customWidth="1"/>
    <col min="3080" max="3080" width="0" style="602" hidden="1" customWidth="1"/>
    <col min="3081" max="3083" width="18.28515625" style="602" bestFit="1" customWidth="1"/>
    <col min="3084" max="3085" width="17.140625" style="602" bestFit="1" customWidth="1"/>
    <col min="3086" max="3086" width="4.5703125" style="602" customWidth="1"/>
    <col min="3087" max="3087" width="25.7109375" style="602" customWidth="1"/>
    <col min="3088" max="3088" width="19.140625" style="602" customWidth="1"/>
    <col min="3089" max="3089" width="17.7109375" style="602" bestFit="1" customWidth="1"/>
    <col min="3090" max="3090" width="20.140625" style="602" bestFit="1" customWidth="1"/>
    <col min="3091" max="3328" width="11.42578125" style="602"/>
    <col min="3329" max="3329" width="21.28515625" style="602" customWidth="1"/>
    <col min="3330" max="3330" width="41.7109375" style="602" customWidth="1"/>
    <col min="3331" max="3331" width="18.28515625" style="602" bestFit="1" customWidth="1"/>
    <col min="3332" max="3332" width="4.7109375" style="602" customWidth="1"/>
    <col min="3333" max="3333" width="5.5703125" style="602" customWidth="1"/>
    <col min="3334" max="3334" width="4.7109375" style="602" customWidth="1"/>
    <col min="3335" max="3335" width="37.85546875" style="602" customWidth="1"/>
    <col min="3336" max="3336" width="0" style="602" hidden="1" customWidth="1"/>
    <col min="3337" max="3339" width="18.28515625" style="602" bestFit="1" customWidth="1"/>
    <col min="3340" max="3341" width="17.140625" style="602" bestFit="1" customWidth="1"/>
    <col min="3342" max="3342" width="4.5703125" style="602" customWidth="1"/>
    <col min="3343" max="3343" width="25.7109375" style="602" customWidth="1"/>
    <col min="3344" max="3344" width="19.140625" style="602" customWidth="1"/>
    <col min="3345" max="3345" width="17.7109375" style="602" bestFit="1" customWidth="1"/>
    <col min="3346" max="3346" width="20.140625" style="602" bestFit="1" customWidth="1"/>
    <col min="3347" max="3584" width="11.42578125" style="602"/>
    <col min="3585" max="3585" width="21.28515625" style="602" customWidth="1"/>
    <col min="3586" max="3586" width="41.7109375" style="602" customWidth="1"/>
    <col min="3587" max="3587" width="18.28515625" style="602" bestFit="1" customWidth="1"/>
    <col min="3588" max="3588" width="4.7109375" style="602" customWidth="1"/>
    <col min="3589" max="3589" width="5.5703125" style="602" customWidth="1"/>
    <col min="3590" max="3590" width="4.7109375" style="602" customWidth="1"/>
    <col min="3591" max="3591" width="37.85546875" style="602" customWidth="1"/>
    <col min="3592" max="3592" width="0" style="602" hidden="1" customWidth="1"/>
    <col min="3593" max="3595" width="18.28515625" style="602" bestFit="1" customWidth="1"/>
    <col min="3596" max="3597" width="17.140625" style="602" bestFit="1" customWidth="1"/>
    <col min="3598" max="3598" width="4.5703125" style="602" customWidth="1"/>
    <col min="3599" max="3599" width="25.7109375" style="602" customWidth="1"/>
    <col min="3600" max="3600" width="19.140625" style="602" customWidth="1"/>
    <col min="3601" max="3601" width="17.7109375" style="602" bestFit="1" customWidth="1"/>
    <col min="3602" max="3602" width="20.140625" style="602" bestFit="1" customWidth="1"/>
    <col min="3603" max="3840" width="11.42578125" style="602"/>
    <col min="3841" max="3841" width="21.28515625" style="602" customWidth="1"/>
    <col min="3842" max="3842" width="41.7109375" style="602" customWidth="1"/>
    <col min="3843" max="3843" width="18.28515625" style="602" bestFit="1" customWidth="1"/>
    <col min="3844" max="3844" width="4.7109375" style="602" customWidth="1"/>
    <col min="3845" max="3845" width="5.5703125" style="602" customWidth="1"/>
    <col min="3846" max="3846" width="4.7109375" style="602" customWidth="1"/>
    <col min="3847" max="3847" width="37.85546875" style="602" customWidth="1"/>
    <col min="3848" max="3848" width="0" style="602" hidden="1" customWidth="1"/>
    <col min="3849" max="3851" width="18.28515625" style="602" bestFit="1" customWidth="1"/>
    <col min="3852" max="3853" width="17.140625" style="602" bestFit="1" customWidth="1"/>
    <col min="3854" max="3854" width="4.5703125" style="602" customWidth="1"/>
    <col min="3855" max="3855" width="25.7109375" style="602" customWidth="1"/>
    <col min="3856" max="3856" width="19.140625" style="602" customWidth="1"/>
    <col min="3857" max="3857" width="17.7109375" style="602" bestFit="1" customWidth="1"/>
    <col min="3858" max="3858" width="20.140625" style="602" bestFit="1" customWidth="1"/>
    <col min="3859" max="4096" width="11.42578125" style="602"/>
    <col min="4097" max="4097" width="21.28515625" style="602" customWidth="1"/>
    <col min="4098" max="4098" width="41.7109375" style="602" customWidth="1"/>
    <col min="4099" max="4099" width="18.28515625" style="602" bestFit="1" customWidth="1"/>
    <col min="4100" max="4100" width="4.7109375" style="602" customWidth="1"/>
    <col min="4101" max="4101" width="5.5703125" style="602" customWidth="1"/>
    <col min="4102" max="4102" width="4.7109375" style="602" customWidth="1"/>
    <col min="4103" max="4103" width="37.85546875" style="602" customWidth="1"/>
    <col min="4104" max="4104" width="0" style="602" hidden="1" customWidth="1"/>
    <col min="4105" max="4107" width="18.28515625" style="602" bestFit="1" customWidth="1"/>
    <col min="4108" max="4109" width="17.140625" style="602" bestFit="1" customWidth="1"/>
    <col min="4110" max="4110" width="4.5703125" style="602" customWidth="1"/>
    <col min="4111" max="4111" width="25.7109375" style="602" customWidth="1"/>
    <col min="4112" max="4112" width="19.140625" style="602" customWidth="1"/>
    <col min="4113" max="4113" width="17.7109375" style="602" bestFit="1" customWidth="1"/>
    <col min="4114" max="4114" width="20.140625" style="602" bestFit="1" customWidth="1"/>
    <col min="4115" max="4352" width="11.42578125" style="602"/>
    <col min="4353" max="4353" width="21.28515625" style="602" customWidth="1"/>
    <col min="4354" max="4354" width="41.7109375" style="602" customWidth="1"/>
    <col min="4355" max="4355" width="18.28515625" style="602" bestFit="1" customWidth="1"/>
    <col min="4356" max="4356" width="4.7109375" style="602" customWidth="1"/>
    <col min="4357" max="4357" width="5.5703125" style="602" customWidth="1"/>
    <col min="4358" max="4358" width="4.7109375" style="602" customWidth="1"/>
    <col min="4359" max="4359" width="37.85546875" style="602" customWidth="1"/>
    <col min="4360" max="4360" width="0" style="602" hidden="1" customWidth="1"/>
    <col min="4361" max="4363" width="18.28515625" style="602" bestFit="1" customWidth="1"/>
    <col min="4364" max="4365" width="17.140625" style="602" bestFit="1" customWidth="1"/>
    <col min="4366" max="4366" width="4.5703125" style="602" customWidth="1"/>
    <col min="4367" max="4367" width="25.7109375" style="602" customWidth="1"/>
    <col min="4368" max="4368" width="19.140625" style="602" customWidth="1"/>
    <col min="4369" max="4369" width="17.7109375" style="602" bestFit="1" customWidth="1"/>
    <col min="4370" max="4370" width="20.140625" style="602" bestFit="1" customWidth="1"/>
    <col min="4371" max="4608" width="11.42578125" style="602"/>
    <col min="4609" max="4609" width="21.28515625" style="602" customWidth="1"/>
    <col min="4610" max="4610" width="41.7109375" style="602" customWidth="1"/>
    <col min="4611" max="4611" width="18.28515625" style="602" bestFit="1" customWidth="1"/>
    <col min="4612" max="4612" width="4.7109375" style="602" customWidth="1"/>
    <col min="4613" max="4613" width="5.5703125" style="602" customWidth="1"/>
    <col min="4614" max="4614" width="4.7109375" style="602" customWidth="1"/>
    <col min="4615" max="4615" width="37.85546875" style="602" customWidth="1"/>
    <col min="4616" max="4616" width="0" style="602" hidden="1" customWidth="1"/>
    <col min="4617" max="4619" width="18.28515625" style="602" bestFit="1" customWidth="1"/>
    <col min="4620" max="4621" width="17.140625" style="602" bestFit="1" customWidth="1"/>
    <col min="4622" max="4622" width="4.5703125" style="602" customWidth="1"/>
    <col min="4623" max="4623" width="25.7109375" style="602" customWidth="1"/>
    <col min="4624" max="4624" width="19.140625" style="602" customWidth="1"/>
    <col min="4625" max="4625" width="17.7109375" style="602" bestFit="1" customWidth="1"/>
    <col min="4626" max="4626" width="20.140625" style="602" bestFit="1" customWidth="1"/>
    <col min="4627" max="4864" width="11.42578125" style="602"/>
    <col min="4865" max="4865" width="21.28515625" style="602" customWidth="1"/>
    <col min="4866" max="4866" width="41.7109375" style="602" customWidth="1"/>
    <col min="4867" max="4867" width="18.28515625" style="602" bestFit="1" customWidth="1"/>
    <col min="4868" max="4868" width="4.7109375" style="602" customWidth="1"/>
    <col min="4869" max="4869" width="5.5703125" style="602" customWidth="1"/>
    <col min="4870" max="4870" width="4.7109375" style="602" customWidth="1"/>
    <col min="4871" max="4871" width="37.85546875" style="602" customWidth="1"/>
    <col min="4872" max="4872" width="0" style="602" hidden="1" customWidth="1"/>
    <col min="4873" max="4875" width="18.28515625" style="602" bestFit="1" customWidth="1"/>
    <col min="4876" max="4877" width="17.140625" style="602" bestFit="1" customWidth="1"/>
    <col min="4878" max="4878" width="4.5703125" style="602" customWidth="1"/>
    <col min="4879" max="4879" width="25.7109375" style="602" customWidth="1"/>
    <col min="4880" max="4880" width="19.140625" style="602" customWidth="1"/>
    <col min="4881" max="4881" width="17.7109375" style="602" bestFit="1" customWidth="1"/>
    <col min="4882" max="4882" width="20.140625" style="602" bestFit="1" customWidth="1"/>
    <col min="4883" max="5120" width="11.42578125" style="602"/>
    <col min="5121" max="5121" width="21.28515625" style="602" customWidth="1"/>
    <col min="5122" max="5122" width="41.7109375" style="602" customWidth="1"/>
    <col min="5123" max="5123" width="18.28515625" style="602" bestFit="1" customWidth="1"/>
    <col min="5124" max="5124" width="4.7109375" style="602" customWidth="1"/>
    <col min="5125" max="5125" width="5.5703125" style="602" customWidth="1"/>
    <col min="5126" max="5126" width="4.7109375" style="602" customWidth="1"/>
    <col min="5127" max="5127" width="37.85546875" style="602" customWidth="1"/>
    <col min="5128" max="5128" width="0" style="602" hidden="1" customWidth="1"/>
    <col min="5129" max="5131" width="18.28515625" style="602" bestFit="1" customWidth="1"/>
    <col min="5132" max="5133" width="17.140625" style="602" bestFit="1" customWidth="1"/>
    <col min="5134" max="5134" width="4.5703125" style="602" customWidth="1"/>
    <col min="5135" max="5135" width="25.7109375" style="602" customWidth="1"/>
    <col min="5136" max="5136" width="19.140625" style="602" customWidth="1"/>
    <col min="5137" max="5137" width="17.7109375" style="602" bestFit="1" customWidth="1"/>
    <col min="5138" max="5138" width="20.140625" style="602" bestFit="1" customWidth="1"/>
    <col min="5139" max="5376" width="11.42578125" style="602"/>
    <col min="5377" max="5377" width="21.28515625" style="602" customWidth="1"/>
    <col min="5378" max="5378" width="41.7109375" style="602" customWidth="1"/>
    <col min="5379" max="5379" width="18.28515625" style="602" bestFit="1" customWidth="1"/>
    <col min="5380" max="5380" width="4.7109375" style="602" customWidth="1"/>
    <col min="5381" max="5381" width="5.5703125" style="602" customWidth="1"/>
    <col min="5382" max="5382" width="4.7109375" style="602" customWidth="1"/>
    <col min="5383" max="5383" width="37.85546875" style="602" customWidth="1"/>
    <col min="5384" max="5384" width="0" style="602" hidden="1" customWidth="1"/>
    <col min="5385" max="5387" width="18.28515625" style="602" bestFit="1" customWidth="1"/>
    <col min="5388" max="5389" width="17.140625" style="602" bestFit="1" customWidth="1"/>
    <col min="5390" max="5390" width="4.5703125" style="602" customWidth="1"/>
    <col min="5391" max="5391" width="25.7109375" style="602" customWidth="1"/>
    <col min="5392" max="5392" width="19.140625" style="602" customWidth="1"/>
    <col min="5393" max="5393" width="17.7109375" style="602" bestFit="1" customWidth="1"/>
    <col min="5394" max="5394" width="20.140625" style="602" bestFit="1" customWidth="1"/>
    <col min="5395" max="5632" width="11.42578125" style="602"/>
    <col min="5633" max="5633" width="21.28515625" style="602" customWidth="1"/>
    <col min="5634" max="5634" width="41.7109375" style="602" customWidth="1"/>
    <col min="5635" max="5635" width="18.28515625" style="602" bestFit="1" customWidth="1"/>
    <col min="5636" max="5636" width="4.7109375" style="602" customWidth="1"/>
    <col min="5637" max="5637" width="5.5703125" style="602" customWidth="1"/>
    <col min="5638" max="5638" width="4.7109375" style="602" customWidth="1"/>
    <col min="5639" max="5639" width="37.85546875" style="602" customWidth="1"/>
    <col min="5640" max="5640" width="0" style="602" hidden="1" customWidth="1"/>
    <col min="5641" max="5643" width="18.28515625" style="602" bestFit="1" customWidth="1"/>
    <col min="5644" max="5645" width="17.140625" style="602" bestFit="1" customWidth="1"/>
    <col min="5646" max="5646" width="4.5703125" style="602" customWidth="1"/>
    <col min="5647" max="5647" width="25.7109375" style="602" customWidth="1"/>
    <col min="5648" max="5648" width="19.140625" style="602" customWidth="1"/>
    <col min="5649" max="5649" width="17.7109375" style="602" bestFit="1" customWidth="1"/>
    <col min="5650" max="5650" width="20.140625" style="602" bestFit="1" customWidth="1"/>
    <col min="5651" max="5888" width="11.42578125" style="602"/>
    <col min="5889" max="5889" width="21.28515625" style="602" customWidth="1"/>
    <col min="5890" max="5890" width="41.7109375" style="602" customWidth="1"/>
    <col min="5891" max="5891" width="18.28515625" style="602" bestFit="1" customWidth="1"/>
    <col min="5892" max="5892" width="4.7109375" style="602" customWidth="1"/>
    <col min="5893" max="5893" width="5.5703125" style="602" customWidth="1"/>
    <col min="5894" max="5894" width="4.7109375" style="602" customWidth="1"/>
    <col min="5895" max="5895" width="37.85546875" style="602" customWidth="1"/>
    <col min="5896" max="5896" width="0" style="602" hidden="1" customWidth="1"/>
    <col min="5897" max="5899" width="18.28515625" style="602" bestFit="1" customWidth="1"/>
    <col min="5900" max="5901" width="17.140625" style="602" bestFit="1" customWidth="1"/>
    <col min="5902" max="5902" width="4.5703125" style="602" customWidth="1"/>
    <col min="5903" max="5903" width="25.7109375" style="602" customWidth="1"/>
    <col min="5904" max="5904" width="19.140625" style="602" customWidth="1"/>
    <col min="5905" max="5905" width="17.7109375" style="602" bestFit="1" customWidth="1"/>
    <col min="5906" max="5906" width="20.140625" style="602" bestFit="1" customWidth="1"/>
    <col min="5907" max="6144" width="11.42578125" style="602"/>
    <col min="6145" max="6145" width="21.28515625" style="602" customWidth="1"/>
    <col min="6146" max="6146" width="41.7109375" style="602" customWidth="1"/>
    <col min="6147" max="6147" width="18.28515625" style="602" bestFit="1" customWidth="1"/>
    <col min="6148" max="6148" width="4.7109375" style="602" customWidth="1"/>
    <col min="6149" max="6149" width="5.5703125" style="602" customWidth="1"/>
    <col min="6150" max="6150" width="4.7109375" style="602" customWidth="1"/>
    <col min="6151" max="6151" width="37.85546875" style="602" customWidth="1"/>
    <col min="6152" max="6152" width="0" style="602" hidden="1" customWidth="1"/>
    <col min="6153" max="6155" width="18.28515625" style="602" bestFit="1" customWidth="1"/>
    <col min="6156" max="6157" width="17.140625" style="602" bestFit="1" customWidth="1"/>
    <col min="6158" max="6158" width="4.5703125" style="602" customWidth="1"/>
    <col min="6159" max="6159" width="25.7109375" style="602" customWidth="1"/>
    <col min="6160" max="6160" width="19.140625" style="602" customWidth="1"/>
    <col min="6161" max="6161" width="17.7109375" style="602" bestFit="1" customWidth="1"/>
    <col min="6162" max="6162" width="20.140625" style="602" bestFit="1" customWidth="1"/>
    <col min="6163" max="6400" width="11.42578125" style="602"/>
    <col min="6401" max="6401" width="21.28515625" style="602" customWidth="1"/>
    <col min="6402" max="6402" width="41.7109375" style="602" customWidth="1"/>
    <col min="6403" max="6403" width="18.28515625" style="602" bestFit="1" customWidth="1"/>
    <col min="6404" max="6404" width="4.7109375" style="602" customWidth="1"/>
    <col min="6405" max="6405" width="5.5703125" style="602" customWidth="1"/>
    <col min="6406" max="6406" width="4.7109375" style="602" customWidth="1"/>
    <col min="6407" max="6407" width="37.85546875" style="602" customWidth="1"/>
    <col min="6408" max="6408" width="0" style="602" hidden="1" customWidth="1"/>
    <col min="6409" max="6411" width="18.28515625" style="602" bestFit="1" customWidth="1"/>
    <col min="6412" max="6413" width="17.140625" style="602" bestFit="1" customWidth="1"/>
    <col min="6414" max="6414" width="4.5703125" style="602" customWidth="1"/>
    <col min="6415" max="6415" width="25.7109375" style="602" customWidth="1"/>
    <col min="6416" max="6416" width="19.140625" style="602" customWidth="1"/>
    <col min="6417" max="6417" width="17.7109375" style="602" bestFit="1" customWidth="1"/>
    <col min="6418" max="6418" width="20.140625" style="602" bestFit="1" customWidth="1"/>
    <col min="6419" max="6656" width="11.42578125" style="602"/>
    <col min="6657" max="6657" width="21.28515625" style="602" customWidth="1"/>
    <col min="6658" max="6658" width="41.7109375" style="602" customWidth="1"/>
    <col min="6659" max="6659" width="18.28515625" style="602" bestFit="1" customWidth="1"/>
    <col min="6660" max="6660" width="4.7109375" style="602" customWidth="1"/>
    <col min="6661" max="6661" width="5.5703125" style="602" customWidth="1"/>
    <col min="6662" max="6662" width="4.7109375" style="602" customWidth="1"/>
    <col min="6663" max="6663" width="37.85546875" style="602" customWidth="1"/>
    <col min="6664" max="6664" width="0" style="602" hidden="1" customWidth="1"/>
    <col min="6665" max="6667" width="18.28515625" style="602" bestFit="1" customWidth="1"/>
    <col min="6668" max="6669" width="17.140625" style="602" bestFit="1" customWidth="1"/>
    <col min="6670" max="6670" width="4.5703125" style="602" customWidth="1"/>
    <col min="6671" max="6671" width="25.7109375" style="602" customWidth="1"/>
    <col min="6672" max="6672" width="19.140625" style="602" customWidth="1"/>
    <col min="6673" max="6673" width="17.7109375" style="602" bestFit="1" customWidth="1"/>
    <col min="6674" max="6674" width="20.140625" style="602" bestFit="1" customWidth="1"/>
    <col min="6675" max="6912" width="11.42578125" style="602"/>
    <col min="6913" max="6913" width="21.28515625" style="602" customWidth="1"/>
    <col min="6914" max="6914" width="41.7109375" style="602" customWidth="1"/>
    <col min="6915" max="6915" width="18.28515625" style="602" bestFit="1" customWidth="1"/>
    <col min="6916" max="6916" width="4.7109375" style="602" customWidth="1"/>
    <col min="6917" max="6917" width="5.5703125" style="602" customWidth="1"/>
    <col min="6918" max="6918" width="4.7109375" style="602" customWidth="1"/>
    <col min="6919" max="6919" width="37.85546875" style="602" customWidth="1"/>
    <col min="6920" max="6920" width="0" style="602" hidden="1" customWidth="1"/>
    <col min="6921" max="6923" width="18.28515625" style="602" bestFit="1" customWidth="1"/>
    <col min="6924" max="6925" width="17.140625" style="602" bestFit="1" customWidth="1"/>
    <col min="6926" max="6926" width="4.5703125" style="602" customWidth="1"/>
    <col min="6927" max="6927" width="25.7109375" style="602" customWidth="1"/>
    <col min="6928" max="6928" width="19.140625" style="602" customWidth="1"/>
    <col min="6929" max="6929" width="17.7109375" style="602" bestFit="1" customWidth="1"/>
    <col min="6930" max="6930" width="20.140625" style="602" bestFit="1" customWidth="1"/>
    <col min="6931" max="7168" width="11.42578125" style="602"/>
    <col min="7169" max="7169" width="21.28515625" style="602" customWidth="1"/>
    <col min="7170" max="7170" width="41.7109375" style="602" customWidth="1"/>
    <col min="7171" max="7171" width="18.28515625" style="602" bestFit="1" customWidth="1"/>
    <col min="7172" max="7172" width="4.7109375" style="602" customWidth="1"/>
    <col min="7173" max="7173" width="5.5703125" style="602" customWidth="1"/>
    <col min="7174" max="7174" width="4.7109375" style="602" customWidth="1"/>
    <col min="7175" max="7175" width="37.85546875" style="602" customWidth="1"/>
    <col min="7176" max="7176" width="0" style="602" hidden="1" customWidth="1"/>
    <col min="7177" max="7179" width="18.28515625" style="602" bestFit="1" customWidth="1"/>
    <col min="7180" max="7181" width="17.140625" style="602" bestFit="1" customWidth="1"/>
    <col min="7182" max="7182" width="4.5703125" style="602" customWidth="1"/>
    <col min="7183" max="7183" width="25.7109375" style="602" customWidth="1"/>
    <col min="7184" max="7184" width="19.140625" style="602" customWidth="1"/>
    <col min="7185" max="7185" width="17.7109375" style="602" bestFit="1" customWidth="1"/>
    <col min="7186" max="7186" width="20.140625" style="602" bestFit="1" customWidth="1"/>
    <col min="7187" max="7424" width="11.42578125" style="602"/>
    <col min="7425" max="7425" width="21.28515625" style="602" customWidth="1"/>
    <col min="7426" max="7426" width="41.7109375" style="602" customWidth="1"/>
    <col min="7427" max="7427" width="18.28515625" style="602" bestFit="1" customWidth="1"/>
    <col min="7428" max="7428" width="4.7109375" style="602" customWidth="1"/>
    <col min="7429" max="7429" width="5.5703125" style="602" customWidth="1"/>
    <col min="7430" max="7430" width="4.7109375" style="602" customWidth="1"/>
    <col min="7431" max="7431" width="37.85546875" style="602" customWidth="1"/>
    <col min="7432" max="7432" width="0" style="602" hidden="1" customWidth="1"/>
    <col min="7433" max="7435" width="18.28515625" style="602" bestFit="1" customWidth="1"/>
    <col min="7436" max="7437" width="17.140625" style="602" bestFit="1" customWidth="1"/>
    <col min="7438" max="7438" width="4.5703125" style="602" customWidth="1"/>
    <col min="7439" max="7439" width="25.7109375" style="602" customWidth="1"/>
    <col min="7440" max="7440" width="19.140625" style="602" customWidth="1"/>
    <col min="7441" max="7441" width="17.7109375" style="602" bestFit="1" customWidth="1"/>
    <col min="7442" max="7442" width="20.140625" style="602" bestFit="1" customWidth="1"/>
    <col min="7443" max="7680" width="11.42578125" style="602"/>
    <col min="7681" max="7681" width="21.28515625" style="602" customWidth="1"/>
    <col min="7682" max="7682" width="41.7109375" style="602" customWidth="1"/>
    <col min="7683" max="7683" width="18.28515625" style="602" bestFit="1" customWidth="1"/>
    <col min="7684" max="7684" width="4.7109375" style="602" customWidth="1"/>
    <col min="7685" max="7685" width="5.5703125" style="602" customWidth="1"/>
    <col min="7686" max="7686" width="4.7109375" style="602" customWidth="1"/>
    <col min="7687" max="7687" width="37.85546875" style="602" customWidth="1"/>
    <col min="7688" max="7688" width="0" style="602" hidden="1" customWidth="1"/>
    <col min="7689" max="7691" width="18.28515625" style="602" bestFit="1" customWidth="1"/>
    <col min="7692" max="7693" width="17.140625" style="602" bestFit="1" customWidth="1"/>
    <col min="7694" max="7694" width="4.5703125" style="602" customWidth="1"/>
    <col min="7695" max="7695" width="25.7109375" style="602" customWidth="1"/>
    <col min="7696" max="7696" width="19.140625" style="602" customWidth="1"/>
    <col min="7697" max="7697" width="17.7109375" style="602" bestFit="1" customWidth="1"/>
    <col min="7698" max="7698" width="20.140625" style="602" bestFit="1" customWidth="1"/>
    <col min="7699" max="7936" width="11.42578125" style="602"/>
    <col min="7937" max="7937" width="21.28515625" style="602" customWidth="1"/>
    <col min="7938" max="7938" width="41.7109375" style="602" customWidth="1"/>
    <col min="7939" max="7939" width="18.28515625" style="602" bestFit="1" customWidth="1"/>
    <col min="7940" max="7940" width="4.7109375" style="602" customWidth="1"/>
    <col min="7941" max="7941" width="5.5703125" style="602" customWidth="1"/>
    <col min="7942" max="7942" width="4.7109375" style="602" customWidth="1"/>
    <col min="7943" max="7943" width="37.85546875" style="602" customWidth="1"/>
    <col min="7944" max="7944" width="0" style="602" hidden="1" customWidth="1"/>
    <col min="7945" max="7947" width="18.28515625" style="602" bestFit="1" customWidth="1"/>
    <col min="7948" max="7949" width="17.140625" style="602" bestFit="1" customWidth="1"/>
    <col min="7950" max="7950" width="4.5703125" style="602" customWidth="1"/>
    <col min="7951" max="7951" width="25.7109375" style="602" customWidth="1"/>
    <col min="7952" max="7952" width="19.140625" style="602" customWidth="1"/>
    <col min="7953" max="7953" width="17.7109375" style="602" bestFit="1" customWidth="1"/>
    <col min="7954" max="7954" width="20.140625" style="602" bestFit="1" customWidth="1"/>
    <col min="7955" max="8192" width="11.42578125" style="602"/>
    <col min="8193" max="8193" width="21.28515625" style="602" customWidth="1"/>
    <col min="8194" max="8194" width="41.7109375" style="602" customWidth="1"/>
    <col min="8195" max="8195" width="18.28515625" style="602" bestFit="1" customWidth="1"/>
    <col min="8196" max="8196" width="4.7109375" style="602" customWidth="1"/>
    <col min="8197" max="8197" width="5.5703125" style="602" customWidth="1"/>
    <col min="8198" max="8198" width="4.7109375" style="602" customWidth="1"/>
    <col min="8199" max="8199" width="37.85546875" style="602" customWidth="1"/>
    <col min="8200" max="8200" width="0" style="602" hidden="1" customWidth="1"/>
    <col min="8201" max="8203" width="18.28515625" style="602" bestFit="1" customWidth="1"/>
    <col min="8204" max="8205" width="17.140625" style="602" bestFit="1" customWidth="1"/>
    <col min="8206" max="8206" width="4.5703125" style="602" customWidth="1"/>
    <col min="8207" max="8207" width="25.7109375" style="602" customWidth="1"/>
    <col min="8208" max="8208" width="19.140625" style="602" customWidth="1"/>
    <col min="8209" max="8209" width="17.7109375" style="602" bestFit="1" customWidth="1"/>
    <col min="8210" max="8210" width="20.140625" style="602" bestFit="1" customWidth="1"/>
    <col min="8211" max="8448" width="11.42578125" style="602"/>
    <col min="8449" max="8449" width="21.28515625" style="602" customWidth="1"/>
    <col min="8450" max="8450" width="41.7109375" style="602" customWidth="1"/>
    <col min="8451" max="8451" width="18.28515625" style="602" bestFit="1" customWidth="1"/>
    <col min="8452" max="8452" width="4.7109375" style="602" customWidth="1"/>
    <col min="8453" max="8453" width="5.5703125" style="602" customWidth="1"/>
    <col min="8454" max="8454" width="4.7109375" style="602" customWidth="1"/>
    <col min="8455" max="8455" width="37.85546875" style="602" customWidth="1"/>
    <col min="8456" max="8456" width="0" style="602" hidden="1" customWidth="1"/>
    <col min="8457" max="8459" width="18.28515625" style="602" bestFit="1" customWidth="1"/>
    <col min="8460" max="8461" width="17.140625" style="602" bestFit="1" customWidth="1"/>
    <col min="8462" max="8462" width="4.5703125" style="602" customWidth="1"/>
    <col min="8463" max="8463" width="25.7109375" style="602" customWidth="1"/>
    <col min="8464" max="8464" width="19.140625" style="602" customWidth="1"/>
    <col min="8465" max="8465" width="17.7109375" style="602" bestFit="1" customWidth="1"/>
    <col min="8466" max="8466" width="20.140625" style="602" bestFit="1" customWidth="1"/>
    <col min="8467" max="8704" width="11.42578125" style="602"/>
    <col min="8705" max="8705" width="21.28515625" style="602" customWidth="1"/>
    <col min="8706" max="8706" width="41.7109375" style="602" customWidth="1"/>
    <col min="8707" max="8707" width="18.28515625" style="602" bestFit="1" customWidth="1"/>
    <col min="8708" max="8708" width="4.7109375" style="602" customWidth="1"/>
    <col min="8709" max="8709" width="5.5703125" style="602" customWidth="1"/>
    <col min="8710" max="8710" width="4.7109375" style="602" customWidth="1"/>
    <col min="8711" max="8711" width="37.85546875" style="602" customWidth="1"/>
    <col min="8712" max="8712" width="0" style="602" hidden="1" customWidth="1"/>
    <col min="8713" max="8715" width="18.28515625" style="602" bestFit="1" customWidth="1"/>
    <col min="8716" max="8717" width="17.140625" style="602" bestFit="1" customWidth="1"/>
    <col min="8718" max="8718" width="4.5703125" style="602" customWidth="1"/>
    <col min="8719" max="8719" width="25.7109375" style="602" customWidth="1"/>
    <col min="8720" max="8720" width="19.140625" style="602" customWidth="1"/>
    <col min="8721" max="8721" width="17.7109375" style="602" bestFit="1" customWidth="1"/>
    <col min="8722" max="8722" width="20.140625" style="602" bestFit="1" customWidth="1"/>
    <col min="8723" max="8960" width="11.42578125" style="602"/>
    <col min="8961" max="8961" width="21.28515625" style="602" customWidth="1"/>
    <col min="8962" max="8962" width="41.7109375" style="602" customWidth="1"/>
    <col min="8963" max="8963" width="18.28515625" style="602" bestFit="1" customWidth="1"/>
    <col min="8964" max="8964" width="4.7109375" style="602" customWidth="1"/>
    <col min="8965" max="8965" width="5.5703125" style="602" customWidth="1"/>
    <col min="8966" max="8966" width="4.7109375" style="602" customWidth="1"/>
    <col min="8967" max="8967" width="37.85546875" style="602" customWidth="1"/>
    <col min="8968" max="8968" width="0" style="602" hidden="1" customWidth="1"/>
    <col min="8969" max="8971" width="18.28515625" style="602" bestFit="1" customWidth="1"/>
    <col min="8972" max="8973" width="17.140625" style="602" bestFit="1" customWidth="1"/>
    <col min="8974" max="8974" width="4.5703125" style="602" customWidth="1"/>
    <col min="8975" max="8975" width="25.7109375" style="602" customWidth="1"/>
    <col min="8976" max="8976" width="19.140625" style="602" customWidth="1"/>
    <col min="8977" max="8977" width="17.7109375" style="602" bestFit="1" customWidth="1"/>
    <col min="8978" max="8978" width="20.140625" style="602" bestFit="1" customWidth="1"/>
    <col min="8979" max="9216" width="11.42578125" style="602"/>
    <col min="9217" max="9217" width="21.28515625" style="602" customWidth="1"/>
    <col min="9218" max="9218" width="41.7109375" style="602" customWidth="1"/>
    <col min="9219" max="9219" width="18.28515625" style="602" bestFit="1" customWidth="1"/>
    <col min="9220" max="9220" width="4.7109375" style="602" customWidth="1"/>
    <col min="9221" max="9221" width="5.5703125" style="602" customWidth="1"/>
    <col min="9222" max="9222" width="4.7109375" style="602" customWidth="1"/>
    <col min="9223" max="9223" width="37.85546875" style="602" customWidth="1"/>
    <col min="9224" max="9224" width="0" style="602" hidden="1" customWidth="1"/>
    <col min="9225" max="9227" width="18.28515625" style="602" bestFit="1" customWidth="1"/>
    <col min="9228" max="9229" width="17.140625" style="602" bestFit="1" customWidth="1"/>
    <col min="9230" max="9230" width="4.5703125" style="602" customWidth="1"/>
    <col min="9231" max="9231" width="25.7109375" style="602" customWidth="1"/>
    <col min="9232" max="9232" width="19.140625" style="602" customWidth="1"/>
    <col min="9233" max="9233" width="17.7109375" style="602" bestFit="1" customWidth="1"/>
    <col min="9234" max="9234" width="20.140625" style="602" bestFit="1" customWidth="1"/>
    <col min="9235" max="9472" width="11.42578125" style="602"/>
    <col min="9473" max="9473" width="21.28515625" style="602" customWidth="1"/>
    <col min="9474" max="9474" width="41.7109375" style="602" customWidth="1"/>
    <col min="9475" max="9475" width="18.28515625" style="602" bestFit="1" customWidth="1"/>
    <col min="9476" max="9476" width="4.7109375" style="602" customWidth="1"/>
    <col min="9477" max="9477" width="5.5703125" style="602" customWidth="1"/>
    <col min="9478" max="9478" width="4.7109375" style="602" customWidth="1"/>
    <col min="9479" max="9479" width="37.85546875" style="602" customWidth="1"/>
    <col min="9480" max="9480" width="0" style="602" hidden="1" customWidth="1"/>
    <col min="9481" max="9483" width="18.28515625" style="602" bestFit="1" customWidth="1"/>
    <col min="9484" max="9485" width="17.140625" style="602" bestFit="1" customWidth="1"/>
    <col min="9486" max="9486" width="4.5703125" style="602" customWidth="1"/>
    <col min="9487" max="9487" width="25.7109375" style="602" customWidth="1"/>
    <col min="9488" max="9488" width="19.140625" style="602" customWidth="1"/>
    <col min="9489" max="9489" width="17.7109375" style="602" bestFit="1" customWidth="1"/>
    <col min="9490" max="9490" width="20.140625" style="602" bestFit="1" customWidth="1"/>
    <col min="9491" max="9728" width="11.42578125" style="602"/>
    <col min="9729" max="9729" width="21.28515625" style="602" customWidth="1"/>
    <col min="9730" max="9730" width="41.7109375" style="602" customWidth="1"/>
    <col min="9731" max="9731" width="18.28515625" style="602" bestFit="1" customWidth="1"/>
    <col min="9732" max="9732" width="4.7109375" style="602" customWidth="1"/>
    <col min="9733" max="9733" width="5.5703125" style="602" customWidth="1"/>
    <col min="9734" max="9734" width="4.7109375" style="602" customWidth="1"/>
    <col min="9735" max="9735" width="37.85546875" style="602" customWidth="1"/>
    <col min="9736" max="9736" width="0" style="602" hidden="1" customWidth="1"/>
    <col min="9737" max="9739" width="18.28515625" style="602" bestFit="1" customWidth="1"/>
    <col min="9740" max="9741" width="17.140625" style="602" bestFit="1" customWidth="1"/>
    <col min="9742" max="9742" width="4.5703125" style="602" customWidth="1"/>
    <col min="9743" max="9743" width="25.7109375" style="602" customWidth="1"/>
    <col min="9744" max="9744" width="19.140625" style="602" customWidth="1"/>
    <col min="9745" max="9745" width="17.7109375" style="602" bestFit="1" customWidth="1"/>
    <col min="9746" max="9746" width="20.140625" style="602" bestFit="1" customWidth="1"/>
    <col min="9747" max="9984" width="11.42578125" style="602"/>
    <col min="9985" max="9985" width="21.28515625" style="602" customWidth="1"/>
    <col min="9986" max="9986" width="41.7109375" style="602" customWidth="1"/>
    <col min="9987" max="9987" width="18.28515625" style="602" bestFit="1" customWidth="1"/>
    <col min="9988" max="9988" width="4.7109375" style="602" customWidth="1"/>
    <col min="9989" max="9989" width="5.5703125" style="602" customWidth="1"/>
    <col min="9990" max="9990" width="4.7109375" style="602" customWidth="1"/>
    <col min="9991" max="9991" width="37.85546875" style="602" customWidth="1"/>
    <col min="9992" max="9992" width="0" style="602" hidden="1" customWidth="1"/>
    <col min="9993" max="9995" width="18.28515625" style="602" bestFit="1" customWidth="1"/>
    <col min="9996" max="9997" width="17.140625" style="602" bestFit="1" customWidth="1"/>
    <col min="9998" max="9998" width="4.5703125" style="602" customWidth="1"/>
    <col min="9999" max="9999" width="25.7109375" style="602" customWidth="1"/>
    <col min="10000" max="10000" width="19.140625" style="602" customWidth="1"/>
    <col min="10001" max="10001" width="17.7109375" style="602" bestFit="1" customWidth="1"/>
    <col min="10002" max="10002" width="20.140625" style="602" bestFit="1" customWidth="1"/>
    <col min="10003" max="10240" width="11.42578125" style="602"/>
    <col min="10241" max="10241" width="21.28515625" style="602" customWidth="1"/>
    <col min="10242" max="10242" width="41.7109375" style="602" customWidth="1"/>
    <col min="10243" max="10243" width="18.28515625" style="602" bestFit="1" customWidth="1"/>
    <col min="10244" max="10244" width="4.7109375" style="602" customWidth="1"/>
    <col min="10245" max="10245" width="5.5703125" style="602" customWidth="1"/>
    <col min="10246" max="10246" width="4.7109375" style="602" customWidth="1"/>
    <col min="10247" max="10247" width="37.85546875" style="602" customWidth="1"/>
    <col min="10248" max="10248" width="0" style="602" hidden="1" customWidth="1"/>
    <col min="10249" max="10251" width="18.28515625" style="602" bestFit="1" customWidth="1"/>
    <col min="10252" max="10253" width="17.140625" style="602" bestFit="1" customWidth="1"/>
    <col min="10254" max="10254" width="4.5703125" style="602" customWidth="1"/>
    <col min="10255" max="10255" width="25.7109375" style="602" customWidth="1"/>
    <col min="10256" max="10256" width="19.140625" style="602" customWidth="1"/>
    <col min="10257" max="10257" width="17.7109375" style="602" bestFit="1" customWidth="1"/>
    <col min="10258" max="10258" width="20.140625" style="602" bestFit="1" customWidth="1"/>
    <col min="10259" max="10496" width="11.42578125" style="602"/>
    <col min="10497" max="10497" width="21.28515625" style="602" customWidth="1"/>
    <col min="10498" max="10498" width="41.7109375" style="602" customWidth="1"/>
    <col min="10499" max="10499" width="18.28515625" style="602" bestFit="1" customWidth="1"/>
    <col min="10500" max="10500" width="4.7109375" style="602" customWidth="1"/>
    <col min="10501" max="10501" width="5.5703125" style="602" customWidth="1"/>
    <col min="10502" max="10502" width="4.7109375" style="602" customWidth="1"/>
    <col min="10503" max="10503" width="37.85546875" style="602" customWidth="1"/>
    <col min="10504" max="10504" width="0" style="602" hidden="1" customWidth="1"/>
    <col min="10505" max="10507" width="18.28515625" style="602" bestFit="1" customWidth="1"/>
    <col min="10508" max="10509" width="17.140625" style="602" bestFit="1" customWidth="1"/>
    <col min="10510" max="10510" width="4.5703125" style="602" customWidth="1"/>
    <col min="10511" max="10511" width="25.7109375" style="602" customWidth="1"/>
    <col min="10512" max="10512" width="19.140625" style="602" customWidth="1"/>
    <col min="10513" max="10513" width="17.7109375" style="602" bestFit="1" customWidth="1"/>
    <col min="10514" max="10514" width="20.140625" style="602" bestFit="1" customWidth="1"/>
    <col min="10515" max="10752" width="11.42578125" style="602"/>
    <col min="10753" max="10753" width="21.28515625" style="602" customWidth="1"/>
    <col min="10754" max="10754" width="41.7109375" style="602" customWidth="1"/>
    <col min="10755" max="10755" width="18.28515625" style="602" bestFit="1" customWidth="1"/>
    <col min="10756" max="10756" width="4.7109375" style="602" customWidth="1"/>
    <col min="10757" max="10757" width="5.5703125" style="602" customWidth="1"/>
    <col min="10758" max="10758" width="4.7109375" style="602" customWidth="1"/>
    <col min="10759" max="10759" width="37.85546875" style="602" customWidth="1"/>
    <col min="10760" max="10760" width="0" style="602" hidden="1" customWidth="1"/>
    <col min="10761" max="10763" width="18.28515625" style="602" bestFit="1" customWidth="1"/>
    <col min="10764" max="10765" width="17.140625" style="602" bestFit="1" customWidth="1"/>
    <col min="10766" max="10766" width="4.5703125" style="602" customWidth="1"/>
    <col min="10767" max="10767" width="25.7109375" style="602" customWidth="1"/>
    <col min="10768" max="10768" width="19.140625" style="602" customWidth="1"/>
    <col min="10769" max="10769" width="17.7109375" style="602" bestFit="1" customWidth="1"/>
    <col min="10770" max="10770" width="20.140625" style="602" bestFit="1" customWidth="1"/>
    <col min="10771" max="11008" width="11.42578125" style="602"/>
    <col min="11009" max="11009" width="21.28515625" style="602" customWidth="1"/>
    <col min="11010" max="11010" width="41.7109375" style="602" customWidth="1"/>
    <col min="11011" max="11011" width="18.28515625" style="602" bestFit="1" customWidth="1"/>
    <col min="11012" max="11012" width="4.7109375" style="602" customWidth="1"/>
    <col min="11013" max="11013" width="5.5703125" style="602" customWidth="1"/>
    <col min="11014" max="11014" width="4.7109375" style="602" customWidth="1"/>
    <col min="11015" max="11015" width="37.85546875" style="602" customWidth="1"/>
    <col min="11016" max="11016" width="0" style="602" hidden="1" customWidth="1"/>
    <col min="11017" max="11019" width="18.28515625" style="602" bestFit="1" customWidth="1"/>
    <col min="11020" max="11021" width="17.140625" style="602" bestFit="1" customWidth="1"/>
    <col min="11022" max="11022" width="4.5703125" style="602" customWidth="1"/>
    <col min="11023" max="11023" width="25.7109375" style="602" customWidth="1"/>
    <col min="11024" max="11024" width="19.140625" style="602" customWidth="1"/>
    <col min="11025" max="11025" width="17.7109375" style="602" bestFit="1" customWidth="1"/>
    <col min="11026" max="11026" width="20.140625" style="602" bestFit="1" customWidth="1"/>
    <col min="11027" max="11264" width="11.42578125" style="602"/>
    <col min="11265" max="11265" width="21.28515625" style="602" customWidth="1"/>
    <col min="11266" max="11266" width="41.7109375" style="602" customWidth="1"/>
    <col min="11267" max="11267" width="18.28515625" style="602" bestFit="1" customWidth="1"/>
    <col min="11268" max="11268" width="4.7109375" style="602" customWidth="1"/>
    <col min="11269" max="11269" width="5.5703125" style="602" customWidth="1"/>
    <col min="11270" max="11270" width="4.7109375" style="602" customWidth="1"/>
    <col min="11271" max="11271" width="37.85546875" style="602" customWidth="1"/>
    <col min="11272" max="11272" width="0" style="602" hidden="1" customWidth="1"/>
    <col min="11273" max="11275" width="18.28515625" style="602" bestFit="1" customWidth="1"/>
    <col min="11276" max="11277" width="17.140625" style="602" bestFit="1" customWidth="1"/>
    <col min="11278" max="11278" width="4.5703125" style="602" customWidth="1"/>
    <col min="11279" max="11279" width="25.7109375" style="602" customWidth="1"/>
    <col min="11280" max="11280" width="19.140625" style="602" customWidth="1"/>
    <col min="11281" max="11281" width="17.7109375" style="602" bestFit="1" customWidth="1"/>
    <col min="11282" max="11282" width="20.140625" style="602" bestFit="1" customWidth="1"/>
    <col min="11283" max="11520" width="11.42578125" style="602"/>
    <col min="11521" max="11521" width="21.28515625" style="602" customWidth="1"/>
    <col min="11522" max="11522" width="41.7109375" style="602" customWidth="1"/>
    <col min="11523" max="11523" width="18.28515625" style="602" bestFit="1" customWidth="1"/>
    <col min="11524" max="11524" width="4.7109375" style="602" customWidth="1"/>
    <col min="11525" max="11525" width="5.5703125" style="602" customWidth="1"/>
    <col min="11526" max="11526" width="4.7109375" style="602" customWidth="1"/>
    <col min="11527" max="11527" width="37.85546875" style="602" customWidth="1"/>
    <col min="11528" max="11528" width="0" style="602" hidden="1" customWidth="1"/>
    <col min="11529" max="11531" width="18.28515625" style="602" bestFit="1" customWidth="1"/>
    <col min="11532" max="11533" width="17.140625" style="602" bestFit="1" customWidth="1"/>
    <col min="11534" max="11534" width="4.5703125" style="602" customWidth="1"/>
    <col min="11535" max="11535" width="25.7109375" style="602" customWidth="1"/>
    <col min="11536" max="11536" width="19.140625" style="602" customWidth="1"/>
    <col min="11537" max="11537" width="17.7109375" style="602" bestFit="1" customWidth="1"/>
    <col min="11538" max="11538" width="20.140625" style="602" bestFit="1" customWidth="1"/>
    <col min="11539" max="11776" width="11.42578125" style="602"/>
    <col min="11777" max="11777" width="21.28515625" style="602" customWidth="1"/>
    <col min="11778" max="11778" width="41.7109375" style="602" customWidth="1"/>
    <col min="11779" max="11779" width="18.28515625" style="602" bestFit="1" customWidth="1"/>
    <col min="11780" max="11780" width="4.7109375" style="602" customWidth="1"/>
    <col min="11781" max="11781" width="5.5703125" style="602" customWidth="1"/>
    <col min="11782" max="11782" width="4.7109375" style="602" customWidth="1"/>
    <col min="11783" max="11783" width="37.85546875" style="602" customWidth="1"/>
    <col min="11784" max="11784" width="0" style="602" hidden="1" customWidth="1"/>
    <col min="11785" max="11787" width="18.28515625" style="602" bestFit="1" customWidth="1"/>
    <col min="11788" max="11789" width="17.140625" style="602" bestFit="1" customWidth="1"/>
    <col min="11790" max="11790" width="4.5703125" style="602" customWidth="1"/>
    <col min="11791" max="11791" width="25.7109375" style="602" customWidth="1"/>
    <col min="11792" max="11792" width="19.140625" style="602" customWidth="1"/>
    <col min="11793" max="11793" width="17.7109375" style="602" bestFit="1" customWidth="1"/>
    <col min="11794" max="11794" width="20.140625" style="602" bestFit="1" customWidth="1"/>
    <col min="11795" max="12032" width="11.42578125" style="602"/>
    <col min="12033" max="12033" width="21.28515625" style="602" customWidth="1"/>
    <col min="12034" max="12034" width="41.7109375" style="602" customWidth="1"/>
    <col min="12035" max="12035" width="18.28515625" style="602" bestFit="1" customWidth="1"/>
    <col min="12036" max="12036" width="4.7109375" style="602" customWidth="1"/>
    <col min="12037" max="12037" width="5.5703125" style="602" customWidth="1"/>
    <col min="12038" max="12038" width="4.7109375" style="602" customWidth="1"/>
    <col min="12039" max="12039" width="37.85546875" style="602" customWidth="1"/>
    <col min="12040" max="12040" width="0" style="602" hidden="1" customWidth="1"/>
    <col min="12041" max="12043" width="18.28515625" style="602" bestFit="1" customWidth="1"/>
    <col min="12044" max="12045" width="17.140625" style="602" bestFit="1" customWidth="1"/>
    <col min="12046" max="12046" width="4.5703125" style="602" customWidth="1"/>
    <col min="12047" max="12047" width="25.7109375" style="602" customWidth="1"/>
    <col min="12048" max="12048" width="19.140625" style="602" customWidth="1"/>
    <col min="12049" max="12049" width="17.7109375" style="602" bestFit="1" customWidth="1"/>
    <col min="12050" max="12050" width="20.140625" style="602" bestFit="1" customWidth="1"/>
    <col min="12051" max="12288" width="11.42578125" style="602"/>
    <col min="12289" max="12289" width="21.28515625" style="602" customWidth="1"/>
    <col min="12290" max="12290" width="41.7109375" style="602" customWidth="1"/>
    <col min="12291" max="12291" width="18.28515625" style="602" bestFit="1" customWidth="1"/>
    <col min="12292" max="12292" width="4.7109375" style="602" customWidth="1"/>
    <col min="12293" max="12293" width="5.5703125" style="602" customWidth="1"/>
    <col min="12294" max="12294" width="4.7109375" style="602" customWidth="1"/>
    <col min="12295" max="12295" width="37.85546875" style="602" customWidth="1"/>
    <col min="12296" max="12296" width="0" style="602" hidden="1" customWidth="1"/>
    <col min="12297" max="12299" width="18.28515625" style="602" bestFit="1" customWidth="1"/>
    <col min="12300" max="12301" width="17.140625" style="602" bestFit="1" customWidth="1"/>
    <col min="12302" max="12302" width="4.5703125" style="602" customWidth="1"/>
    <col min="12303" max="12303" width="25.7109375" style="602" customWidth="1"/>
    <col min="12304" max="12304" width="19.140625" style="602" customWidth="1"/>
    <col min="12305" max="12305" width="17.7109375" style="602" bestFit="1" customWidth="1"/>
    <col min="12306" max="12306" width="20.140625" style="602" bestFit="1" customWidth="1"/>
    <col min="12307" max="12544" width="11.42578125" style="602"/>
    <col min="12545" max="12545" width="21.28515625" style="602" customWidth="1"/>
    <col min="12546" max="12546" width="41.7109375" style="602" customWidth="1"/>
    <col min="12547" max="12547" width="18.28515625" style="602" bestFit="1" customWidth="1"/>
    <col min="12548" max="12548" width="4.7109375" style="602" customWidth="1"/>
    <col min="12549" max="12549" width="5.5703125" style="602" customWidth="1"/>
    <col min="12550" max="12550" width="4.7109375" style="602" customWidth="1"/>
    <col min="12551" max="12551" width="37.85546875" style="602" customWidth="1"/>
    <col min="12552" max="12552" width="0" style="602" hidden="1" customWidth="1"/>
    <col min="12553" max="12555" width="18.28515625" style="602" bestFit="1" customWidth="1"/>
    <col min="12556" max="12557" width="17.140625" style="602" bestFit="1" customWidth="1"/>
    <col min="12558" max="12558" width="4.5703125" style="602" customWidth="1"/>
    <col min="12559" max="12559" width="25.7109375" style="602" customWidth="1"/>
    <col min="12560" max="12560" width="19.140625" style="602" customWidth="1"/>
    <col min="12561" max="12561" width="17.7109375" style="602" bestFit="1" customWidth="1"/>
    <col min="12562" max="12562" width="20.140625" style="602" bestFit="1" customWidth="1"/>
    <col min="12563" max="12800" width="11.42578125" style="602"/>
    <col min="12801" max="12801" width="21.28515625" style="602" customWidth="1"/>
    <col min="12802" max="12802" width="41.7109375" style="602" customWidth="1"/>
    <col min="12803" max="12803" width="18.28515625" style="602" bestFit="1" customWidth="1"/>
    <col min="12804" max="12804" width="4.7109375" style="602" customWidth="1"/>
    <col min="12805" max="12805" width="5.5703125" style="602" customWidth="1"/>
    <col min="12806" max="12806" width="4.7109375" style="602" customWidth="1"/>
    <col min="12807" max="12807" width="37.85546875" style="602" customWidth="1"/>
    <col min="12808" max="12808" width="0" style="602" hidden="1" customWidth="1"/>
    <col min="12809" max="12811" width="18.28515625" style="602" bestFit="1" customWidth="1"/>
    <col min="12812" max="12813" width="17.140625" style="602" bestFit="1" customWidth="1"/>
    <col min="12814" max="12814" width="4.5703125" style="602" customWidth="1"/>
    <col min="12815" max="12815" width="25.7109375" style="602" customWidth="1"/>
    <col min="12816" max="12816" width="19.140625" style="602" customWidth="1"/>
    <col min="12817" max="12817" width="17.7109375" style="602" bestFit="1" customWidth="1"/>
    <col min="12818" max="12818" width="20.140625" style="602" bestFit="1" customWidth="1"/>
    <col min="12819" max="13056" width="11.42578125" style="602"/>
    <col min="13057" max="13057" width="21.28515625" style="602" customWidth="1"/>
    <col min="13058" max="13058" width="41.7109375" style="602" customWidth="1"/>
    <col min="13059" max="13059" width="18.28515625" style="602" bestFit="1" customWidth="1"/>
    <col min="13060" max="13060" width="4.7109375" style="602" customWidth="1"/>
    <col min="13061" max="13061" width="5.5703125" style="602" customWidth="1"/>
    <col min="13062" max="13062" width="4.7109375" style="602" customWidth="1"/>
    <col min="13063" max="13063" width="37.85546875" style="602" customWidth="1"/>
    <col min="13064" max="13064" width="0" style="602" hidden="1" customWidth="1"/>
    <col min="13065" max="13067" width="18.28515625" style="602" bestFit="1" customWidth="1"/>
    <col min="13068" max="13069" width="17.140625" style="602" bestFit="1" customWidth="1"/>
    <col min="13070" max="13070" width="4.5703125" style="602" customWidth="1"/>
    <col min="13071" max="13071" width="25.7109375" style="602" customWidth="1"/>
    <col min="13072" max="13072" width="19.140625" style="602" customWidth="1"/>
    <col min="13073" max="13073" width="17.7109375" style="602" bestFit="1" customWidth="1"/>
    <col min="13074" max="13074" width="20.140625" style="602" bestFit="1" customWidth="1"/>
    <col min="13075" max="13312" width="11.42578125" style="602"/>
    <col min="13313" max="13313" width="21.28515625" style="602" customWidth="1"/>
    <col min="13314" max="13314" width="41.7109375" style="602" customWidth="1"/>
    <col min="13315" max="13315" width="18.28515625" style="602" bestFit="1" customWidth="1"/>
    <col min="13316" max="13316" width="4.7109375" style="602" customWidth="1"/>
    <col min="13317" max="13317" width="5.5703125" style="602" customWidth="1"/>
    <col min="13318" max="13318" width="4.7109375" style="602" customWidth="1"/>
    <col min="13319" max="13319" width="37.85546875" style="602" customWidth="1"/>
    <col min="13320" max="13320" width="0" style="602" hidden="1" customWidth="1"/>
    <col min="13321" max="13323" width="18.28515625" style="602" bestFit="1" customWidth="1"/>
    <col min="13324" max="13325" width="17.140625" style="602" bestFit="1" customWidth="1"/>
    <col min="13326" max="13326" width="4.5703125" style="602" customWidth="1"/>
    <col min="13327" max="13327" width="25.7109375" style="602" customWidth="1"/>
    <col min="13328" max="13328" width="19.140625" style="602" customWidth="1"/>
    <col min="13329" max="13329" width="17.7109375" style="602" bestFit="1" customWidth="1"/>
    <col min="13330" max="13330" width="20.140625" style="602" bestFit="1" customWidth="1"/>
    <col min="13331" max="13568" width="11.42578125" style="602"/>
    <col min="13569" max="13569" width="21.28515625" style="602" customWidth="1"/>
    <col min="13570" max="13570" width="41.7109375" style="602" customWidth="1"/>
    <col min="13571" max="13571" width="18.28515625" style="602" bestFit="1" customWidth="1"/>
    <col min="13572" max="13572" width="4.7109375" style="602" customWidth="1"/>
    <col min="13573" max="13573" width="5.5703125" style="602" customWidth="1"/>
    <col min="13574" max="13574" width="4.7109375" style="602" customWidth="1"/>
    <col min="13575" max="13575" width="37.85546875" style="602" customWidth="1"/>
    <col min="13576" max="13576" width="0" style="602" hidden="1" customWidth="1"/>
    <col min="13577" max="13579" width="18.28515625" style="602" bestFit="1" customWidth="1"/>
    <col min="13580" max="13581" width="17.140625" style="602" bestFit="1" customWidth="1"/>
    <col min="13582" max="13582" width="4.5703125" style="602" customWidth="1"/>
    <col min="13583" max="13583" width="25.7109375" style="602" customWidth="1"/>
    <col min="13584" max="13584" width="19.140625" style="602" customWidth="1"/>
    <col min="13585" max="13585" width="17.7109375" style="602" bestFit="1" customWidth="1"/>
    <col min="13586" max="13586" width="20.140625" style="602" bestFit="1" customWidth="1"/>
    <col min="13587" max="13824" width="11.42578125" style="602"/>
    <col min="13825" max="13825" width="21.28515625" style="602" customWidth="1"/>
    <col min="13826" max="13826" width="41.7109375" style="602" customWidth="1"/>
    <col min="13827" max="13827" width="18.28515625" style="602" bestFit="1" customWidth="1"/>
    <col min="13828" max="13828" width="4.7109375" style="602" customWidth="1"/>
    <col min="13829" max="13829" width="5.5703125" style="602" customWidth="1"/>
    <col min="13830" max="13830" width="4.7109375" style="602" customWidth="1"/>
    <col min="13831" max="13831" width="37.85546875" style="602" customWidth="1"/>
    <col min="13832" max="13832" width="0" style="602" hidden="1" customWidth="1"/>
    <col min="13833" max="13835" width="18.28515625" style="602" bestFit="1" customWidth="1"/>
    <col min="13836" max="13837" width="17.140625" style="602" bestFit="1" customWidth="1"/>
    <col min="13838" max="13838" width="4.5703125" style="602" customWidth="1"/>
    <col min="13839" max="13839" width="25.7109375" style="602" customWidth="1"/>
    <col min="13840" max="13840" width="19.140625" style="602" customWidth="1"/>
    <col min="13841" max="13841" width="17.7109375" style="602" bestFit="1" customWidth="1"/>
    <col min="13842" max="13842" width="20.140625" style="602" bestFit="1" customWidth="1"/>
    <col min="13843" max="14080" width="11.42578125" style="602"/>
    <col min="14081" max="14081" width="21.28515625" style="602" customWidth="1"/>
    <col min="14082" max="14082" width="41.7109375" style="602" customWidth="1"/>
    <col min="14083" max="14083" width="18.28515625" style="602" bestFit="1" customWidth="1"/>
    <col min="14084" max="14084" width="4.7109375" style="602" customWidth="1"/>
    <col min="14085" max="14085" width="5.5703125" style="602" customWidth="1"/>
    <col min="14086" max="14086" width="4.7109375" style="602" customWidth="1"/>
    <col min="14087" max="14087" width="37.85546875" style="602" customWidth="1"/>
    <col min="14088" max="14088" width="0" style="602" hidden="1" customWidth="1"/>
    <col min="14089" max="14091" width="18.28515625" style="602" bestFit="1" customWidth="1"/>
    <col min="14092" max="14093" width="17.140625" style="602" bestFit="1" customWidth="1"/>
    <col min="14094" max="14094" width="4.5703125" style="602" customWidth="1"/>
    <col min="14095" max="14095" width="25.7109375" style="602" customWidth="1"/>
    <col min="14096" max="14096" width="19.140625" style="602" customWidth="1"/>
    <col min="14097" max="14097" width="17.7109375" style="602" bestFit="1" customWidth="1"/>
    <col min="14098" max="14098" width="20.140625" style="602" bestFit="1" customWidth="1"/>
    <col min="14099" max="14336" width="11.42578125" style="602"/>
    <col min="14337" max="14337" width="21.28515625" style="602" customWidth="1"/>
    <col min="14338" max="14338" width="41.7109375" style="602" customWidth="1"/>
    <col min="14339" max="14339" width="18.28515625" style="602" bestFit="1" customWidth="1"/>
    <col min="14340" max="14340" width="4.7109375" style="602" customWidth="1"/>
    <col min="14341" max="14341" width="5.5703125" style="602" customWidth="1"/>
    <col min="14342" max="14342" width="4.7109375" style="602" customWidth="1"/>
    <col min="14343" max="14343" width="37.85546875" style="602" customWidth="1"/>
    <col min="14344" max="14344" width="0" style="602" hidden="1" customWidth="1"/>
    <col min="14345" max="14347" width="18.28515625" style="602" bestFit="1" customWidth="1"/>
    <col min="14348" max="14349" width="17.140625" style="602" bestFit="1" customWidth="1"/>
    <col min="14350" max="14350" width="4.5703125" style="602" customWidth="1"/>
    <col min="14351" max="14351" width="25.7109375" style="602" customWidth="1"/>
    <col min="14352" max="14352" width="19.140625" style="602" customWidth="1"/>
    <col min="14353" max="14353" width="17.7109375" style="602" bestFit="1" customWidth="1"/>
    <col min="14354" max="14354" width="20.140625" style="602" bestFit="1" customWidth="1"/>
    <col min="14355" max="14592" width="11.42578125" style="602"/>
    <col min="14593" max="14593" width="21.28515625" style="602" customWidth="1"/>
    <col min="14594" max="14594" width="41.7109375" style="602" customWidth="1"/>
    <col min="14595" max="14595" width="18.28515625" style="602" bestFit="1" customWidth="1"/>
    <col min="14596" max="14596" width="4.7109375" style="602" customWidth="1"/>
    <col min="14597" max="14597" width="5.5703125" style="602" customWidth="1"/>
    <col min="14598" max="14598" width="4.7109375" style="602" customWidth="1"/>
    <col min="14599" max="14599" width="37.85546875" style="602" customWidth="1"/>
    <col min="14600" max="14600" width="0" style="602" hidden="1" customWidth="1"/>
    <col min="14601" max="14603" width="18.28515625" style="602" bestFit="1" customWidth="1"/>
    <col min="14604" max="14605" width="17.140625" style="602" bestFit="1" customWidth="1"/>
    <col min="14606" max="14606" width="4.5703125" style="602" customWidth="1"/>
    <col min="14607" max="14607" width="25.7109375" style="602" customWidth="1"/>
    <col min="14608" max="14608" width="19.140625" style="602" customWidth="1"/>
    <col min="14609" max="14609" width="17.7109375" style="602" bestFit="1" customWidth="1"/>
    <col min="14610" max="14610" width="20.140625" style="602" bestFit="1" customWidth="1"/>
    <col min="14611" max="14848" width="11.42578125" style="602"/>
    <col min="14849" max="14849" width="21.28515625" style="602" customWidth="1"/>
    <col min="14850" max="14850" width="41.7109375" style="602" customWidth="1"/>
    <col min="14851" max="14851" width="18.28515625" style="602" bestFit="1" customWidth="1"/>
    <col min="14852" max="14852" width="4.7109375" style="602" customWidth="1"/>
    <col min="14853" max="14853" width="5.5703125" style="602" customWidth="1"/>
    <col min="14854" max="14854" width="4.7109375" style="602" customWidth="1"/>
    <col min="14855" max="14855" width="37.85546875" style="602" customWidth="1"/>
    <col min="14856" max="14856" width="0" style="602" hidden="1" customWidth="1"/>
    <col min="14857" max="14859" width="18.28515625" style="602" bestFit="1" customWidth="1"/>
    <col min="14860" max="14861" width="17.140625" style="602" bestFit="1" customWidth="1"/>
    <col min="14862" max="14862" width="4.5703125" style="602" customWidth="1"/>
    <col min="14863" max="14863" width="25.7109375" style="602" customWidth="1"/>
    <col min="14864" max="14864" width="19.140625" style="602" customWidth="1"/>
    <col min="14865" max="14865" width="17.7109375" style="602" bestFit="1" customWidth="1"/>
    <col min="14866" max="14866" width="20.140625" style="602" bestFit="1" customWidth="1"/>
    <col min="14867" max="15104" width="11.42578125" style="602"/>
    <col min="15105" max="15105" width="21.28515625" style="602" customWidth="1"/>
    <col min="15106" max="15106" width="41.7109375" style="602" customWidth="1"/>
    <col min="15107" max="15107" width="18.28515625" style="602" bestFit="1" customWidth="1"/>
    <col min="15108" max="15108" width="4.7109375" style="602" customWidth="1"/>
    <col min="15109" max="15109" width="5.5703125" style="602" customWidth="1"/>
    <col min="15110" max="15110" width="4.7109375" style="602" customWidth="1"/>
    <col min="15111" max="15111" width="37.85546875" style="602" customWidth="1"/>
    <col min="15112" max="15112" width="0" style="602" hidden="1" customWidth="1"/>
    <col min="15113" max="15115" width="18.28515625" style="602" bestFit="1" customWidth="1"/>
    <col min="15116" max="15117" width="17.140625" style="602" bestFit="1" customWidth="1"/>
    <col min="15118" max="15118" width="4.5703125" style="602" customWidth="1"/>
    <col min="15119" max="15119" width="25.7109375" style="602" customWidth="1"/>
    <col min="15120" max="15120" width="19.140625" style="602" customWidth="1"/>
    <col min="15121" max="15121" width="17.7109375" style="602" bestFit="1" customWidth="1"/>
    <col min="15122" max="15122" width="20.140625" style="602" bestFit="1" customWidth="1"/>
    <col min="15123" max="15360" width="11.42578125" style="602"/>
    <col min="15361" max="15361" width="21.28515625" style="602" customWidth="1"/>
    <col min="15362" max="15362" width="41.7109375" style="602" customWidth="1"/>
    <col min="15363" max="15363" width="18.28515625" style="602" bestFit="1" customWidth="1"/>
    <col min="15364" max="15364" width="4.7109375" style="602" customWidth="1"/>
    <col min="15365" max="15365" width="5.5703125" style="602" customWidth="1"/>
    <col min="15366" max="15366" width="4.7109375" style="602" customWidth="1"/>
    <col min="15367" max="15367" width="37.85546875" style="602" customWidth="1"/>
    <col min="15368" max="15368" width="0" style="602" hidden="1" customWidth="1"/>
    <col min="15369" max="15371" width="18.28515625" style="602" bestFit="1" customWidth="1"/>
    <col min="15372" max="15373" width="17.140625" style="602" bestFit="1" customWidth="1"/>
    <col min="15374" max="15374" width="4.5703125" style="602" customWidth="1"/>
    <col min="15375" max="15375" width="25.7109375" style="602" customWidth="1"/>
    <col min="15376" max="15376" width="19.140625" style="602" customWidth="1"/>
    <col min="15377" max="15377" width="17.7109375" style="602" bestFit="1" customWidth="1"/>
    <col min="15378" max="15378" width="20.140625" style="602" bestFit="1" customWidth="1"/>
    <col min="15379" max="15616" width="11.42578125" style="602"/>
    <col min="15617" max="15617" width="21.28515625" style="602" customWidth="1"/>
    <col min="15618" max="15618" width="41.7109375" style="602" customWidth="1"/>
    <col min="15619" max="15619" width="18.28515625" style="602" bestFit="1" customWidth="1"/>
    <col min="15620" max="15620" width="4.7109375" style="602" customWidth="1"/>
    <col min="15621" max="15621" width="5.5703125" style="602" customWidth="1"/>
    <col min="15622" max="15622" width="4.7109375" style="602" customWidth="1"/>
    <col min="15623" max="15623" width="37.85546875" style="602" customWidth="1"/>
    <col min="15624" max="15624" width="0" style="602" hidden="1" customWidth="1"/>
    <col min="15625" max="15627" width="18.28515625" style="602" bestFit="1" customWidth="1"/>
    <col min="15628" max="15629" width="17.140625" style="602" bestFit="1" customWidth="1"/>
    <col min="15630" max="15630" width="4.5703125" style="602" customWidth="1"/>
    <col min="15631" max="15631" width="25.7109375" style="602" customWidth="1"/>
    <col min="15632" max="15632" width="19.140625" style="602" customWidth="1"/>
    <col min="15633" max="15633" width="17.7109375" style="602" bestFit="1" customWidth="1"/>
    <col min="15634" max="15634" width="20.140625" style="602" bestFit="1" customWidth="1"/>
    <col min="15635" max="15872" width="11.42578125" style="602"/>
    <col min="15873" max="15873" width="21.28515625" style="602" customWidth="1"/>
    <col min="15874" max="15874" width="41.7109375" style="602" customWidth="1"/>
    <col min="15875" max="15875" width="18.28515625" style="602" bestFit="1" customWidth="1"/>
    <col min="15876" max="15876" width="4.7109375" style="602" customWidth="1"/>
    <col min="15877" max="15877" width="5.5703125" style="602" customWidth="1"/>
    <col min="15878" max="15878" width="4.7109375" style="602" customWidth="1"/>
    <col min="15879" max="15879" width="37.85546875" style="602" customWidth="1"/>
    <col min="15880" max="15880" width="0" style="602" hidden="1" customWidth="1"/>
    <col min="15881" max="15883" width="18.28515625" style="602" bestFit="1" customWidth="1"/>
    <col min="15884" max="15885" width="17.140625" style="602" bestFit="1" customWidth="1"/>
    <col min="15886" max="15886" width="4.5703125" style="602" customWidth="1"/>
    <col min="15887" max="15887" width="25.7109375" style="602" customWidth="1"/>
    <col min="15888" max="15888" width="19.140625" style="602" customWidth="1"/>
    <col min="15889" max="15889" width="17.7109375" style="602" bestFit="1" customWidth="1"/>
    <col min="15890" max="15890" width="20.140625" style="602" bestFit="1" customWidth="1"/>
    <col min="15891" max="16128" width="11.42578125" style="602"/>
    <col min="16129" max="16129" width="21.28515625" style="602" customWidth="1"/>
    <col min="16130" max="16130" width="41.7109375" style="602" customWidth="1"/>
    <col min="16131" max="16131" width="18.28515625" style="602" bestFit="1" customWidth="1"/>
    <col min="16132" max="16132" width="4.7109375" style="602" customWidth="1"/>
    <col min="16133" max="16133" width="5.5703125" style="602" customWidth="1"/>
    <col min="16134" max="16134" width="4.7109375" style="602" customWidth="1"/>
    <col min="16135" max="16135" width="37.85546875" style="602" customWidth="1"/>
    <col min="16136" max="16136" width="0" style="602" hidden="1" customWidth="1"/>
    <col min="16137" max="16139" width="18.28515625" style="602" bestFit="1" customWidth="1"/>
    <col min="16140" max="16141" width="17.140625" style="602" bestFit="1" customWidth="1"/>
    <col min="16142" max="16142" width="4.5703125" style="602" customWidth="1"/>
    <col min="16143" max="16143" width="25.7109375" style="602" customWidth="1"/>
    <col min="16144" max="16144" width="19.140625" style="602" customWidth="1"/>
    <col min="16145" max="16145" width="17.7109375" style="602" bestFit="1" customWidth="1"/>
    <col min="16146" max="16146" width="20.140625" style="602" bestFit="1" customWidth="1"/>
    <col min="16147" max="16384" width="11.42578125" style="602"/>
  </cols>
  <sheetData>
    <row r="1" spans="1:30" x14ac:dyDescent="0.2">
      <c r="A1" s="615" t="s">
        <v>295</v>
      </c>
      <c r="B1" s="616"/>
      <c r="C1" s="616"/>
      <c r="D1" s="616"/>
      <c r="E1" s="616"/>
      <c r="F1" s="616"/>
      <c r="G1" s="616"/>
      <c r="H1" s="616"/>
      <c r="I1" s="616"/>
      <c r="J1" s="599"/>
      <c r="K1" s="599"/>
      <c r="L1" s="208"/>
      <c r="M1" s="208"/>
      <c r="N1" s="208"/>
      <c r="O1" s="601"/>
    </row>
    <row r="2" spans="1:30" x14ac:dyDescent="0.2">
      <c r="A2" s="617" t="s">
        <v>294</v>
      </c>
      <c r="B2" s="618"/>
      <c r="C2" s="618"/>
      <c r="D2" s="618"/>
      <c r="E2" s="618"/>
      <c r="F2" s="618"/>
      <c r="G2" s="618"/>
      <c r="H2" s="618"/>
      <c r="I2" s="618"/>
      <c r="J2" s="601"/>
      <c r="K2" s="601"/>
      <c r="L2" s="213"/>
      <c r="M2" s="213"/>
      <c r="N2" s="213"/>
      <c r="O2" s="601"/>
    </row>
    <row r="3" spans="1:30" x14ac:dyDescent="0.2">
      <c r="A3" s="617" t="s">
        <v>293</v>
      </c>
      <c r="B3" s="618"/>
      <c r="C3" s="618"/>
      <c r="D3" s="618"/>
      <c r="E3" s="618"/>
      <c r="F3" s="618"/>
      <c r="G3" s="618"/>
      <c r="H3" s="618"/>
      <c r="I3" s="618"/>
      <c r="J3" s="601"/>
      <c r="K3" s="601"/>
      <c r="L3" s="213"/>
      <c r="M3" s="213"/>
      <c r="N3" s="213"/>
      <c r="O3" s="601"/>
    </row>
    <row r="4" spans="1:30" x14ac:dyDescent="0.2">
      <c r="A4" s="617" t="s">
        <v>292</v>
      </c>
      <c r="B4" s="618"/>
      <c r="C4" s="618"/>
      <c r="D4" s="618"/>
      <c r="E4" s="618"/>
      <c r="F4" s="618"/>
      <c r="G4" s="618"/>
      <c r="H4" s="618"/>
      <c r="I4" s="618"/>
      <c r="J4" s="601"/>
      <c r="K4" s="601"/>
      <c r="L4" s="213"/>
      <c r="M4" s="213"/>
      <c r="N4" s="213"/>
      <c r="O4" s="601"/>
    </row>
    <row r="5" spans="1:30" ht="15.75" customHeight="1" x14ac:dyDescent="0.2">
      <c r="A5" s="619" t="s">
        <v>0</v>
      </c>
      <c r="B5" s="620"/>
      <c r="C5" s="620"/>
      <c r="D5" s="620"/>
      <c r="E5" s="620"/>
      <c r="F5" s="620"/>
      <c r="G5" s="620"/>
      <c r="H5" s="620"/>
      <c r="I5" s="620"/>
      <c r="J5" s="620"/>
      <c r="K5" s="620"/>
      <c r="L5" s="621"/>
      <c r="M5" s="215"/>
      <c r="N5" s="215"/>
      <c r="O5" s="214"/>
      <c r="P5" s="214"/>
      <c r="Q5" s="214"/>
      <c r="R5" s="214"/>
      <c r="S5" s="214"/>
      <c r="T5" s="214"/>
      <c r="U5" s="214"/>
      <c r="V5" s="214"/>
      <c r="W5" s="214"/>
      <c r="X5" s="214"/>
      <c r="Y5" s="214"/>
      <c r="Z5" s="214"/>
      <c r="AA5" s="214"/>
      <c r="AB5" s="214"/>
      <c r="AC5" s="214"/>
      <c r="AD5" s="214"/>
    </row>
    <row r="6" spans="1:30" ht="15.75" customHeight="1" x14ac:dyDescent="0.2">
      <c r="A6" s="622" t="s">
        <v>1</v>
      </c>
      <c r="B6" s="623"/>
      <c r="C6" s="623"/>
      <c r="D6" s="623"/>
      <c r="E6" s="623"/>
      <c r="F6" s="623"/>
      <c r="G6" s="623"/>
      <c r="H6" s="623"/>
      <c r="I6" s="623"/>
      <c r="J6" s="623"/>
      <c r="K6" s="623"/>
      <c r="L6" s="624"/>
      <c r="M6" s="215"/>
      <c r="N6" s="215"/>
      <c r="O6" s="216"/>
      <c r="P6" s="216">
        <f>+O6-4978199293.55</f>
        <v>-4978199293.5500002</v>
      </c>
      <c r="Q6" s="214"/>
      <c r="R6" s="214"/>
      <c r="S6" s="214"/>
      <c r="T6" s="214"/>
      <c r="U6" s="214"/>
      <c r="V6" s="214"/>
      <c r="W6" s="214"/>
      <c r="X6" s="214"/>
      <c r="Y6" s="214"/>
      <c r="Z6" s="214"/>
      <c r="AA6" s="214"/>
      <c r="AB6" s="214"/>
      <c r="AC6" s="214"/>
      <c r="AD6" s="214"/>
    </row>
    <row r="7" spans="1:30" ht="15.75" customHeight="1" thickBot="1" x14ac:dyDescent="0.25">
      <c r="A7" s="217"/>
      <c r="B7" s="218"/>
      <c r="C7" s="218"/>
      <c r="D7" s="218"/>
      <c r="E7" s="218"/>
      <c r="F7" s="218"/>
      <c r="G7" s="218"/>
      <c r="H7" s="218"/>
      <c r="I7" s="218"/>
      <c r="J7" s="218"/>
      <c r="K7" s="218"/>
      <c r="L7" s="219"/>
      <c r="M7" s="219"/>
      <c r="N7" s="215"/>
      <c r="O7" s="214"/>
      <c r="P7" s="214"/>
      <c r="Q7" s="214"/>
      <c r="R7" s="214"/>
      <c r="S7" s="214"/>
      <c r="T7" s="214"/>
      <c r="U7" s="214"/>
      <c r="V7" s="214"/>
      <c r="W7" s="214"/>
      <c r="X7" s="214"/>
      <c r="Y7" s="214"/>
      <c r="Z7" s="214"/>
      <c r="AA7" s="214"/>
      <c r="AB7" s="214"/>
      <c r="AC7" s="214"/>
      <c r="AD7" s="214"/>
    </row>
    <row r="8" spans="1:30" ht="117" thickBot="1" x14ac:dyDescent="0.25">
      <c r="A8" s="220" t="s">
        <v>291</v>
      </c>
      <c r="B8" s="600" t="s">
        <v>290</v>
      </c>
      <c r="C8" s="600" t="s">
        <v>2</v>
      </c>
      <c r="D8" s="222" t="s">
        <v>289</v>
      </c>
      <c r="E8" s="223" t="s">
        <v>288</v>
      </c>
      <c r="F8" s="222" t="s">
        <v>3</v>
      </c>
      <c r="G8" s="601" t="s">
        <v>287</v>
      </c>
      <c r="H8" s="601"/>
      <c r="I8" s="224" t="s">
        <v>2</v>
      </c>
      <c r="J8" s="225" t="s">
        <v>4</v>
      </c>
      <c r="K8" s="225" t="s">
        <v>5</v>
      </c>
      <c r="L8" s="226" t="s">
        <v>6</v>
      </c>
      <c r="M8" s="226" t="s">
        <v>7</v>
      </c>
      <c r="N8" s="213"/>
      <c r="O8" s="601"/>
      <c r="Q8" s="211">
        <f>SUM(I11:I20)</f>
        <v>4438200000</v>
      </c>
    </row>
    <row r="9" spans="1:30" x14ac:dyDescent="0.2">
      <c r="A9" s="228" t="s">
        <v>15</v>
      </c>
      <c r="B9" s="229" t="s">
        <v>15</v>
      </c>
      <c r="C9" s="230"/>
      <c r="D9" s="599"/>
      <c r="E9" s="599"/>
      <c r="F9" s="599"/>
      <c r="G9" s="231"/>
      <c r="H9" s="231"/>
      <c r="I9" s="232"/>
      <c r="J9" s="233"/>
      <c r="K9" s="234"/>
      <c r="L9" s="235"/>
      <c r="M9" s="235"/>
      <c r="N9" s="237"/>
      <c r="O9" s="256"/>
    </row>
    <row r="10" spans="1:30" x14ac:dyDescent="0.2">
      <c r="A10" s="238" t="str">
        <f>+'[7]Clasific. Económica de Ingresos'!A16</f>
        <v>1.1.2.1.01.00.0.0.000</v>
      </c>
      <c r="B10" s="239" t="s">
        <v>286</v>
      </c>
      <c r="C10" s="240">
        <f>SUM('[7]Clasific. Económica de Ingresos'!C16)</f>
        <v>7800000000</v>
      </c>
      <c r="D10" s="601"/>
      <c r="E10" s="601"/>
      <c r="F10" s="601"/>
      <c r="G10" s="241"/>
      <c r="H10" s="241"/>
      <c r="I10" s="242"/>
      <c r="J10" s="243"/>
      <c r="K10" s="244"/>
      <c r="L10" s="245">
        <f>+J10-K10</f>
        <v>0</v>
      </c>
      <c r="M10" s="245"/>
      <c r="N10" s="247"/>
      <c r="O10" s="256"/>
      <c r="P10" s="792" t="s">
        <v>15</v>
      </c>
    </row>
    <row r="11" spans="1:30" x14ac:dyDescent="0.2">
      <c r="A11" s="600"/>
      <c r="B11" s="601"/>
      <c r="C11" s="240"/>
      <c r="D11" s="601" t="s">
        <v>8</v>
      </c>
      <c r="E11" s="601" t="s">
        <v>184</v>
      </c>
      <c r="F11" s="601" t="s">
        <v>209</v>
      </c>
      <c r="G11" s="241" t="s">
        <v>285</v>
      </c>
      <c r="H11" s="241"/>
      <c r="I11" s="249">
        <f>+I12</f>
        <v>1302600000</v>
      </c>
      <c r="J11" s="250"/>
      <c r="K11" s="251"/>
      <c r="L11" s="252"/>
      <c r="M11" s="252"/>
      <c r="N11" s="247"/>
      <c r="O11" s="256"/>
      <c r="P11" s="792">
        <f>+I11+I300+I389+I399+I355+I468+I327+I346+I432+I234+I272+I481+I207+I536+I418+I374+I493+I446+I217+I508+I591++I227+I462+I190+I580</f>
        <v>7296349868.3084526</v>
      </c>
      <c r="Q11" s="211">
        <f>+P11+P14+I239+I277</f>
        <v>10030258375.876829</v>
      </c>
      <c r="R11" s="254">
        <f>+Q11-'[7]Egresos Programa I General'!E16</f>
        <v>-114620120.92000008</v>
      </c>
    </row>
    <row r="12" spans="1:30" x14ac:dyDescent="0.2">
      <c r="A12" s="600"/>
      <c r="B12" s="601"/>
      <c r="C12" s="240"/>
      <c r="D12" s="601"/>
      <c r="E12" s="601"/>
      <c r="F12" s="601"/>
      <c r="G12" s="241" t="s">
        <v>10</v>
      </c>
      <c r="H12" s="241"/>
      <c r="I12" s="255">
        <v>1302600000</v>
      </c>
      <c r="J12" s="250">
        <f>+I12</f>
        <v>1302600000</v>
      </c>
      <c r="K12" s="251"/>
      <c r="L12" s="252"/>
      <c r="M12" s="252"/>
      <c r="N12" s="247"/>
      <c r="O12" s="256"/>
      <c r="R12" s="254"/>
    </row>
    <row r="13" spans="1:30" x14ac:dyDescent="0.2">
      <c r="A13" s="600"/>
      <c r="B13" s="601"/>
      <c r="C13" s="240"/>
      <c r="D13" s="601"/>
      <c r="E13" s="601"/>
      <c r="F13" s="601"/>
      <c r="G13" s="241"/>
      <c r="H13" s="241"/>
      <c r="I13" s="255"/>
      <c r="J13" s="250"/>
      <c r="K13" s="251"/>
      <c r="L13" s="252"/>
      <c r="M13" s="252"/>
      <c r="N13" s="247"/>
      <c r="O13" s="256"/>
      <c r="R13" s="254"/>
    </row>
    <row r="14" spans="1:30" x14ac:dyDescent="0.2">
      <c r="A14" s="600"/>
      <c r="B14" s="601"/>
      <c r="C14" s="240"/>
      <c r="D14" s="601" t="s">
        <v>8</v>
      </c>
      <c r="E14" s="601" t="s">
        <v>191</v>
      </c>
      <c r="F14" s="601" t="s">
        <v>209</v>
      </c>
      <c r="G14" s="241" t="s">
        <v>284</v>
      </c>
      <c r="H14" s="241"/>
      <c r="I14" s="249">
        <f>+'[7]RELACION INGRESO GASTO DET.15'!I18</f>
        <v>117000000</v>
      </c>
      <c r="J14" s="250"/>
      <c r="K14" s="251"/>
      <c r="L14" s="252"/>
      <c r="M14" s="252"/>
      <c r="N14" s="247"/>
      <c r="O14" s="256"/>
      <c r="P14" s="793">
        <f>+I14+I17+I20+I182+I183+I184+I289+I292+I552+I555+I523+I558+I185+I186+I520+I526+I509+I242+I494+I193+I245+I23+I248</f>
        <v>2080943362.7899399</v>
      </c>
      <c r="R14" s="254"/>
    </row>
    <row r="15" spans="1:30" x14ac:dyDescent="0.2">
      <c r="A15" s="600"/>
      <c r="B15" s="601"/>
      <c r="C15" s="240"/>
      <c r="D15" s="601"/>
      <c r="E15" s="601"/>
      <c r="F15" s="601"/>
      <c r="G15" s="241" t="s">
        <v>207</v>
      </c>
      <c r="H15" s="241"/>
      <c r="I15" s="255">
        <v>117000000</v>
      </c>
      <c r="J15" s="250">
        <f>+I15</f>
        <v>117000000</v>
      </c>
      <c r="K15" s="251"/>
      <c r="L15" s="252"/>
      <c r="M15" s="252"/>
      <c r="N15" s="247"/>
      <c r="O15" s="256"/>
      <c r="P15" s="793"/>
      <c r="R15" s="254"/>
    </row>
    <row r="16" spans="1:30" x14ac:dyDescent="0.2">
      <c r="A16" s="600"/>
      <c r="B16" s="601"/>
      <c r="C16" s="240"/>
      <c r="D16" s="601"/>
      <c r="E16" s="601"/>
      <c r="F16" s="601"/>
      <c r="G16" s="241"/>
      <c r="H16" s="241"/>
      <c r="I16" s="255"/>
      <c r="J16" s="250"/>
      <c r="K16" s="251"/>
      <c r="L16" s="252"/>
      <c r="M16" s="252"/>
      <c r="N16" s="247"/>
      <c r="O16" s="256"/>
      <c r="P16" s="793"/>
      <c r="R16" s="254"/>
    </row>
    <row r="17" spans="1:18" x14ac:dyDescent="0.2">
      <c r="A17" s="600"/>
      <c r="B17" s="601"/>
      <c r="C17" s="240"/>
      <c r="D17" s="601" t="s">
        <v>8</v>
      </c>
      <c r="E17" s="601" t="s">
        <v>191</v>
      </c>
      <c r="F17" s="601" t="s">
        <v>209</v>
      </c>
      <c r="G17" s="241" t="s">
        <v>283</v>
      </c>
      <c r="H17" s="241"/>
      <c r="I17" s="249">
        <f>+'[7]RELACION INGRESO GASTO DET.15'!I15</f>
        <v>780000000</v>
      </c>
      <c r="J17" s="250"/>
      <c r="K17" s="251"/>
      <c r="L17" s="252"/>
      <c r="M17" s="252"/>
      <c r="N17" s="247"/>
      <c r="O17" s="256"/>
      <c r="R17" s="254"/>
    </row>
    <row r="18" spans="1:18" x14ac:dyDescent="0.2">
      <c r="A18" s="600"/>
      <c r="B18" s="601"/>
      <c r="C18" s="240"/>
      <c r="D18" s="601"/>
      <c r="E18" s="601"/>
      <c r="F18" s="601"/>
      <c r="G18" s="241" t="s">
        <v>207</v>
      </c>
      <c r="H18" s="241"/>
      <c r="I18" s="255">
        <v>780000000</v>
      </c>
      <c r="J18" s="250">
        <f>+I18</f>
        <v>780000000</v>
      </c>
      <c r="K18" s="251"/>
      <c r="L18" s="252"/>
      <c r="M18" s="252"/>
      <c r="N18" s="247"/>
      <c r="O18" s="256"/>
      <c r="R18" s="254"/>
    </row>
    <row r="19" spans="1:18" x14ac:dyDescent="0.2">
      <c r="A19" s="600"/>
      <c r="B19" s="601"/>
      <c r="C19" s="240"/>
      <c r="D19" s="601"/>
      <c r="E19" s="601"/>
      <c r="F19" s="601"/>
      <c r="G19" s="241"/>
      <c r="H19" s="241"/>
      <c r="I19" s="255"/>
      <c r="J19" s="250"/>
      <c r="K19" s="251"/>
      <c r="L19" s="252"/>
      <c r="M19" s="252"/>
      <c r="N19" s="247"/>
      <c r="O19" s="256"/>
      <c r="R19" s="254"/>
    </row>
    <row r="20" spans="1:18" ht="15" customHeight="1" x14ac:dyDescent="0.2">
      <c r="A20" s="600"/>
      <c r="B20" s="601"/>
      <c r="C20" s="240"/>
      <c r="D20" s="601" t="s">
        <v>8</v>
      </c>
      <c r="E20" s="601" t="s">
        <v>191</v>
      </c>
      <c r="F20" s="601" t="s">
        <v>209</v>
      </c>
      <c r="G20" s="258" t="s">
        <v>282</v>
      </c>
      <c r="H20" s="258"/>
      <c r="I20" s="249">
        <f>+'[7]RELACION INGRESO GASTO DET.15'!I21</f>
        <v>39000000</v>
      </c>
      <c r="J20" s="250"/>
      <c r="K20" s="251"/>
      <c r="L20" s="252"/>
      <c r="M20" s="252"/>
      <c r="N20" s="247"/>
      <c r="O20" s="256"/>
      <c r="R20" s="254"/>
    </row>
    <row r="21" spans="1:18" ht="15" customHeight="1" x14ac:dyDescent="0.2">
      <c r="A21" s="600"/>
      <c r="B21" s="601"/>
      <c r="C21" s="240"/>
      <c r="D21" s="601"/>
      <c r="E21" s="601"/>
      <c r="F21" s="601"/>
      <c r="G21" s="241" t="s">
        <v>207</v>
      </c>
      <c r="H21" s="258"/>
      <c r="I21" s="255">
        <v>39000000</v>
      </c>
      <c r="J21" s="250">
        <f>+I21</f>
        <v>39000000</v>
      </c>
      <c r="K21" s="251"/>
      <c r="L21" s="252"/>
      <c r="M21" s="252"/>
      <c r="N21" s="247"/>
      <c r="O21" s="256"/>
      <c r="R21" s="254"/>
    </row>
    <row r="22" spans="1:18" ht="15" customHeight="1" x14ac:dyDescent="0.2">
      <c r="A22" s="600"/>
      <c r="B22" s="601"/>
      <c r="C22" s="240"/>
      <c r="D22" s="601"/>
      <c r="E22" s="601"/>
      <c r="F22" s="601"/>
      <c r="G22" s="258"/>
      <c r="H22" s="258"/>
      <c r="I22" s="255"/>
      <c r="J22" s="250"/>
      <c r="K22" s="251"/>
      <c r="L22" s="252"/>
      <c r="M22" s="252"/>
      <c r="N22" s="247"/>
      <c r="O22" s="256"/>
      <c r="R22" s="254"/>
    </row>
    <row r="23" spans="1:18" s="265" customFormat="1" ht="15" customHeight="1" x14ac:dyDescent="0.2">
      <c r="A23" s="600"/>
      <c r="B23" s="601"/>
      <c r="C23" s="240"/>
      <c r="D23" s="601" t="s">
        <v>8</v>
      </c>
      <c r="E23" s="601" t="s">
        <v>191</v>
      </c>
      <c r="F23" s="601"/>
      <c r="G23" s="258" t="str">
        <f>+[7]ProgramaI!B32</f>
        <v xml:space="preserve">Comité Cantonal Deportes y Recreación </v>
      </c>
      <c r="H23" s="258"/>
      <c r="I23" s="249">
        <v>115000000</v>
      </c>
      <c r="J23" s="250"/>
      <c r="K23" s="251"/>
      <c r="L23" s="252"/>
      <c r="M23" s="252"/>
      <c r="N23" s="260"/>
      <c r="O23" s="256"/>
      <c r="P23" s="794"/>
      <c r="Q23" s="263"/>
      <c r="R23" s="264"/>
    </row>
    <row r="24" spans="1:18" ht="15" customHeight="1" x14ac:dyDescent="0.2">
      <c r="A24" s="600"/>
      <c r="B24" s="601"/>
      <c r="C24" s="240"/>
      <c r="D24" s="601"/>
      <c r="E24" s="601"/>
      <c r="F24" s="601"/>
      <c r="G24" s="258" t="s">
        <v>207</v>
      </c>
      <c r="H24" s="258"/>
      <c r="I24" s="255">
        <v>115000000</v>
      </c>
      <c r="J24" s="250">
        <f>+I24</f>
        <v>115000000</v>
      </c>
      <c r="K24" s="251"/>
      <c r="L24" s="252"/>
      <c r="M24" s="252"/>
      <c r="N24" s="247"/>
      <c r="O24" s="256"/>
      <c r="P24" s="795"/>
      <c r="R24" s="254"/>
    </row>
    <row r="25" spans="1:18" ht="15" customHeight="1" x14ac:dyDescent="0.2">
      <c r="A25" s="600"/>
      <c r="B25" s="601"/>
      <c r="C25" s="240"/>
      <c r="D25" s="601"/>
      <c r="E25" s="601"/>
      <c r="F25" s="601"/>
      <c r="G25" s="258"/>
      <c r="H25" s="258"/>
      <c r="I25" s="255"/>
      <c r="J25" s="250"/>
      <c r="K25" s="251"/>
      <c r="L25" s="252"/>
      <c r="M25" s="252"/>
      <c r="N25" s="247"/>
      <c r="O25" s="256"/>
      <c r="R25" s="254"/>
    </row>
    <row r="26" spans="1:18" hidden="1" x14ac:dyDescent="0.2">
      <c r="A26" s="600"/>
      <c r="B26" s="601"/>
      <c r="C26" s="240"/>
      <c r="D26" s="601" t="s">
        <v>19</v>
      </c>
      <c r="E26" s="601" t="s">
        <v>184</v>
      </c>
      <c r="F26" s="601"/>
      <c r="G26" s="258" t="str">
        <f>+'[7]Egresos Programa II General'!B11</f>
        <v>Aseo de Vías y Sitios Públicos</v>
      </c>
      <c r="H26" s="258"/>
      <c r="I26" s="255">
        <f>+'[7]INGRESOS LIBRES DETALLE Nº17'!E12</f>
        <v>0</v>
      </c>
      <c r="J26" s="250"/>
      <c r="K26" s="251"/>
      <c r="L26" s="252"/>
      <c r="M26" s="252"/>
      <c r="N26" s="247"/>
      <c r="O26" s="256"/>
      <c r="P26" s="796">
        <f>+I26+I421</f>
        <v>724368117.56290317</v>
      </c>
      <c r="Q26" s="211">
        <f>+P26+I38+I44+I58+I69+P73+I93+I94+I112+I358+I349+I330+I307+I402+I435+I471+I484+I449</f>
        <v>8525755532.4290724</v>
      </c>
      <c r="R26" s="254">
        <f>+'[7]Egresos Programa II General'!C46-'Origen y Aplicación'!Q26</f>
        <v>2589881567.4335051</v>
      </c>
    </row>
    <row r="27" spans="1:18" hidden="1" x14ac:dyDescent="0.2">
      <c r="A27" s="600"/>
      <c r="B27" s="601"/>
      <c r="C27" s="240"/>
      <c r="D27" s="601" t="s">
        <v>19</v>
      </c>
      <c r="E27" s="601" t="s">
        <v>185</v>
      </c>
      <c r="F27" s="601"/>
      <c r="G27" s="258" t="str">
        <f>+'[7]Egresos Programa II General'!B13</f>
        <v>Recolección de Basuras</v>
      </c>
      <c r="H27" s="258"/>
      <c r="I27" s="255">
        <f>+'[7]INGRESOS LIBRES DETALLE Nº17'!E13</f>
        <v>0</v>
      </c>
      <c r="J27" s="250"/>
      <c r="K27" s="251"/>
      <c r="L27" s="252"/>
      <c r="M27" s="252"/>
      <c r="N27" s="247"/>
      <c r="O27" s="256"/>
      <c r="P27" s="796">
        <f>+I27+I402</f>
        <v>3117778663.0411916</v>
      </c>
      <c r="R27" s="254"/>
    </row>
    <row r="28" spans="1:18" hidden="1" x14ac:dyDescent="0.2">
      <c r="A28" s="600"/>
      <c r="B28" s="601"/>
      <c r="C28" s="240"/>
      <c r="D28" s="601" t="s">
        <v>19</v>
      </c>
      <c r="E28" s="601" t="s">
        <v>182</v>
      </c>
      <c r="F28" s="601"/>
      <c r="G28" s="258" t="str">
        <f>+'[7]Egresos Programa II General'!B15</f>
        <v>Parques Obras de Ornato</v>
      </c>
      <c r="H28" s="258"/>
      <c r="I28" s="255">
        <f>+'[7]INGRESOS LIBRES DETALLE Nº17'!E14</f>
        <v>0</v>
      </c>
      <c r="J28" s="250"/>
      <c r="K28" s="251"/>
      <c r="L28" s="252"/>
      <c r="M28" s="252"/>
      <c r="N28" s="247"/>
      <c r="O28" s="256"/>
      <c r="P28" s="796">
        <f>+I28+I435</f>
        <v>247033991.92247096</v>
      </c>
      <c r="R28" s="254"/>
    </row>
    <row r="29" spans="1:18" x14ac:dyDescent="0.2">
      <c r="A29" s="600"/>
      <c r="B29" s="601"/>
      <c r="C29" s="240"/>
      <c r="D29" s="601" t="s">
        <v>8</v>
      </c>
      <c r="E29" s="601" t="s">
        <v>191</v>
      </c>
      <c r="F29" s="601"/>
      <c r="G29" s="258" t="str">
        <f>+[7]ProgramaI!B38</f>
        <v>Otras Transferencias a Personas</v>
      </c>
      <c r="H29" s="258"/>
      <c r="I29" s="249">
        <f>+I30</f>
        <v>20000000</v>
      </c>
      <c r="J29" s="250"/>
      <c r="K29" s="251"/>
      <c r="L29" s="252"/>
      <c r="M29" s="252"/>
      <c r="N29" s="247"/>
      <c r="O29" s="256"/>
      <c r="P29" s="796"/>
      <c r="R29" s="254"/>
    </row>
    <row r="30" spans="1:18" x14ac:dyDescent="0.2">
      <c r="A30" s="600"/>
      <c r="B30" s="601"/>
      <c r="C30" s="240"/>
      <c r="D30" s="601"/>
      <c r="E30" s="601"/>
      <c r="F30" s="601"/>
      <c r="G30" s="258" t="s">
        <v>357</v>
      </c>
      <c r="H30" s="258"/>
      <c r="I30" s="255">
        <v>20000000</v>
      </c>
      <c r="J30" s="250">
        <f>+I30</f>
        <v>20000000</v>
      </c>
      <c r="K30" s="251"/>
      <c r="L30" s="252"/>
      <c r="M30" s="252"/>
      <c r="N30" s="237"/>
      <c r="O30" s="256"/>
      <c r="P30" s="796"/>
      <c r="R30" s="254"/>
    </row>
    <row r="31" spans="1:18" x14ac:dyDescent="0.2">
      <c r="A31" s="600"/>
      <c r="B31" s="601"/>
      <c r="C31" s="240"/>
      <c r="D31" s="601"/>
      <c r="E31" s="601"/>
      <c r="F31" s="601"/>
      <c r="G31" s="258"/>
      <c r="H31" s="258"/>
      <c r="I31" s="255"/>
      <c r="J31" s="250"/>
      <c r="K31" s="251"/>
      <c r="L31" s="252"/>
      <c r="M31" s="252"/>
      <c r="N31" s="237"/>
      <c r="O31" s="256"/>
      <c r="P31" s="796"/>
      <c r="R31" s="254"/>
    </row>
    <row r="32" spans="1:18" x14ac:dyDescent="0.2">
      <c r="A32" s="600"/>
      <c r="B32" s="601"/>
      <c r="C32" s="240"/>
      <c r="D32" s="601" t="s">
        <v>19</v>
      </c>
      <c r="E32" s="601" t="s">
        <v>189</v>
      </c>
      <c r="F32" s="601"/>
      <c r="G32" s="258" t="str">
        <f>+'[7]Egresos Programa II General'!B19</f>
        <v>Mercados, Plazas y Ferias</v>
      </c>
      <c r="H32" s="258"/>
      <c r="I32" s="249">
        <f>+'[7]INGRESOS LIBRES DETALLE Nº17'!E16</f>
        <v>37306329.100000001</v>
      </c>
      <c r="J32" s="250"/>
      <c r="K32" s="251"/>
      <c r="L32" s="252"/>
      <c r="M32" s="252"/>
      <c r="N32" s="237"/>
      <c r="O32" s="247"/>
      <c r="P32" s="796">
        <f>+I32+I330+I484+I349+I342</f>
        <v>332100364.26608586</v>
      </c>
      <c r="R32" s="254"/>
    </row>
    <row r="33" spans="1:18" x14ac:dyDescent="0.2">
      <c r="A33" s="600"/>
      <c r="B33" s="601"/>
      <c r="C33" s="240"/>
      <c r="D33" s="601"/>
      <c r="E33" s="601"/>
      <c r="F33" s="601"/>
      <c r="G33" s="241" t="s">
        <v>9</v>
      </c>
      <c r="H33" s="241"/>
      <c r="I33" s="255">
        <f>26306268.71-813506.72</f>
        <v>25492761.990000002</v>
      </c>
      <c r="J33" s="250">
        <f>+I33</f>
        <v>25492761.990000002</v>
      </c>
      <c r="K33" s="251"/>
      <c r="L33" s="252"/>
      <c r="M33" s="252"/>
      <c r="N33" s="237"/>
      <c r="O33" s="247"/>
      <c r="P33" s="796"/>
      <c r="R33" s="254"/>
    </row>
    <row r="34" spans="1:18" x14ac:dyDescent="0.2">
      <c r="A34" s="600"/>
      <c r="B34" s="601"/>
      <c r="C34" s="240"/>
      <c r="D34" s="601"/>
      <c r="E34" s="601"/>
      <c r="F34" s="601"/>
      <c r="G34" s="241" t="s">
        <v>10</v>
      </c>
      <c r="H34" s="241"/>
      <c r="I34" s="255">
        <f>7550000+753567.11+60000</f>
        <v>8363567.1100000003</v>
      </c>
      <c r="J34" s="250">
        <f>+I34</f>
        <v>8363567.1100000003</v>
      </c>
      <c r="K34" s="251"/>
      <c r="L34" s="252"/>
      <c r="M34" s="252"/>
      <c r="N34" s="237"/>
      <c r="O34" s="247">
        <f>SUM(I33:I36)</f>
        <v>37306329.100000001</v>
      </c>
      <c r="P34" s="796"/>
      <c r="R34" s="254"/>
    </row>
    <row r="35" spans="1:18" x14ac:dyDescent="0.2">
      <c r="A35" s="600"/>
      <c r="B35" s="601"/>
      <c r="C35" s="240"/>
      <c r="D35" s="601"/>
      <c r="E35" s="601"/>
      <c r="F35" s="601"/>
      <c r="G35" s="241" t="s">
        <v>276</v>
      </c>
      <c r="H35" s="241"/>
      <c r="I35" s="255">
        <v>950000</v>
      </c>
      <c r="J35" s="250">
        <f>+I35</f>
        <v>950000</v>
      </c>
      <c r="K35" s="251"/>
      <c r="L35" s="252"/>
      <c r="M35" s="252"/>
      <c r="N35" s="237"/>
      <c r="O35" s="211">
        <f>+I33+I332+I485</f>
        <v>175559452.63999999</v>
      </c>
      <c r="P35" s="796"/>
      <c r="R35" s="254"/>
    </row>
    <row r="36" spans="1:18" x14ac:dyDescent="0.2">
      <c r="A36" s="600"/>
      <c r="B36" s="601"/>
      <c r="C36" s="240"/>
      <c r="D36" s="601"/>
      <c r="E36" s="601"/>
      <c r="F36" s="601"/>
      <c r="G36" s="241" t="s">
        <v>207</v>
      </c>
      <c r="H36" s="241"/>
      <c r="I36" s="255">
        <v>2500000</v>
      </c>
      <c r="J36" s="250">
        <f>+I36</f>
        <v>2500000</v>
      </c>
      <c r="K36" s="251"/>
      <c r="L36" s="252"/>
      <c r="M36" s="252"/>
      <c r="N36" s="237"/>
      <c r="O36" s="247">
        <f>+I34+I333</f>
        <v>121521041.58999999</v>
      </c>
      <c r="P36" s="796"/>
      <c r="R36" s="254"/>
    </row>
    <row r="37" spans="1:18" x14ac:dyDescent="0.2">
      <c r="A37" s="600"/>
      <c r="B37" s="601"/>
      <c r="C37" s="240"/>
      <c r="D37" s="601"/>
      <c r="E37" s="601"/>
      <c r="F37" s="601"/>
      <c r="G37" s="241"/>
      <c r="H37" s="241"/>
      <c r="I37" s="255"/>
      <c r="J37" s="250"/>
      <c r="K37" s="251"/>
      <c r="L37" s="252"/>
      <c r="M37" s="252"/>
      <c r="N37" s="237"/>
      <c r="O37" s="247"/>
      <c r="P37" s="796"/>
      <c r="R37" s="254"/>
    </row>
    <row r="38" spans="1:18" x14ac:dyDescent="0.2">
      <c r="A38" s="600"/>
      <c r="B38" s="601"/>
      <c r="C38" s="240"/>
      <c r="D38" s="601" t="s">
        <v>19</v>
      </c>
      <c r="E38" s="601" t="s">
        <v>187</v>
      </c>
      <c r="F38" s="601" t="s">
        <v>209</v>
      </c>
      <c r="G38" s="241" t="str">
        <f>+'[7]Egresos Programa II General'!B21</f>
        <v>Educativos, Culturales y Deportivos</v>
      </c>
      <c r="H38" s="241"/>
      <c r="I38" s="249">
        <f>+'[7]INGRESOS LIBRES DETALLE Nº17'!E17</f>
        <v>206392070.28</v>
      </c>
      <c r="J38" s="250"/>
      <c r="K38" s="251"/>
      <c r="L38" s="252"/>
      <c r="M38" s="252"/>
      <c r="N38" s="237"/>
      <c r="O38" s="247"/>
      <c r="P38" s="792">
        <f>+I38</f>
        <v>206392070.28</v>
      </c>
    </row>
    <row r="39" spans="1:18" x14ac:dyDescent="0.2">
      <c r="A39" s="600"/>
      <c r="B39" s="601"/>
      <c r="C39" s="240"/>
      <c r="D39" s="601"/>
      <c r="E39" s="601"/>
      <c r="F39" s="601"/>
      <c r="G39" s="241" t="s">
        <v>9</v>
      </c>
      <c r="H39" s="241"/>
      <c r="I39" s="255">
        <v>52408441.439999998</v>
      </c>
      <c r="J39" s="250">
        <f>+I39</f>
        <v>52408441.439999998</v>
      </c>
      <c r="K39" s="251"/>
      <c r="L39" s="268"/>
      <c r="M39" s="268"/>
      <c r="N39" s="237"/>
      <c r="O39" s="247"/>
    </row>
    <row r="40" spans="1:18" x14ac:dyDescent="0.2">
      <c r="A40" s="600"/>
      <c r="B40" s="601"/>
      <c r="C40" s="240"/>
      <c r="D40" s="601"/>
      <c r="E40" s="601"/>
      <c r="F40" s="601"/>
      <c r="G40" s="241" t="s">
        <v>10</v>
      </c>
      <c r="H40" s="241"/>
      <c r="I40" s="255">
        <v>148183628.84</v>
      </c>
      <c r="J40" s="250">
        <f>+I40</f>
        <v>148183628.84</v>
      </c>
      <c r="K40" s="251"/>
      <c r="L40" s="252"/>
      <c r="M40" s="252"/>
      <c r="N40" s="237"/>
      <c r="O40" s="247"/>
    </row>
    <row r="41" spans="1:18" x14ac:dyDescent="0.2">
      <c r="A41" s="600"/>
      <c r="B41" s="601"/>
      <c r="C41" s="240"/>
      <c r="D41" s="601"/>
      <c r="E41" s="601"/>
      <c r="F41" s="601"/>
      <c r="G41" s="241" t="s">
        <v>276</v>
      </c>
      <c r="H41" s="241"/>
      <c r="I41" s="255">
        <v>3000000</v>
      </c>
      <c r="J41" s="250">
        <f>+I41</f>
        <v>3000000</v>
      </c>
      <c r="K41" s="251"/>
      <c r="L41" s="252"/>
      <c r="M41" s="252"/>
      <c r="N41" s="237"/>
      <c r="O41" s="247"/>
    </row>
    <row r="42" spans="1:18" x14ac:dyDescent="0.2">
      <c r="A42" s="600"/>
      <c r="B42" s="601"/>
      <c r="C42" s="240"/>
      <c r="D42" s="601"/>
      <c r="E42" s="601"/>
      <c r="F42" s="601"/>
      <c r="G42" s="241" t="s">
        <v>207</v>
      </c>
      <c r="H42" s="241"/>
      <c r="I42" s="255">
        <v>2800000</v>
      </c>
      <c r="J42" s="250">
        <f>+I42</f>
        <v>2800000</v>
      </c>
      <c r="K42" s="251"/>
      <c r="L42" s="252"/>
      <c r="M42" s="252"/>
      <c r="N42" s="237"/>
      <c r="O42" s="247"/>
    </row>
    <row r="43" spans="1:18" x14ac:dyDescent="0.2">
      <c r="A43" s="600"/>
      <c r="B43" s="601"/>
      <c r="C43" s="240"/>
      <c r="D43" s="601"/>
      <c r="E43" s="601"/>
      <c r="F43" s="601"/>
      <c r="G43" s="241"/>
      <c r="H43" s="241"/>
      <c r="I43" s="255"/>
      <c r="J43" s="250"/>
      <c r="K43" s="251"/>
      <c r="L43" s="252"/>
      <c r="M43" s="252"/>
      <c r="N43" s="237"/>
      <c r="O43" s="247"/>
    </row>
    <row r="44" spans="1:18" x14ac:dyDescent="0.2">
      <c r="A44" s="600"/>
      <c r="B44" s="601"/>
      <c r="C44" s="240"/>
      <c r="D44" s="601" t="s">
        <v>19</v>
      </c>
      <c r="E44" s="601">
        <v>10</v>
      </c>
      <c r="F44" s="601"/>
      <c r="G44" s="241" t="str">
        <f>+'[7]Egresos Programa II General'!B23</f>
        <v>Servicios Sociales Complementarios</v>
      </c>
      <c r="H44" s="241"/>
      <c r="I44" s="249">
        <f>+'[7]INGRESOS LIBRES DETALLE Nº17'!E18</f>
        <v>438954906.85999995</v>
      </c>
      <c r="J44" s="250"/>
      <c r="K44" s="251"/>
      <c r="L44" s="252"/>
      <c r="M44" s="252"/>
      <c r="N44" s="237"/>
      <c r="O44" s="247"/>
      <c r="P44" s="792">
        <f>+I44+I580+I575+I636+I455+I640</f>
        <v>507519682.58999997</v>
      </c>
      <c r="Q44" s="211">
        <v>303000</v>
      </c>
    </row>
    <row r="45" spans="1:18" x14ac:dyDescent="0.2">
      <c r="A45" s="600"/>
      <c r="B45" s="601"/>
      <c r="C45" s="240"/>
      <c r="D45" s="601"/>
      <c r="E45" s="601"/>
      <c r="F45" s="601"/>
      <c r="G45" s="241" t="s">
        <v>9</v>
      </c>
      <c r="H45" s="241"/>
      <c r="I45" s="269">
        <v>274258117.92000002</v>
      </c>
      <c r="J45" s="250">
        <f>+I45</f>
        <v>274258117.92000002</v>
      </c>
      <c r="K45" s="251"/>
      <c r="L45" s="252"/>
      <c r="M45" s="252"/>
      <c r="N45" s="237"/>
      <c r="O45" s="247"/>
    </row>
    <row r="46" spans="1:18" x14ac:dyDescent="0.2">
      <c r="A46" s="600"/>
      <c r="B46" s="601"/>
      <c r="C46" s="240"/>
      <c r="D46" s="601"/>
      <c r="E46" s="601"/>
      <c r="F46" s="601"/>
      <c r="G46" s="241" t="s">
        <v>10</v>
      </c>
      <c r="H46" s="241"/>
      <c r="I46" s="269">
        <v>149996788.94</v>
      </c>
      <c r="J46" s="250">
        <f>+I46</f>
        <v>149996788.94</v>
      </c>
      <c r="K46" s="251"/>
      <c r="L46" s="252"/>
      <c r="M46" s="252"/>
      <c r="N46" s="237"/>
      <c r="O46" s="247"/>
    </row>
    <row r="47" spans="1:18" x14ac:dyDescent="0.2">
      <c r="A47" s="600"/>
      <c r="B47" s="601"/>
      <c r="C47" s="240"/>
      <c r="D47" s="601"/>
      <c r="E47" s="601"/>
      <c r="F47" s="601"/>
      <c r="G47" s="241" t="s">
        <v>276</v>
      </c>
      <c r="H47" s="241"/>
      <c r="I47" s="269">
        <v>3550000</v>
      </c>
      <c r="J47" s="250">
        <f>+I47</f>
        <v>3550000</v>
      </c>
      <c r="K47" s="251"/>
      <c r="L47" s="252"/>
      <c r="M47" s="252"/>
      <c r="N47" s="237"/>
      <c r="O47" s="247"/>
    </row>
    <row r="48" spans="1:18" x14ac:dyDescent="0.2">
      <c r="A48" s="600"/>
      <c r="B48" s="601"/>
      <c r="C48" s="240"/>
      <c r="D48" s="601"/>
      <c r="E48" s="601"/>
      <c r="F48" s="601"/>
      <c r="G48" s="241" t="s">
        <v>181</v>
      </c>
      <c r="H48" s="241"/>
      <c r="I48" s="269">
        <v>150000</v>
      </c>
      <c r="J48" s="250"/>
      <c r="K48" s="251">
        <f>+I48</f>
        <v>150000</v>
      </c>
      <c r="L48" s="252"/>
      <c r="M48" s="252"/>
      <c r="N48" s="237"/>
      <c r="O48" s="247"/>
    </row>
    <row r="49" spans="1:16" x14ac:dyDescent="0.2">
      <c r="A49" s="600"/>
      <c r="B49" s="601"/>
      <c r="C49" s="240"/>
      <c r="D49" s="601"/>
      <c r="E49" s="601"/>
      <c r="F49" s="601"/>
      <c r="G49" s="241" t="s">
        <v>207</v>
      </c>
      <c r="H49" s="241"/>
      <c r="I49" s="269">
        <v>11000000</v>
      </c>
      <c r="J49" s="250">
        <f>+I49</f>
        <v>11000000</v>
      </c>
      <c r="K49" s="251"/>
      <c r="L49" s="252"/>
      <c r="M49" s="252"/>
      <c r="N49" s="237"/>
      <c r="O49" s="247"/>
    </row>
    <row r="50" spans="1:16" x14ac:dyDescent="0.2">
      <c r="A50" s="600"/>
      <c r="B50" s="601"/>
      <c r="C50" s="240"/>
      <c r="D50" s="601"/>
      <c r="E50" s="601"/>
      <c r="F50" s="601"/>
      <c r="G50" s="241"/>
      <c r="H50" s="241"/>
      <c r="I50" s="249"/>
      <c r="J50" s="250"/>
      <c r="K50" s="251"/>
      <c r="L50" s="252"/>
      <c r="M50" s="252"/>
      <c r="N50" s="237"/>
      <c r="O50" s="247"/>
    </row>
    <row r="51" spans="1:16" hidden="1" x14ac:dyDescent="0.2">
      <c r="A51" s="600"/>
      <c r="B51" s="601"/>
      <c r="C51" s="240"/>
      <c r="D51" s="601"/>
      <c r="E51" s="601"/>
      <c r="F51" s="601"/>
      <c r="G51" s="241"/>
      <c r="H51" s="241"/>
      <c r="I51" s="249"/>
      <c r="J51" s="250"/>
      <c r="K51" s="251"/>
      <c r="L51" s="252"/>
      <c r="M51" s="252"/>
      <c r="N51" s="237"/>
      <c r="O51" s="247"/>
    </row>
    <row r="52" spans="1:16" hidden="1" x14ac:dyDescent="0.2">
      <c r="A52" s="600"/>
      <c r="B52" s="601"/>
      <c r="C52" s="240"/>
      <c r="D52" s="601"/>
      <c r="E52" s="601"/>
      <c r="F52" s="601"/>
      <c r="G52" s="241"/>
      <c r="H52" s="241"/>
      <c r="I52" s="249"/>
      <c r="J52" s="250"/>
      <c r="K52" s="251"/>
      <c r="L52" s="252"/>
      <c r="M52" s="252"/>
      <c r="N52" s="237"/>
      <c r="O52" s="247"/>
    </row>
    <row r="53" spans="1:16" hidden="1" x14ac:dyDescent="0.2">
      <c r="A53" s="600"/>
      <c r="B53" s="601"/>
      <c r="C53" s="240"/>
      <c r="D53" s="601"/>
      <c r="E53" s="601"/>
      <c r="F53" s="601"/>
      <c r="G53" s="241"/>
      <c r="H53" s="241"/>
      <c r="I53" s="249"/>
      <c r="J53" s="250"/>
      <c r="K53" s="251"/>
      <c r="L53" s="252"/>
      <c r="M53" s="252"/>
      <c r="N53" s="237"/>
      <c r="O53" s="247"/>
    </row>
    <row r="54" spans="1:16" x14ac:dyDescent="0.2">
      <c r="A54" s="600"/>
      <c r="B54" s="601"/>
      <c r="C54" s="240"/>
      <c r="D54" s="601" t="s">
        <v>19</v>
      </c>
      <c r="E54" s="601">
        <v>11</v>
      </c>
      <c r="F54" s="601"/>
      <c r="G54" s="241" t="s">
        <v>281</v>
      </c>
      <c r="H54" s="241"/>
      <c r="I54" s="249">
        <f>+'[7]INGRESOS LIBRES DETALLE Nº17'!E19</f>
        <v>166731281.22999999</v>
      </c>
      <c r="J54" s="250"/>
      <c r="K54" s="251"/>
      <c r="L54" s="252"/>
      <c r="M54" s="252"/>
      <c r="N54" s="237"/>
      <c r="O54" s="247"/>
      <c r="P54" s="792">
        <f>+I54+I471</f>
        <v>231531281.22513998</v>
      </c>
    </row>
    <row r="55" spans="1:16" hidden="1" x14ac:dyDescent="0.2">
      <c r="A55" s="600"/>
      <c r="B55" s="601"/>
      <c r="C55" s="240"/>
      <c r="D55" s="601" t="s">
        <v>19</v>
      </c>
      <c r="E55" s="601">
        <v>13</v>
      </c>
      <c r="F55" s="601"/>
      <c r="G55" s="241" t="str">
        <f>+'[7]Egresos Programa II General'!B27</f>
        <v>Alcantarillados Sanitarios</v>
      </c>
      <c r="H55" s="241"/>
      <c r="I55" s="255">
        <f>+'[7]INGRESOS LIBRES DETALLE Nº17'!E20</f>
        <v>0</v>
      </c>
      <c r="J55" s="250"/>
      <c r="K55" s="251"/>
      <c r="L55" s="252"/>
      <c r="M55" s="252"/>
      <c r="N55" s="237"/>
      <c r="O55" s="247"/>
      <c r="P55" s="792">
        <f>+I55+I614+I358</f>
        <v>564650713.45130992</v>
      </c>
    </row>
    <row r="56" spans="1:16" x14ac:dyDescent="0.2">
      <c r="A56" s="600"/>
      <c r="B56" s="601"/>
      <c r="C56" s="240"/>
      <c r="D56" s="601"/>
      <c r="E56" s="601"/>
      <c r="F56" s="601"/>
      <c r="G56" s="241" t="s">
        <v>9</v>
      </c>
      <c r="H56" s="241"/>
      <c r="I56" s="255">
        <f>171481778.79-4134195.09-616302.47</f>
        <v>166731281.22999999</v>
      </c>
      <c r="J56" s="250">
        <f>+I56</f>
        <v>166731281.22999999</v>
      </c>
      <c r="K56" s="251"/>
      <c r="L56" s="252"/>
      <c r="M56" s="252"/>
      <c r="N56" s="237"/>
      <c r="O56" s="247">
        <f>+I56+I472</f>
        <v>209304208.82999998</v>
      </c>
    </row>
    <row r="57" spans="1:16" ht="12" customHeight="1" x14ac:dyDescent="0.2">
      <c r="A57" s="600"/>
      <c r="B57" s="601"/>
      <c r="C57" s="240"/>
      <c r="D57" s="601"/>
      <c r="E57" s="601"/>
      <c r="F57" s="601"/>
      <c r="G57" s="241"/>
      <c r="H57" s="241"/>
      <c r="I57" s="255"/>
      <c r="J57" s="250"/>
      <c r="K57" s="251"/>
      <c r="L57" s="252"/>
      <c r="M57" s="252"/>
      <c r="N57" s="237"/>
      <c r="O57" s="247"/>
    </row>
    <row r="58" spans="1:16" ht="12" customHeight="1" x14ac:dyDescent="0.2">
      <c r="A58" s="600"/>
      <c r="B58" s="601"/>
      <c r="C58" s="240"/>
      <c r="D58" s="601" t="s">
        <v>19</v>
      </c>
      <c r="E58" s="601">
        <v>18</v>
      </c>
      <c r="F58" s="601"/>
      <c r="G58" s="241" t="str">
        <f>+'[7]Egresos Programa II General'!B29</f>
        <v>Reparaciones Menores de Maquinaria y Equipo</v>
      </c>
      <c r="H58" s="241"/>
      <c r="I58" s="249">
        <f>+'[7]INGRESOS LIBRES DETALLE Nº17'!E21</f>
        <v>51617972.780000001</v>
      </c>
      <c r="J58" s="250"/>
      <c r="K58" s="251"/>
      <c r="L58" s="252"/>
      <c r="M58" s="252"/>
      <c r="N58" s="237"/>
      <c r="O58" s="247"/>
      <c r="P58" s="792">
        <f>+I58</f>
        <v>51617972.780000001</v>
      </c>
    </row>
    <row r="59" spans="1:16" ht="12" customHeight="1" x14ac:dyDescent="0.2">
      <c r="A59" s="600"/>
      <c r="B59" s="601"/>
      <c r="C59" s="240"/>
      <c r="D59" s="601"/>
      <c r="E59" s="601"/>
      <c r="F59" s="601"/>
      <c r="G59" s="241" t="s">
        <v>9</v>
      </c>
      <c r="H59" s="241"/>
      <c r="I59" s="255">
        <v>46566287.229999997</v>
      </c>
      <c r="J59" s="250">
        <f>+I59</f>
        <v>46566287.229999997</v>
      </c>
      <c r="K59" s="251"/>
      <c r="L59" s="252"/>
      <c r="M59" s="252"/>
      <c r="N59" s="237"/>
      <c r="O59" s="247"/>
    </row>
    <row r="60" spans="1:16" ht="12" customHeight="1" x14ac:dyDescent="0.2">
      <c r="A60" s="600"/>
      <c r="B60" s="601"/>
      <c r="C60" s="240"/>
      <c r="D60" s="601"/>
      <c r="E60" s="601"/>
      <c r="F60" s="601"/>
      <c r="G60" s="241" t="s">
        <v>10</v>
      </c>
      <c r="H60" s="241"/>
      <c r="I60" s="255">
        <v>1051685.55</v>
      </c>
      <c r="J60" s="250">
        <f>+I60</f>
        <v>1051685.55</v>
      </c>
      <c r="K60" s="251"/>
      <c r="L60" s="252"/>
      <c r="M60" s="252"/>
      <c r="N60" s="237"/>
      <c r="O60" s="247"/>
    </row>
    <row r="61" spans="1:16" ht="12" customHeight="1" x14ac:dyDescent="0.2">
      <c r="A61" s="600"/>
      <c r="B61" s="601"/>
      <c r="C61" s="240"/>
      <c r="D61" s="601"/>
      <c r="E61" s="601"/>
      <c r="F61" s="601"/>
      <c r="G61" s="241" t="s">
        <v>207</v>
      </c>
      <c r="H61" s="241"/>
      <c r="I61" s="255">
        <v>4000000</v>
      </c>
      <c r="J61" s="250">
        <f>+I61</f>
        <v>4000000</v>
      </c>
      <c r="K61" s="251"/>
      <c r="L61" s="252"/>
      <c r="M61" s="252"/>
      <c r="N61" s="237"/>
      <c r="O61" s="247"/>
    </row>
    <row r="62" spans="1:16" ht="12" customHeight="1" x14ac:dyDescent="0.2">
      <c r="A62" s="600"/>
      <c r="B62" s="601"/>
      <c r="C62" s="240"/>
      <c r="D62" s="601"/>
      <c r="E62" s="601"/>
      <c r="F62" s="601"/>
      <c r="G62" s="241"/>
      <c r="H62" s="241"/>
      <c r="I62" s="255"/>
      <c r="J62" s="250"/>
      <c r="K62" s="251"/>
      <c r="L62" s="252"/>
      <c r="M62" s="252"/>
      <c r="N62" s="237"/>
      <c r="O62" s="247"/>
    </row>
    <row r="63" spans="1:16" x14ac:dyDescent="0.2">
      <c r="A63" s="600"/>
      <c r="B63" s="601"/>
      <c r="C63" s="240"/>
      <c r="D63" s="601" t="s">
        <v>19</v>
      </c>
      <c r="E63" s="601">
        <v>22</v>
      </c>
      <c r="F63" s="601"/>
      <c r="G63" s="270" t="str">
        <f>+'[7]Egresos Programa II General'!B31</f>
        <v>Seguridad Vial</v>
      </c>
      <c r="H63" s="270"/>
      <c r="I63" s="249">
        <f>+'[7]INGRESOS LIBRES DETALLE Nº17'!E22</f>
        <v>196487259.47999999</v>
      </c>
      <c r="J63" s="250"/>
      <c r="K63" s="251"/>
      <c r="L63" s="252"/>
      <c r="M63" s="252"/>
      <c r="N63" s="237"/>
      <c r="O63" s="247"/>
      <c r="P63" s="792">
        <f>+I63+I566</f>
        <v>299687259.48000002</v>
      </c>
    </row>
    <row r="64" spans="1:16" x14ac:dyDescent="0.2">
      <c r="A64" s="600"/>
      <c r="B64" s="601"/>
      <c r="C64" s="240"/>
      <c r="D64" s="601"/>
      <c r="E64" s="601"/>
      <c r="F64" s="601"/>
      <c r="G64" s="270" t="s">
        <v>9</v>
      </c>
      <c r="H64" s="270"/>
      <c r="I64" s="255">
        <f>203760970.06-7273710.58</f>
        <v>196487259.47999999</v>
      </c>
      <c r="J64" s="250">
        <f>+I64</f>
        <v>196487259.47999999</v>
      </c>
      <c r="K64" s="251"/>
      <c r="L64" s="252"/>
      <c r="M64" s="252"/>
      <c r="N64" s="237"/>
      <c r="O64" s="247"/>
    </row>
    <row r="65" spans="1:18" x14ac:dyDescent="0.2">
      <c r="A65" s="600"/>
      <c r="B65" s="601"/>
      <c r="C65" s="240"/>
      <c r="D65" s="601"/>
      <c r="E65" s="601"/>
      <c r="F65" s="601"/>
      <c r="G65" s="270"/>
      <c r="H65" s="270"/>
      <c r="I65" s="255"/>
      <c r="J65" s="250"/>
      <c r="K65" s="251"/>
      <c r="L65" s="252"/>
      <c r="M65" s="252"/>
      <c r="N65" s="237"/>
      <c r="O65" s="247"/>
    </row>
    <row r="66" spans="1:18" hidden="1" x14ac:dyDescent="0.2">
      <c r="A66" s="600"/>
      <c r="B66" s="601"/>
      <c r="C66" s="240"/>
      <c r="D66" s="601"/>
      <c r="E66" s="601"/>
      <c r="F66" s="601"/>
      <c r="G66" s="270"/>
      <c r="H66" s="270"/>
      <c r="I66" s="255"/>
      <c r="J66" s="250"/>
      <c r="K66" s="251"/>
      <c r="L66" s="252"/>
      <c r="M66" s="252"/>
      <c r="N66" s="237"/>
      <c r="O66" s="247">
        <f>+I64+I568</f>
        <v>278399686.56</v>
      </c>
    </row>
    <row r="67" spans="1:18" hidden="1" x14ac:dyDescent="0.2">
      <c r="A67" s="600"/>
      <c r="B67" s="601"/>
      <c r="C67" s="240"/>
      <c r="D67" s="601"/>
      <c r="E67" s="601"/>
      <c r="F67" s="601"/>
      <c r="G67" s="270"/>
      <c r="H67" s="270"/>
      <c r="I67" s="255"/>
      <c r="J67" s="250"/>
      <c r="K67" s="251"/>
      <c r="L67" s="252"/>
      <c r="M67" s="252"/>
      <c r="N67" s="237"/>
      <c r="O67" s="247"/>
    </row>
    <row r="68" spans="1:18" hidden="1" x14ac:dyDescent="0.2">
      <c r="A68" s="600"/>
      <c r="B68" s="601"/>
      <c r="C68" s="240"/>
      <c r="D68" s="601"/>
      <c r="E68" s="601"/>
      <c r="F68" s="601"/>
      <c r="G68" s="270"/>
      <c r="H68" s="270"/>
      <c r="I68" s="255"/>
      <c r="J68" s="250"/>
      <c r="K68" s="251"/>
      <c r="L68" s="252"/>
      <c r="M68" s="252"/>
      <c r="N68" s="237"/>
      <c r="O68" s="247"/>
    </row>
    <row r="69" spans="1:18" x14ac:dyDescent="0.2">
      <c r="A69" s="600"/>
      <c r="B69" s="601"/>
      <c r="C69" s="240"/>
      <c r="D69" s="601" t="s">
        <v>19</v>
      </c>
      <c r="E69" s="601">
        <v>23</v>
      </c>
      <c r="F69" s="601"/>
      <c r="G69" s="241" t="str">
        <f>+'[7]Egresos Programa II General'!B33</f>
        <v>Seguridad y Vigilancia en la Comunidad</v>
      </c>
      <c r="H69" s="241"/>
      <c r="I69" s="249">
        <f>+'[7]INGRESOS LIBRES DETALLE Nº17'!E23</f>
        <v>347605635.31999999</v>
      </c>
      <c r="J69" s="250"/>
      <c r="K69" s="251"/>
      <c r="L69" s="252"/>
      <c r="M69" s="252"/>
      <c r="N69" s="237"/>
      <c r="O69" s="247"/>
      <c r="P69" s="792">
        <f>+I69+I510</f>
        <v>474605635.31999999</v>
      </c>
      <c r="Q69" s="211">
        <f>+I127+I128+I135+I203+I566+I610+I626</f>
        <v>1290777911.7003922</v>
      </c>
      <c r="R69" s="211"/>
    </row>
    <row r="70" spans="1:18" x14ac:dyDescent="0.2">
      <c r="A70" s="600"/>
      <c r="B70" s="601"/>
      <c r="C70" s="240"/>
      <c r="D70" s="601"/>
      <c r="E70" s="601"/>
      <c r="F70" s="601"/>
      <c r="G70" s="270" t="s">
        <v>9</v>
      </c>
      <c r="H70" s="241"/>
      <c r="I70" s="255">
        <f>356410935.43-8805300.11</f>
        <v>347605635.31999999</v>
      </c>
      <c r="J70" s="250">
        <f>+I70</f>
        <v>347605635.31999999</v>
      </c>
      <c r="K70" s="251"/>
      <c r="L70" s="252"/>
      <c r="M70" s="252"/>
      <c r="N70" s="237"/>
      <c r="O70" s="247"/>
      <c r="R70" s="211"/>
    </row>
    <row r="71" spans="1:18" x14ac:dyDescent="0.2">
      <c r="A71" s="600"/>
      <c r="B71" s="601"/>
      <c r="C71" s="240"/>
      <c r="D71" s="601"/>
      <c r="E71" s="601"/>
      <c r="F71" s="601"/>
      <c r="G71" s="241"/>
      <c r="H71" s="241"/>
      <c r="I71" s="255"/>
      <c r="J71" s="250"/>
      <c r="K71" s="251"/>
      <c r="L71" s="252"/>
      <c r="M71" s="252"/>
      <c r="N71" s="237"/>
      <c r="O71" s="247"/>
      <c r="R71" s="211"/>
    </row>
    <row r="72" spans="1:18" x14ac:dyDescent="0.2">
      <c r="A72" s="600"/>
      <c r="B72" s="601"/>
      <c r="C72" s="240"/>
      <c r="D72" s="601"/>
      <c r="E72" s="601"/>
      <c r="F72" s="601"/>
      <c r="G72" s="241"/>
      <c r="H72" s="241"/>
      <c r="I72" s="255"/>
      <c r="J72" s="250"/>
      <c r="K72" s="251"/>
      <c r="L72" s="252"/>
      <c r="M72" s="252"/>
      <c r="N72" s="237"/>
      <c r="O72" s="247">
        <f>+I70+I511</f>
        <v>351223361.67000002</v>
      </c>
      <c r="R72" s="211"/>
    </row>
    <row r="73" spans="1:18" x14ac:dyDescent="0.2">
      <c r="A73" s="600"/>
      <c r="B73" s="601"/>
      <c r="C73" s="240"/>
      <c r="D73" s="601" t="s">
        <v>19</v>
      </c>
      <c r="E73" s="601">
        <v>25</v>
      </c>
      <c r="F73" s="601"/>
      <c r="G73" s="241" t="str">
        <f>+'[7]Egresos Programa II General'!B35</f>
        <v>Protección del Medio Ambiente</v>
      </c>
      <c r="H73" s="241"/>
      <c r="I73" s="249">
        <f>+'[7]INGRESOS LIBRES DETALLE Nº17'!E24</f>
        <v>164070604.96000001</v>
      </c>
      <c r="J73" s="250"/>
      <c r="K73" s="251"/>
      <c r="L73" s="252"/>
      <c r="M73" s="252"/>
      <c r="N73" s="237"/>
      <c r="O73" s="247"/>
      <c r="P73" s="792">
        <f>+I73+I296</f>
        <v>190530604.96229029</v>
      </c>
    </row>
    <row r="74" spans="1:18" x14ac:dyDescent="0.2">
      <c r="A74" s="600"/>
      <c r="B74" s="601"/>
      <c r="C74" s="240"/>
      <c r="D74" s="601"/>
      <c r="E74" s="601"/>
      <c r="F74" s="601"/>
      <c r="G74" s="241" t="s">
        <v>9</v>
      </c>
      <c r="H74" s="241"/>
      <c r="I74" s="255">
        <v>141190014.31</v>
      </c>
      <c r="J74" s="250">
        <f>+I74</f>
        <v>141190014.31</v>
      </c>
      <c r="K74" s="251"/>
      <c r="L74" s="252"/>
      <c r="M74" s="252"/>
      <c r="N74" s="237"/>
      <c r="O74" s="247"/>
    </row>
    <row r="75" spans="1:18" x14ac:dyDescent="0.2">
      <c r="A75" s="600"/>
      <c r="B75" s="601"/>
      <c r="C75" s="240"/>
      <c r="D75" s="601"/>
      <c r="E75" s="601"/>
      <c r="F75" s="601"/>
      <c r="G75" s="241" t="s">
        <v>10</v>
      </c>
      <c r="H75" s="241"/>
      <c r="I75" s="255">
        <v>14738733.869999999</v>
      </c>
      <c r="J75" s="250">
        <f>+I75</f>
        <v>14738733.869999999</v>
      </c>
      <c r="K75" s="251"/>
      <c r="L75" s="252"/>
      <c r="M75" s="252"/>
      <c r="N75" s="237"/>
      <c r="O75" s="247"/>
    </row>
    <row r="76" spans="1:18" x14ac:dyDescent="0.2">
      <c r="A76" s="600"/>
      <c r="B76" s="601"/>
      <c r="C76" s="240"/>
      <c r="D76" s="601"/>
      <c r="E76" s="601"/>
      <c r="F76" s="601"/>
      <c r="G76" s="241" t="s">
        <v>276</v>
      </c>
      <c r="H76" s="241"/>
      <c r="I76" s="255">
        <v>450000</v>
      </c>
      <c r="J76" s="250">
        <f>+I76</f>
        <v>450000</v>
      </c>
      <c r="K76" s="251"/>
      <c r="L76" s="252"/>
      <c r="M76" s="252"/>
      <c r="N76" s="237"/>
      <c r="O76" s="247">
        <f>SUM(I74:I77)</f>
        <v>164070604.96000001</v>
      </c>
    </row>
    <row r="77" spans="1:18" x14ac:dyDescent="0.2">
      <c r="A77" s="600"/>
      <c r="B77" s="601"/>
      <c r="C77" s="240"/>
      <c r="D77" s="601"/>
      <c r="E77" s="601"/>
      <c r="F77" s="601"/>
      <c r="G77" s="241" t="s">
        <v>207</v>
      </c>
      <c r="H77" s="241"/>
      <c r="I77" s="255">
        <v>7691856.7800000003</v>
      </c>
      <c r="J77" s="250">
        <f>+I77</f>
        <v>7691856.7800000003</v>
      </c>
      <c r="K77" s="251"/>
      <c r="L77" s="252"/>
      <c r="M77" s="252"/>
      <c r="N77" s="237"/>
      <c r="O77" s="247"/>
    </row>
    <row r="78" spans="1:18" x14ac:dyDescent="0.2">
      <c r="A78" s="600"/>
      <c r="B78" s="601"/>
      <c r="C78" s="240"/>
      <c r="D78" s="601"/>
      <c r="E78" s="601"/>
      <c r="F78" s="601"/>
      <c r="G78" s="241"/>
      <c r="H78" s="241"/>
      <c r="I78" s="255"/>
      <c r="J78" s="250"/>
      <c r="K78" s="251"/>
      <c r="L78" s="252"/>
      <c r="M78" s="252"/>
      <c r="N78" s="237"/>
      <c r="O78" s="247"/>
    </row>
    <row r="79" spans="1:18" hidden="1" x14ac:dyDescent="0.2">
      <c r="A79" s="600"/>
      <c r="B79" s="601"/>
      <c r="C79" s="240"/>
      <c r="D79" s="601"/>
      <c r="E79" s="601"/>
      <c r="F79" s="601"/>
      <c r="G79" s="241"/>
      <c r="H79" s="241"/>
      <c r="I79" s="255"/>
      <c r="J79" s="250"/>
      <c r="K79" s="251"/>
      <c r="L79" s="252"/>
      <c r="M79" s="252"/>
      <c r="N79" s="237"/>
      <c r="O79" s="247"/>
    </row>
    <row r="80" spans="1:18" hidden="1" x14ac:dyDescent="0.2">
      <c r="A80" s="600"/>
      <c r="B80" s="601"/>
      <c r="C80" s="240"/>
      <c r="D80" s="601"/>
      <c r="E80" s="601"/>
      <c r="F80" s="601"/>
      <c r="G80" s="241"/>
      <c r="H80" s="241"/>
      <c r="I80" s="255"/>
      <c r="J80" s="250"/>
      <c r="K80" s="251"/>
      <c r="L80" s="252"/>
      <c r="M80" s="252"/>
      <c r="N80" s="237"/>
      <c r="O80" s="247"/>
    </row>
    <row r="81" spans="1:17" hidden="1" x14ac:dyDescent="0.2">
      <c r="A81" s="600"/>
      <c r="B81" s="601"/>
      <c r="C81" s="240"/>
      <c r="D81" s="601"/>
      <c r="E81" s="601"/>
      <c r="F81" s="601"/>
      <c r="G81" s="241"/>
      <c r="H81" s="241"/>
      <c r="I81" s="255"/>
      <c r="J81" s="250"/>
      <c r="K81" s="251"/>
      <c r="L81" s="252"/>
      <c r="M81" s="252"/>
      <c r="N81" s="237"/>
      <c r="O81" s="247"/>
    </row>
    <row r="82" spans="1:17" hidden="1" x14ac:dyDescent="0.2">
      <c r="A82" s="600"/>
      <c r="B82" s="601"/>
      <c r="C82" s="240"/>
      <c r="D82" s="601"/>
      <c r="E82" s="601"/>
      <c r="F82" s="601"/>
      <c r="G82" s="241"/>
      <c r="H82" s="241"/>
      <c r="I82" s="255"/>
      <c r="J82" s="250"/>
      <c r="K82" s="251"/>
      <c r="L82" s="252"/>
      <c r="M82" s="252"/>
      <c r="N82" s="237"/>
      <c r="O82" s="247"/>
    </row>
    <row r="83" spans="1:17" hidden="1" x14ac:dyDescent="0.2">
      <c r="A83" s="600"/>
      <c r="B83" s="601"/>
      <c r="C83" s="240"/>
      <c r="D83" s="601"/>
      <c r="E83" s="601"/>
      <c r="F83" s="601"/>
      <c r="G83" s="241"/>
      <c r="H83" s="241"/>
      <c r="I83" s="255"/>
      <c r="J83" s="250"/>
      <c r="K83" s="251"/>
      <c r="L83" s="252"/>
      <c r="M83" s="252"/>
      <c r="N83" s="237"/>
      <c r="O83" s="247"/>
    </row>
    <row r="84" spans="1:17" hidden="1" x14ac:dyDescent="0.2">
      <c r="A84" s="600"/>
      <c r="B84" s="601"/>
      <c r="C84" s="240"/>
      <c r="D84" s="601"/>
      <c r="E84" s="601"/>
      <c r="F84" s="601"/>
      <c r="G84" s="241"/>
      <c r="H84" s="241"/>
      <c r="I84" s="255"/>
      <c r="J84" s="250"/>
      <c r="K84" s="251"/>
      <c r="L84" s="252"/>
      <c r="M84" s="252"/>
      <c r="N84" s="237"/>
      <c r="O84" s="247"/>
    </row>
    <row r="85" spans="1:17" hidden="1" x14ac:dyDescent="0.2">
      <c r="A85" s="600"/>
      <c r="B85" s="601"/>
      <c r="C85" s="240"/>
      <c r="D85" s="601"/>
      <c r="E85" s="601"/>
      <c r="F85" s="601"/>
      <c r="G85" s="241"/>
      <c r="H85" s="241"/>
      <c r="I85" s="255"/>
      <c r="J85" s="250"/>
      <c r="K85" s="251"/>
      <c r="L85" s="252"/>
      <c r="M85" s="252"/>
      <c r="N85" s="237"/>
      <c r="O85" s="247"/>
    </row>
    <row r="86" spans="1:17" hidden="1" x14ac:dyDescent="0.2">
      <c r="A86" s="600"/>
      <c r="B86" s="601"/>
      <c r="C86" s="240"/>
      <c r="D86" s="601"/>
      <c r="E86" s="601"/>
      <c r="F86" s="601"/>
      <c r="G86" s="241"/>
      <c r="H86" s="241"/>
      <c r="I86" s="255"/>
      <c r="J86" s="250"/>
      <c r="K86" s="251"/>
      <c r="L86" s="252"/>
      <c r="M86" s="252"/>
      <c r="N86" s="237"/>
      <c r="O86" s="247"/>
    </row>
    <row r="87" spans="1:17" hidden="1" x14ac:dyDescent="0.2">
      <c r="A87" s="600"/>
      <c r="B87" s="601"/>
      <c r="C87" s="240"/>
      <c r="D87" s="601"/>
      <c r="E87" s="601"/>
      <c r="F87" s="601"/>
      <c r="G87" s="241"/>
      <c r="H87" s="241"/>
      <c r="I87" s="255"/>
      <c r="J87" s="250"/>
      <c r="K87" s="251"/>
      <c r="L87" s="252"/>
      <c r="M87" s="252"/>
      <c r="N87" s="237"/>
      <c r="O87" s="247"/>
    </row>
    <row r="88" spans="1:17" hidden="1" x14ac:dyDescent="0.2">
      <c r="A88" s="600"/>
      <c r="B88" s="601"/>
      <c r="C88" s="240"/>
      <c r="D88" s="601"/>
      <c r="E88" s="601"/>
      <c r="F88" s="601"/>
      <c r="G88" s="241"/>
      <c r="H88" s="241"/>
      <c r="I88" s="255"/>
      <c r="J88" s="250"/>
      <c r="K88" s="251"/>
      <c r="L88" s="252"/>
      <c r="M88" s="252"/>
      <c r="N88" s="237"/>
      <c r="O88" s="247"/>
    </row>
    <row r="89" spans="1:17" hidden="1" x14ac:dyDescent="0.2">
      <c r="A89" s="600"/>
      <c r="B89" s="601"/>
      <c r="C89" s="240"/>
      <c r="D89" s="601"/>
      <c r="E89" s="601"/>
      <c r="F89" s="601"/>
      <c r="G89" s="241"/>
      <c r="H89" s="241"/>
      <c r="I89" s="255"/>
      <c r="J89" s="250"/>
      <c r="K89" s="251"/>
      <c r="L89" s="252"/>
      <c r="M89" s="252"/>
      <c r="N89" s="237"/>
      <c r="O89" s="247"/>
    </row>
    <row r="90" spans="1:17" hidden="1" x14ac:dyDescent="0.2">
      <c r="A90" s="600"/>
      <c r="B90" s="601"/>
      <c r="C90" s="240"/>
      <c r="D90" s="601"/>
      <c r="E90" s="601"/>
      <c r="F90" s="601"/>
      <c r="G90" s="241"/>
      <c r="H90" s="241"/>
      <c r="I90" s="255"/>
      <c r="J90" s="250"/>
      <c r="K90" s="251"/>
      <c r="L90" s="252"/>
      <c r="M90" s="252"/>
      <c r="N90" s="237"/>
      <c r="O90" s="247"/>
    </row>
    <row r="91" spans="1:17" hidden="1" x14ac:dyDescent="0.2">
      <c r="A91" s="600"/>
      <c r="B91" s="601"/>
      <c r="C91" s="240"/>
      <c r="D91" s="601"/>
      <c r="E91" s="601"/>
      <c r="F91" s="601"/>
      <c r="G91" s="241"/>
      <c r="H91" s="241"/>
      <c r="I91" s="255"/>
      <c r="J91" s="250"/>
      <c r="K91" s="251"/>
      <c r="L91" s="252"/>
      <c r="M91" s="252"/>
      <c r="N91" s="237"/>
      <c r="O91" s="247"/>
    </row>
    <row r="92" spans="1:17" hidden="1" x14ac:dyDescent="0.2">
      <c r="A92" s="600"/>
      <c r="B92" s="601"/>
      <c r="C92" s="240"/>
      <c r="D92" s="601"/>
      <c r="E92" s="601"/>
      <c r="F92" s="601"/>
      <c r="G92" s="241"/>
      <c r="H92" s="241"/>
      <c r="I92" s="255"/>
      <c r="J92" s="250"/>
      <c r="K92" s="251"/>
      <c r="L92" s="252"/>
      <c r="M92" s="252"/>
      <c r="N92" s="237"/>
      <c r="O92" s="247"/>
    </row>
    <row r="93" spans="1:17" hidden="1" x14ac:dyDescent="0.2">
      <c r="A93" s="600"/>
      <c r="B93" s="601"/>
      <c r="C93" s="240"/>
      <c r="D93" s="601" t="s">
        <v>19</v>
      </c>
      <c r="E93" s="601">
        <v>27</v>
      </c>
      <c r="F93" s="601"/>
      <c r="G93" s="241" t="s">
        <v>280</v>
      </c>
      <c r="H93" s="241"/>
      <c r="I93" s="255">
        <f>+'[7]INGRESOS LIBRES DETALLE Nº17'!E25</f>
        <v>0</v>
      </c>
      <c r="J93" s="250"/>
      <c r="K93" s="251"/>
      <c r="L93" s="252"/>
      <c r="M93" s="252"/>
      <c r="N93" s="237"/>
      <c r="O93" s="247"/>
      <c r="P93" s="792">
        <f>+I93</f>
        <v>0</v>
      </c>
      <c r="Q93" s="211" t="e">
        <f>+#REF!+#REF!+#REF!+#REF!+#REF!+#REF!+#REF!+#REF!+#REF!+#REF!+#REF!+#REF!+#REF!+#REF!+#REF!+#REF!+I598</f>
        <v>#REF!</v>
      </c>
    </row>
    <row r="94" spans="1:17" x14ac:dyDescent="0.2">
      <c r="A94" s="600"/>
      <c r="B94" s="601"/>
      <c r="C94" s="240"/>
      <c r="D94" s="601" t="s">
        <v>19</v>
      </c>
      <c r="E94" s="601">
        <v>28</v>
      </c>
      <c r="F94" s="601"/>
      <c r="G94" s="241" t="str">
        <f>+'[7]Egresos Programa II General'!B39</f>
        <v>Atención Emergencias Cantonales</v>
      </c>
      <c r="H94" s="241"/>
      <c r="I94" s="249">
        <f>+'[7]INGRESOS LIBRES DETALLE Nº17'!E26</f>
        <v>57126929.020000003</v>
      </c>
      <c r="J94" s="250"/>
      <c r="K94" s="251"/>
      <c r="L94" s="252"/>
      <c r="M94" s="252"/>
      <c r="N94" s="237"/>
      <c r="O94" s="247"/>
      <c r="P94" s="792">
        <f>+I94</f>
        <v>57126929.020000003</v>
      </c>
    </row>
    <row r="95" spans="1:17" x14ac:dyDescent="0.2">
      <c r="A95" s="600"/>
      <c r="B95" s="601"/>
      <c r="C95" s="240"/>
      <c r="D95" s="601"/>
      <c r="E95" s="601"/>
      <c r="F95" s="601"/>
      <c r="G95" s="241" t="s">
        <v>9</v>
      </c>
      <c r="H95" s="241"/>
      <c r="I95" s="255">
        <v>39817659.200000003</v>
      </c>
      <c r="J95" s="250">
        <f>+I95</f>
        <v>39817659.200000003</v>
      </c>
      <c r="K95" s="251"/>
      <c r="L95" s="252"/>
      <c r="M95" s="252"/>
      <c r="N95" s="237"/>
      <c r="O95" s="247"/>
    </row>
    <row r="96" spans="1:17" x14ac:dyDescent="0.2">
      <c r="A96" s="600"/>
      <c r="B96" s="601"/>
      <c r="C96" s="240"/>
      <c r="D96" s="601"/>
      <c r="E96" s="601"/>
      <c r="F96" s="601"/>
      <c r="G96" s="241" t="s">
        <v>10</v>
      </c>
      <c r="H96" s="241"/>
      <c r="I96" s="255">
        <v>10109269.82</v>
      </c>
      <c r="J96" s="250">
        <f>+I96</f>
        <v>10109269.82</v>
      </c>
      <c r="K96" s="251"/>
      <c r="L96" s="252"/>
      <c r="M96" s="252"/>
      <c r="N96" s="237"/>
      <c r="O96" s="247"/>
    </row>
    <row r="97" spans="1:17" x14ac:dyDescent="0.2">
      <c r="A97" s="600"/>
      <c r="B97" s="601"/>
      <c r="C97" s="240"/>
      <c r="D97" s="601"/>
      <c r="E97" s="601"/>
      <c r="F97" s="601"/>
      <c r="G97" s="241" t="s">
        <v>276</v>
      </c>
      <c r="H97" s="241"/>
      <c r="I97" s="255">
        <v>3700000</v>
      </c>
      <c r="J97" s="250">
        <f>+I97</f>
        <v>3700000</v>
      </c>
      <c r="K97" s="251"/>
      <c r="L97" s="252"/>
      <c r="M97" s="252"/>
      <c r="N97" s="237"/>
      <c r="O97" s="247">
        <f>SUM(I95:I98)</f>
        <v>57126929.020000003</v>
      </c>
    </row>
    <row r="98" spans="1:17" ht="13.5" thickBot="1" x14ac:dyDescent="0.25">
      <c r="A98" s="271"/>
      <c r="B98" s="272"/>
      <c r="C98" s="273"/>
      <c r="D98" s="272"/>
      <c r="E98" s="272"/>
      <c r="F98" s="272"/>
      <c r="G98" s="274" t="s">
        <v>207</v>
      </c>
      <c r="H98" s="274"/>
      <c r="I98" s="275">
        <v>3500000</v>
      </c>
      <c r="J98" s="276">
        <f>+I98</f>
        <v>3500000</v>
      </c>
      <c r="K98" s="277"/>
      <c r="L98" s="278"/>
      <c r="M98" s="278"/>
      <c r="N98" s="237"/>
      <c r="O98" s="247"/>
    </row>
    <row r="99" spans="1:17" ht="13.5" hidden="1" thickBot="1" x14ac:dyDescent="0.25">
      <c r="A99" s="600"/>
      <c r="B99" s="601"/>
      <c r="C99" s="240"/>
      <c r="D99" s="601"/>
      <c r="E99" s="601"/>
      <c r="F99" s="601"/>
      <c r="G99" s="241"/>
      <c r="H99" s="241"/>
      <c r="I99" s="255"/>
      <c r="J99" s="280"/>
      <c r="K99" s="281"/>
      <c r="L99" s="282"/>
      <c r="M99" s="282"/>
      <c r="N99" s="237"/>
      <c r="O99" s="247"/>
    </row>
    <row r="100" spans="1:17" ht="13.5" hidden="1" thickBot="1" x14ac:dyDescent="0.25">
      <c r="A100" s="600"/>
      <c r="B100" s="601"/>
      <c r="C100" s="240"/>
      <c r="D100" s="601"/>
      <c r="E100" s="601"/>
      <c r="F100" s="601"/>
      <c r="G100" s="241"/>
      <c r="H100" s="241"/>
      <c r="I100" s="255"/>
      <c r="J100" s="250"/>
      <c r="K100" s="251"/>
      <c r="L100" s="252"/>
      <c r="M100" s="252"/>
      <c r="N100" s="237"/>
      <c r="O100" s="279"/>
    </row>
    <row r="101" spans="1:17" ht="13.5" hidden="1" thickBot="1" x14ac:dyDescent="0.25">
      <c r="A101" s="600"/>
      <c r="B101" s="601"/>
      <c r="C101" s="240"/>
      <c r="D101" s="601"/>
      <c r="E101" s="601"/>
      <c r="F101" s="601"/>
      <c r="G101" s="241"/>
      <c r="H101" s="241"/>
      <c r="I101" s="255"/>
      <c r="J101" s="250"/>
      <c r="K101" s="251"/>
      <c r="L101" s="252"/>
      <c r="M101" s="252"/>
      <c r="N101" s="237"/>
      <c r="O101" s="247"/>
    </row>
    <row r="102" spans="1:17" ht="13.5" hidden="1" thickBot="1" x14ac:dyDescent="0.25">
      <c r="A102" s="600"/>
      <c r="B102" s="601"/>
      <c r="C102" s="240"/>
      <c r="D102" s="601"/>
      <c r="E102" s="601"/>
      <c r="F102" s="601"/>
      <c r="G102" s="241"/>
      <c r="H102" s="241"/>
      <c r="I102" s="255"/>
      <c r="J102" s="250"/>
      <c r="K102" s="251"/>
      <c r="L102" s="252"/>
      <c r="M102" s="252"/>
      <c r="N102" s="237"/>
      <c r="O102" s="247"/>
    </row>
    <row r="103" spans="1:17" ht="13.5" hidden="1" thickBot="1" x14ac:dyDescent="0.25">
      <c r="A103" s="600"/>
      <c r="B103" s="601"/>
      <c r="C103" s="240"/>
      <c r="D103" s="601"/>
      <c r="E103" s="601"/>
      <c r="F103" s="601"/>
      <c r="G103" s="241"/>
      <c r="H103" s="241"/>
      <c r="I103" s="255"/>
      <c r="J103" s="250"/>
      <c r="K103" s="251"/>
      <c r="L103" s="252"/>
      <c r="M103" s="252"/>
      <c r="N103" s="237"/>
      <c r="O103" s="247"/>
    </row>
    <row r="104" spans="1:17" ht="13.5" hidden="1" thickBot="1" x14ac:dyDescent="0.25">
      <c r="A104" s="600"/>
      <c r="B104" s="601"/>
      <c r="C104" s="240"/>
      <c r="D104" s="601"/>
      <c r="E104" s="601"/>
      <c r="F104" s="601"/>
      <c r="G104" s="241"/>
      <c r="H104" s="241"/>
      <c r="I104" s="255"/>
      <c r="J104" s="250"/>
      <c r="K104" s="251"/>
      <c r="L104" s="252"/>
      <c r="M104" s="252"/>
      <c r="N104" s="237"/>
      <c r="O104" s="247"/>
    </row>
    <row r="105" spans="1:17" ht="13.5" hidden="1" thickBot="1" x14ac:dyDescent="0.25">
      <c r="A105" s="600"/>
      <c r="B105" s="601"/>
      <c r="C105" s="240"/>
      <c r="D105" s="601"/>
      <c r="E105" s="601"/>
      <c r="F105" s="601"/>
      <c r="G105" s="241"/>
      <c r="H105" s="241"/>
      <c r="I105" s="255"/>
      <c r="J105" s="250"/>
      <c r="K105" s="251"/>
      <c r="L105" s="252"/>
      <c r="M105" s="252"/>
      <c r="N105" s="237"/>
      <c r="O105" s="247"/>
    </row>
    <row r="106" spans="1:17" ht="13.5" hidden="1" thickBot="1" x14ac:dyDescent="0.25">
      <c r="A106" s="600"/>
      <c r="B106" s="601"/>
      <c r="C106" s="240"/>
      <c r="D106" s="601"/>
      <c r="E106" s="601"/>
      <c r="F106" s="601"/>
      <c r="G106" s="241"/>
      <c r="H106" s="241"/>
      <c r="I106" s="255"/>
      <c r="J106" s="250"/>
      <c r="K106" s="251"/>
      <c r="L106" s="252"/>
      <c r="M106" s="252"/>
      <c r="N106" s="237"/>
      <c r="O106" s="247"/>
    </row>
    <row r="107" spans="1:17" ht="13.5" hidden="1" thickBot="1" x14ac:dyDescent="0.25">
      <c r="A107" s="600"/>
      <c r="B107" s="601"/>
      <c r="C107" s="240"/>
      <c r="D107" s="601"/>
      <c r="E107" s="601"/>
      <c r="F107" s="601"/>
      <c r="G107" s="241"/>
      <c r="H107" s="241"/>
      <c r="I107" s="255"/>
      <c r="J107" s="250"/>
      <c r="K107" s="251"/>
      <c r="L107" s="252"/>
      <c r="M107" s="252"/>
      <c r="N107" s="237"/>
      <c r="O107" s="247"/>
    </row>
    <row r="108" spans="1:17" ht="13.5" hidden="1" thickBot="1" x14ac:dyDescent="0.25">
      <c r="A108" s="600"/>
      <c r="B108" s="601"/>
      <c r="C108" s="240"/>
      <c r="D108" s="601"/>
      <c r="E108" s="601"/>
      <c r="F108" s="601"/>
      <c r="G108" s="241"/>
      <c r="H108" s="241"/>
      <c r="I108" s="255"/>
      <c r="J108" s="283"/>
      <c r="K108" s="284"/>
      <c r="L108" s="285"/>
      <c r="M108" s="285"/>
      <c r="N108" s="237"/>
      <c r="O108" s="247"/>
    </row>
    <row r="109" spans="1:17" x14ac:dyDescent="0.2">
      <c r="A109" s="598"/>
      <c r="B109" s="599"/>
      <c r="C109" s="287"/>
      <c r="D109" s="599"/>
      <c r="E109" s="599"/>
      <c r="F109" s="599"/>
      <c r="G109" s="231"/>
      <c r="H109" s="231"/>
      <c r="I109" s="288"/>
      <c r="J109" s="289"/>
      <c r="K109" s="290"/>
      <c r="L109" s="291"/>
      <c r="M109" s="291"/>
      <c r="N109" s="237"/>
      <c r="O109" s="247"/>
    </row>
    <row r="110" spans="1:17" x14ac:dyDescent="0.2">
      <c r="A110" s="600"/>
      <c r="B110" s="601"/>
      <c r="C110" s="240"/>
      <c r="D110" s="601" t="s">
        <v>19</v>
      </c>
      <c r="E110" s="601">
        <v>29</v>
      </c>
      <c r="F110" s="601"/>
      <c r="G110" s="241" t="s">
        <v>279</v>
      </c>
      <c r="H110" s="241"/>
      <c r="I110" s="255">
        <f>+'[7]INGRESOS LIBRES DETALLE Nº17'!E27</f>
        <v>17331645.09</v>
      </c>
      <c r="J110" s="250"/>
      <c r="K110" s="251"/>
      <c r="L110" s="252"/>
      <c r="M110" s="252"/>
      <c r="N110" s="237"/>
      <c r="O110" s="247"/>
      <c r="P110" s="792">
        <f>+I110+I449+I540</f>
        <v>126656697.64354214</v>
      </c>
    </row>
    <row r="111" spans="1:17" hidden="1" x14ac:dyDescent="0.2">
      <c r="A111" s="600"/>
      <c r="B111" s="601"/>
      <c r="C111" s="240"/>
      <c r="D111" s="601" t="s">
        <v>19</v>
      </c>
      <c r="E111" s="601">
        <v>30</v>
      </c>
      <c r="F111" s="601"/>
      <c r="G111" s="241" t="s">
        <v>278</v>
      </c>
      <c r="H111" s="241"/>
      <c r="I111" s="255">
        <f>+'[7]INGRESOS LIBRES DETALLE Nº17'!E28</f>
        <v>0</v>
      </c>
      <c r="J111" s="250"/>
      <c r="K111" s="251"/>
      <c r="L111" s="252"/>
      <c r="M111" s="252"/>
      <c r="N111" s="237"/>
      <c r="O111" s="292"/>
      <c r="P111" s="792">
        <f>+I111+I377+I615</f>
        <v>1087500000.0014796</v>
      </c>
    </row>
    <row r="112" spans="1:17" hidden="1" x14ac:dyDescent="0.2">
      <c r="A112" s="600"/>
      <c r="B112" s="601"/>
      <c r="C112" s="240"/>
      <c r="D112" s="601" t="s">
        <v>19</v>
      </c>
      <c r="E112" s="601">
        <v>31</v>
      </c>
      <c r="F112" s="601"/>
      <c r="G112" s="241" t="str">
        <f>+'[7]Egresos Programa II General'!B45</f>
        <v>Aporte en Especie para Servicios Y Proyectos Comunitarios</v>
      </c>
      <c r="H112" s="241"/>
      <c r="I112" s="255"/>
      <c r="J112" s="250"/>
      <c r="K112" s="251"/>
      <c r="L112" s="252"/>
      <c r="M112" s="252"/>
      <c r="N112" s="237"/>
      <c r="O112" s="797"/>
      <c r="Q112" s="211" t="e">
        <f>+I199+I212+I257+#REF!+#REF!+I509+I510+I526+I581+I592+I217+I259</f>
        <v>#REF!</v>
      </c>
    </row>
    <row r="113" spans="1:17" ht="30" hidden="1" customHeight="1" x14ac:dyDescent="0.2">
      <c r="A113" s="600"/>
      <c r="B113" s="601"/>
      <c r="C113" s="240"/>
      <c r="D113" s="601" t="s">
        <v>18</v>
      </c>
      <c r="E113" s="601" t="s">
        <v>184</v>
      </c>
      <c r="F113" s="601" t="s">
        <v>185</v>
      </c>
      <c r="G113" s="295" t="str">
        <f>+'[7]Egresos Programa III General'!B14</f>
        <v>Construcción de comedor Escuela Rafael Alberto Luna Herrera</v>
      </c>
      <c r="H113" s="295"/>
      <c r="I113" s="255">
        <f>+'[7]Egresos Programa III General'!C14</f>
        <v>0</v>
      </c>
      <c r="J113" s="250"/>
      <c r="K113" s="251"/>
      <c r="L113" s="252"/>
      <c r="M113" s="252"/>
      <c r="N113" s="237"/>
      <c r="O113" s="247"/>
    </row>
    <row r="114" spans="1:17" ht="30" hidden="1" customHeight="1" x14ac:dyDescent="0.2">
      <c r="A114" s="600"/>
      <c r="B114" s="601"/>
      <c r="C114" s="240"/>
      <c r="D114" s="601" t="s">
        <v>18</v>
      </c>
      <c r="E114" s="601" t="s">
        <v>184</v>
      </c>
      <c r="F114" s="601" t="s">
        <v>193</v>
      </c>
      <c r="G114" s="295" t="str">
        <f>+'[7]Egresos Programa III General'!B15</f>
        <v>Mejoras en Cancha Multiusos Lote Murillo</v>
      </c>
      <c r="H114" s="295"/>
      <c r="I114" s="255">
        <f>+'[7]Egresos Programa III General'!C15</f>
        <v>0</v>
      </c>
      <c r="J114" s="250"/>
      <c r="K114" s="251"/>
      <c r="L114" s="252"/>
      <c r="M114" s="252"/>
      <c r="N114" s="237"/>
      <c r="O114" s="247"/>
    </row>
    <row r="115" spans="1:17" ht="30" hidden="1" customHeight="1" x14ac:dyDescent="0.2">
      <c r="A115" s="600"/>
      <c r="B115" s="601"/>
      <c r="C115" s="240"/>
      <c r="D115" s="601" t="s">
        <v>18</v>
      </c>
      <c r="E115" s="601" t="s">
        <v>184</v>
      </c>
      <c r="F115" s="601" t="s">
        <v>191</v>
      </c>
      <c r="G115" s="597" t="str">
        <f>+'[7]Egresos Programa III General'!B16</f>
        <v>Construcción de gimnasio multiuso de Occidente, II Etapa</v>
      </c>
      <c r="H115" s="597"/>
      <c r="I115" s="255">
        <f>+'[7]Egresos Programa III General'!C16</f>
        <v>0</v>
      </c>
      <c r="J115" s="250"/>
      <c r="K115" s="251"/>
      <c r="L115" s="252"/>
      <c r="M115" s="252"/>
      <c r="N115" s="237"/>
      <c r="O115" s="247"/>
    </row>
    <row r="116" spans="1:17" ht="30" hidden="1" customHeight="1" x14ac:dyDescent="0.2">
      <c r="A116" s="600"/>
      <c r="B116" s="601"/>
      <c r="C116" s="240"/>
      <c r="D116" s="601" t="s">
        <v>18</v>
      </c>
      <c r="E116" s="601" t="s">
        <v>184</v>
      </c>
      <c r="F116" s="601" t="s">
        <v>182</v>
      </c>
      <c r="G116" s="597" t="str">
        <f>+'[7]Egresos Programa III General'!B17</f>
        <v>Construcción de Salón Multiusos en Urbanización Las Abras</v>
      </c>
      <c r="H116" s="597"/>
      <c r="I116" s="255">
        <f>+'[7]Egresos Programa III General'!C17</f>
        <v>0</v>
      </c>
      <c r="J116" s="250"/>
      <c r="K116" s="251"/>
      <c r="L116" s="252"/>
      <c r="M116" s="252"/>
      <c r="N116" s="237"/>
      <c r="O116" s="247"/>
    </row>
    <row r="117" spans="1:17" ht="30" hidden="1" customHeight="1" x14ac:dyDescent="0.2">
      <c r="A117" s="600"/>
      <c r="B117" s="601"/>
      <c r="C117" s="240"/>
      <c r="D117" s="601" t="s">
        <v>18</v>
      </c>
      <c r="E117" s="601" t="s">
        <v>184</v>
      </c>
      <c r="F117" s="601" t="s">
        <v>183</v>
      </c>
      <c r="G117" s="597" t="str">
        <f>+'[7]Egresos Programa III General'!B18</f>
        <v>Construcción salón comunal Urbanización San Gerardo, III Etapa</v>
      </c>
      <c r="H117" s="597"/>
      <c r="I117" s="255">
        <f>+'[7]Egresos Programa III General'!C18</f>
        <v>0</v>
      </c>
      <c r="J117" s="250"/>
      <c r="K117" s="251"/>
      <c r="L117" s="252"/>
      <c r="M117" s="252"/>
      <c r="N117" s="237"/>
      <c r="O117" s="247"/>
    </row>
    <row r="118" spans="1:17" ht="30" hidden="1" customHeight="1" x14ac:dyDescent="0.2">
      <c r="A118" s="600"/>
      <c r="B118" s="601"/>
      <c r="C118" s="240"/>
      <c r="D118" s="601" t="s">
        <v>18</v>
      </c>
      <c r="E118" s="601" t="s">
        <v>184</v>
      </c>
      <c r="F118" s="601" t="s">
        <v>189</v>
      </c>
      <c r="G118" s="597" t="str">
        <f>+'[7]Egresos Programa III General'!B19</f>
        <v xml:space="preserve">Mejoras Infraestructura de la Escuela Luis Demetrio Tinoco </v>
      </c>
      <c r="H118" s="597"/>
      <c r="I118" s="255">
        <f>+'[7]Egresos Programa III General'!C19</f>
        <v>0</v>
      </c>
      <c r="J118" s="250"/>
      <c r="K118" s="251"/>
      <c r="L118" s="252"/>
      <c r="M118" s="252"/>
      <c r="N118" s="237"/>
      <c r="O118" s="247"/>
    </row>
    <row r="119" spans="1:17" ht="30" hidden="1" customHeight="1" x14ac:dyDescent="0.2">
      <c r="A119" s="600"/>
      <c r="B119" s="601"/>
      <c r="C119" s="240"/>
      <c r="D119" s="601" t="s">
        <v>18</v>
      </c>
      <c r="E119" s="601" t="s">
        <v>184</v>
      </c>
      <c r="F119" s="601" t="s">
        <v>241</v>
      </c>
      <c r="G119" s="597" t="str">
        <f>+'[7]Egresos Programa III General'!B20</f>
        <v>Remodelación del Gimnasio Invu Las Cañas 2</v>
      </c>
      <c r="H119" s="597"/>
      <c r="I119" s="255">
        <f>+'[7]Egresos Programa III General'!C20</f>
        <v>0</v>
      </c>
      <c r="J119" s="250"/>
      <c r="K119" s="251"/>
      <c r="L119" s="252"/>
      <c r="M119" s="252"/>
      <c r="N119" s="237"/>
      <c r="O119" s="247"/>
    </row>
    <row r="120" spans="1:17" ht="30" hidden="1" customHeight="1" x14ac:dyDescent="0.2">
      <c r="A120" s="600"/>
      <c r="B120" s="601"/>
      <c r="C120" s="240"/>
      <c r="D120" s="601" t="s">
        <v>18</v>
      </c>
      <c r="E120" s="601" t="s">
        <v>184</v>
      </c>
      <c r="F120" s="601" t="s">
        <v>187</v>
      </c>
      <c r="G120" s="597" t="str">
        <f>+'[7]Egresos Programa III General'!B21</f>
        <v xml:space="preserve"> Construcción de gimnasio multiuso de Occidente</v>
      </c>
      <c r="H120" s="597"/>
      <c r="I120" s="255">
        <f>+'[7]Egresos Programa III General'!C21</f>
        <v>0</v>
      </c>
      <c r="J120" s="250"/>
      <c r="K120" s="251"/>
      <c r="L120" s="252"/>
      <c r="M120" s="252"/>
      <c r="N120" s="237"/>
      <c r="O120" s="247"/>
    </row>
    <row r="121" spans="1:17" ht="30" hidden="1" customHeight="1" x14ac:dyDescent="0.2">
      <c r="A121" s="600"/>
      <c r="B121" s="601"/>
      <c r="C121" s="240"/>
      <c r="D121" s="601" t="s">
        <v>18</v>
      </c>
      <c r="E121" s="601" t="s">
        <v>184</v>
      </c>
      <c r="F121" s="601">
        <v>10</v>
      </c>
      <c r="G121" s="597" t="str">
        <f>+'[7]Egresos Programa III General'!B22</f>
        <v>Salón Multiuso en Urbanización La Perla del Distrito de San Rafael</v>
      </c>
      <c r="H121" s="597"/>
      <c r="I121" s="255">
        <f>+'[7]Egresos Programa III General'!C22</f>
        <v>0</v>
      </c>
      <c r="J121" s="250"/>
      <c r="K121" s="251"/>
      <c r="L121" s="252"/>
      <c r="M121" s="252"/>
      <c r="N121" s="237"/>
      <c r="O121" s="247"/>
    </row>
    <row r="122" spans="1:17" ht="30" hidden="1" customHeight="1" x14ac:dyDescent="0.2">
      <c r="A122" s="600"/>
      <c r="B122" s="601"/>
      <c r="C122" s="240"/>
      <c r="D122" s="601" t="s">
        <v>18</v>
      </c>
      <c r="E122" s="601" t="s">
        <v>184</v>
      </c>
      <c r="F122" s="601">
        <v>11</v>
      </c>
      <c r="G122" s="597" t="str">
        <f>+'[7]Egresos Programa III General'!B23</f>
        <v>Construcción Salón Comunal Urbanización Las Abras Distrito de San Rafael</v>
      </c>
      <c r="H122" s="597"/>
      <c r="I122" s="255">
        <f>+'[7]Egresos Programa III General'!C23</f>
        <v>0</v>
      </c>
      <c r="J122" s="250"/>
      <c r="K122" s="251"/>
      <c r="L122" s="252"/>
      <c r="M122" s="252"/>
      <c r="N122" s="237"/>
      <c r="O122" s="247"/>
    </row>
    <row r="123" spans="1:17" ht="30" hidden="1" customHeight="1" x14ac:dyDescent="0.2">
      <c r="A123" s="600"/>
      <c r="B123" s="601"/>
      <c r="C123" s="240"/>
      <c r="D123" s="601" t="s">
        <v>18</v>
      </c>
      <c r="E123" s="601" t="s">
        <v>184</v>
      </c>
      <c r="F123" s="601">
        <v>12</v>
      </c>
      <c r="G123" s="597" t="str">
        <f>+'[7]Egresos Programa III General'!B24</f>
        <v>Construcción Salón multiuso Urbanización San Gerardo, Distrito de San Rafael</v>
      </c>
      <c r="H123" s="597"/>
      <c r="I123" s="255">
        <f>+'[7]Egresos Programa III General'!C24</f>
        <v>0</v>
      </c>
      <c r="J123" s="250"/>
      <c r="K123" s="251"/>
      <c r="L123" s="252"/>
      <c r="M123" s="252"/>
      <c r="N123" s="237"/>
      <c r="O123" s="247"/>
    </row>
    <row r="124" spans="1:17" ht="30" hidden="1" customHeight="1" x14ac:dyDescent="0.2">
      <c r="A124" s="600"/>
      <c r="B124" s="601"/>
      <c r="C124" s="240"/>
      <c r="D124" s="601" t="s">
        <v>18</v>
      </c>
      <c r="E124" s="601" t="s">
        <v>184</v>
      </c>
      <c r="F124" s="601">
        <v>13</v>
      </c>
      <c r="G124" s="597" t="str">
        <f>+'[7]Egresos Programa III General'!B25</f>
        <v>Construcción Centro de Cuidados Paliativos de San Rafael de Alajuela</v>
      </c>
      <c r="H124" s="597"/>
      <c r="I124" s="255">
        <f>+'[7]Egresos Programa III General'!C25</f>
        <v>0</v>
      </c>
      <c r="J124" s="250"/>
      <c r="K124" s="251"/>
      <c r="L124" s="252"/>
      <c r="M124" s="252"/>
      <c r="N124" s="237"/>
      <c r="O124" s="247"/>
    </row>
    <row r="125" spans="1:17" x14ac:dyDescent="0.2">
      <c r="A125" s="600"/>
      <c r="B125" s="601"/>
      <c r="C125" s="240"/>
      <c r="D125" s="601"/>
      <c r="E125" s="601"/>
      <c r="F125" s="601"/>
      <c r="G125" s="241" t="s">
        <v>9</v>
      </c>
      <c r="H125" s="597"/>
      <c r="I125" s="255">
        <f>19780000-2448354.91</f>
        <v>17331645.09</v>
      </c>
      <c r="J125" s="250">
        <f>+I125</f>
        <v>17331645.09</v>
      </c>
      <c r="K125" s="251"/>
      <c r="L125" s="252"/>
      <c r="M125" s="252"/>
      <c r="N125" s="237"/>
      <c r="O125" s="247"/>
    </row>
    <row r="126" spans="1:17" x14ac:dyDescent="0.2">
      <c r="A126" s="600"/>
      <c r="B126" s="601"/>
      <c r="C126" s="240"/>
      <c r="D126" s="601"/>
      <c r="E126" s="601"/>
      <c r="F126" s="601"/>
      <c r="G126" s="597"/>
      <c r="H126" s="597"/>
      <c r="I126" s="255"/>
      <c r="J126" s="250"/>
      <c r="K126" s="251"/>
      <c r="L126" s="252"/>
      <c r="M126" s="252"/>
      <c r="N126" s="237"/>
      <c r="O126" s="247"/>
    </row>
    <row r="127" spans="1:17" x14ac:dyDescent="0.2">
      <c r="A127" s="600"/>
      <c r="B127" s="601"/>
      <c r="C127" s="240"/>
      <c r="D127" s="601" t="s">
        <v>18</v>
      </c>
      <c r="E127" s="601" t="s">
        <v>185</v>
      </c>
      <c r="F127" s="601" t="s">
        <v>184</v>
      </c>
      <c r="G127" s="241" t="s">
        <v>196</v>
      </c>
      <c r="H127" s="241"/>
      <c r="I127" s="249">
        <f>+'[7]Egresos Programa III General'!C41-'Origen y Aplicación'!I604-I460-I203-I626</f>
        <v>933598006.18039238</v>
      </c>
      <c r="J127" s="250"/>
      <c r="K127" s="251"/>
      <c r="L127" s="252"/>
      <c r="M127" s="252"/>
      <c r="N127" s="237"/>
      <c r="O127" s="247"/>
      <c r="P127" s="798">
        <f>I626+I127+I604+I203</f>
        <v>957577911.70039237</v>
      </c>
      <c r="Q127" s="211" t="e">
        <f>+I185+I186+I187+I227+I263+I266+I342+I462+#REF!+#REF!+I532+I582+I583+I587+I594+I176</f>
        <v>#REF!</v>
      </c>
    </row>
    <row r="128" spans="1:17" hidden="1" x14ac:dyDescent="0.2">
      <c r="A128" s="600"/>
      <c r="B128" s="601"/>
      <c r="C128" s="240"/>
      <c r="D128" s="601" t="s">
        <v>18</v>
      </c>
      <c r="E128" s="601" t="s">
        <v>185</v>
      </c>
      <c r="F128" s="601" t="s">
        <v>185</v>
      </c>
      <c r="G128" s="241" t="s">
        <v>221</v>
      </c>
      <c r="H128" s="241"/>
      <c r="I128" s="255">
        <f>+'[7]Egresos Programa III General'!C42-I605</f>
        <v>0</v>
      </c>
      <c r="J128" s="250"/>
      <c r="K128" s="251"/>
      <c r="L128" s="252"/>
      <c r="M128" s="252"/>
      <c r="N128" s="237"/>
      <c r="O128" s="247"/>
      <c r="P128" s="792" t="e">
        <f>+I128+I223+I227+I259+I462+#REF!+I531+I559+I587</f>
        <v>#REF!</v>
      </c>
    </row>
    <row r="129" spans="1:17" x14ac:dyDescent="0.2">
      <c r="A129" s="600"/>
      <c r="B129" s="601"/>
      <c r="C129" s="240"/>
      <c r="D129" s="601"/>
      <c r="E129" s="601"/>
      <c r="F129" s="601"/>
      <c r="G129" s="241" t="s">
        <v>9</v>
      </c>
      <c r="H129" s="241"/>
      <c r="I129" s="255">
        <v>423816030.81999999</v>
      </c>
      <c r="J129" s="250"/>
      <c r="K129" s="251">
        <f>+I129</f>
        <v>423816030.81999999</v>
      </c>
      <c r="L129" s="252"/>
      <c r="M129" s="252"/>
      <c r="N129" s="237"/>
      <c r="O129" s="247">
        <f>SUM(I129:I133)</f>
        <v>933598006.18999994</v>
      </c>
    </row>
    <row r="130" spans="1:17" x14ac:dyDescent="0.2">
      <c r="A130" s="600"/>
      <c r="B130" s="601"/>
      <c r="C130" s="240"/>
      <c r="D130" s="601"/>
      <c r="E130" s="601"/>
      <c r="F130" s="601"/>
      <c r="G130" s="241" t="s">
        <v>10</v>
      </c>
      <c r="H130" s="241"/>
      <c r="I130" s="255">
        <v>124221757.18000001</v>
      </c>
      <c r="J130" s="250"/>
      <c r="K130" s="251">
        <f>+I130</f>
        <v>124221757.18000001</v>
      </c>
      <c r="L130" s="252"/>
      <c r="M130" s="252"/>
      <c r="N130" s="237"/>
      <c r="O130" s="247"/>
    </row>
    <row r="131" spans="1:17" x14ac:dyDescent="0.2">
      <c r="A131" s="600"/>
      <c r="B131" s="601"/>
      <c r="C131" s="240"/>
      <c r="D131" s="601"/>
      <c r="E131" s="601"/>
      <c r="F131" s="601"/>
      <c r="G131" s="241" t="s">
        <v>276</v>
      </c>
      <c r="H131" s="241"/>
      <c r="I131" s="255">
        <v>274779905.51999998</v>
      </c>
      <c r="J131" s="250"/>
      <c r="K131" s="251">
        <f>+I131</f>
        <v>274779905.51999998</v>
      </c>
      <c r="L131" s="252"/>
      <c r="M131" s="252"/>
      <c r="N131" s="237"/>
      <c r="O131" s="247"/>
    </row>
    <row r="132" spans="1:17" x14ac:dyDescent="0.2">
      <c r="A132" s="600"/>
      <c r="B132" s="601"/>
      <c r="C132" s="240"/>
      <c r="D132" s="601"/>
      <c r="E132" s="601"/>
      <c r="F132" s="601"/>
      <c r="G132" s="241" t="s">
        <v>181</v>
      </c>
      <c r="H132" s="241"/>
      <c r="I132" s="269">
        <f>113300000-23979905.51</f>
        <v>89320094.489999995</v>
      </c>
      <c r="J132" s="250"/>
      <c r="K132" s="251">
        <f>+I132</f>
        <v>89320094.489999995</v>
      </c>
      <c r="L132" s="252"/>
      <c r="M132" s="252"/>
      <c r="N132" s="237"/>
      <c r="O132" s="247"/>
    </row>
    <row r="133" spans="1:17" x14ac:dyDescent="0.2">
      <c r="A133" s="600"/>
      <c r="B133" s="601"/>
      <c r="C133" s="240"/>
      <c r="D133" s="601"/>
      <c r="E133" s="601"/>
      <c r="F133" s="601"/>
      <c r="G133" s="241" t="s">
        <v>207</v>
      </c>
      <c r="H133" s="241"/>
      <c r="I133" s="269">
        <v>21460218.18</v>
      </c>
      <c r="J133" s="250">
        <f>+I133</f>
        <v>21460218.18</v>
      </c>
      <c r="K133" s="251"/>
      <c r="L133" s="252"/>
      <c r="M133" s="252"/>
      <c r="N133" s="237"/>
      <c r="O133" s="247"/>
    </row>
    <row r="134" spans="1:17" x14ac:dyDescent="0.2">
      <c r="A134" s="600"/>
      <c r="B134" s="601"/>
      <c r="C134" s="240"/>
      <c r="D134" s="601"/>
      <c r="E134" s="601"/>
      <c r="F134" s="601"/>
      <c r="G134" s="241"/>
      <c r="H134" s="241"/>
      <c r="I134" s="255"/>
      <c r="J134" s="250"/>
      <c r="K134" s="251"/>
      <c r="L134" s="252"/>
      <c r="M134" s="252"/>
      <c r="N134" s="237"/>
      <c r="O134" s="247"/>
    </row>
    <row r="135" spans="1:17" x14ac:dyDescent="0.2">
      <c r="A135" s="600"/>
      <c r="B135" s="601"/>
      <c r="C135" s="240"/>
      <c r="D135" s="601" t="s">
        <v>18</v>
      </c>
      <c r="E135" s="601" t="s">
        <v>185</v>
      </c>
      <c r="F135" s="601" t="s">
        <v>193</v>
      </c>
      <c r="G135" s="241" t="s">
        <v>192</v>
      </c>
      <c r="H135" s="241"/>
      <c r="I135" s="249">
        <f>+'[7]Egresos Programa III General'!C43-I606-I646</f>
        <v>230000000</v>
      </c>
      <c r="J135" s="250"/>
      <c r="K135" s="251"/>
      <c r="L135" s="252"/>
      <c r="M135" s="252"/>
      <c r="N135" s="237"/>
      <c r="O135" s="247"/>
      <c r="P135" s="792">
        <f>+I135+I211+I606+I541</f>
        <v>1303302108</v>
      </c>
      <c r="Q135" s="211" t="e">
        <f>+I135+I127+P178+#REF!</f>
        <v>#REF!</v>
      </c>
    </row>
    <row r="136" spans="1:17" hidden="1" x14ac:dyDescent="0.2">
      <c r="A136" s="298"/>
      <c r="I136" s="300"/>
      <c r="J136" s="301"/>
      <c r="K136" s="302"/>
      <c r="L136" s="303"/>
      <c r="M136" s="303"/>
      <c r="N136" s="237"/>
      <c r="O136" s="247"/>
    </row>
    <row r="137" spans="1:17" hidden="1" x14ac:dyDescent="0.2">
      <c r="A137" s="600"/>
      <c r="B137" s="601"/>
      <c r="C137" s="240"/>
      <c r="D137" s="601" t="s">
        <v>18</v>
      </c>
      <c r="E137" s="601" t="s">
        <v>185</v>
      </c>
      <c r="F137" s="601" t="s">
        <v>182</v>
      </c>
      <c r="G137" s="241" t="str">
        <f>+'[7]Egresos Programa III General'!B45</f>
        <v>Mejoras y asfaltado de Comunidad Calle Rojas</v>
      </c>
      <c r="H137" s="241"/>
      <c r="I137" s="304">
        <f>+'[7]Egresos Programa III General'!C45</f>
        <v>0</v>
      </c>
      <c r="J137" s="305"/>
      <c r="K137" s="306"/>
      <c r="L137" s="307"/>
      <c r="M137" s="307"/>
      <c r="N137" s="237"/>
      <c r="O137" s="247"/>
    </row>
    <row r="138" spans="1:17" ht="25.5" hidden="1" x14ac:dyDescent="0.2">
      <c r="A138" s="600"/>
      <c r="B138" s="309"/>
      <c r="C138" s="240"/>
      <c r="D138" s="601" t="s">
        <v>18</v>
      </c>
      <c r="E138" s="601" t="s">
        <v>185</v>
      </c>
      <c r="F138" s="601" t="s">
        <v>183</v>
      </c>
      <c r="G138" s="310" t="str">
        <f>+'[7]Egresos Programa III General'!B46</f>
        <v>Carpeta Asfaltica en Urbanización las Melisas</v>
      </c>
      <c r="H138" s="310"/>
      <c r="I138" s="304">
        <f>+'[7]Egresos Programa III General'!C46</f>
        <v>0</v>
      </c>
      <c r="J138" s="305"/>
      <c r="K138" s="306"/>
      <c r="L138" s="307"/>
      <c r="M138" s="307"/>
      <c r="N138" s="237"/>
      <c r="O138" s="237"/>
    </row>
    <row r="139" spans="1:17" hidden="1" x14ac:dyDescent="0.2">
      <c r="A139" s="600"/>
      <c r="B139" s="309"/>
      <c r="C139" s="240"/>
      <c r="D139" s="601" t="s">
        <v>18</v>
      </c>
      <c r="E139" s="601" t="s">
        <v>185</v>
      </c>
      <c r="F139" s="601" t="s">
        <v>191</v>
      </c>
      <c r="G139" s="597" t="str">
        <f>+'[7]Egresos Programa III General'!B44</f>
        <v>Rampas de Accesibilidad Universales</v>
      </c>
      <c r="H139" s="597"/>
      <c r="I139" s="300">
        <f>+'[7]Egresos Programa III General'!C44</f>
        <v>0</v>
      </c>
      <c r="J139" s="301"/>
      <c r="K139" s="302"/>
      <c r="L139" s="303"/>
      <c r="M139" s="303"/>
      <c r="N139" s="237"/>
      <c r="O139" s="247"/>
    </row>
    <row r="140" spans="1:17" ht="27.75" hidden="1" customHeight="1" x14ac:dyDescent="0.2">
      <c r="A140" s="600"/>
      <c r="B140" s="309"/>
      <c r="C140" s="240"/>
      <c r="D140" s="601" t="s">
        <v>18</v>
      </c>
      <c r="E140" s="601" t="s">
        <v>182</v>
      </c>
      <c r="F140" s="601" t="s">
        <v>185</v>
      </c>
      <c r="G140" s="597" t="str">
        <f>+'[7]Egresos Programa III General'!B70</f>
        <v>Mejoras en la Infraestructura de la Calle Puente Negro a Pavas de Carrizal</v>
      </c>
      <c r="H140" s="597"/>
      <c r="I140" s="300">
        <f>+'[7]Egresos Programa III General'!C70</f>
        <v>0</v>
      </c>
      <c r="J140" s="301"/>
      <c r="K140" s="302"/>
      <c r="L140" s="303"/>
      <c r="M140" s="303"/>
      <c r="N140" s="237"/>
      <c r="O140" s="300"/>
    </row>
    <row r="141" spans="1:17" x14ac:dyDescent="0.2">
      <c r="A141" s="600"/>
      <c r="B141" s="309"/>
      <c r="C141" s="240"/>
      <c r="D141" s="601"/>
      <c r="E141" s="601"/>
      <c r="F141" s="601"/>
      <c r="G141" s="241" t="s">
        <v>181</v>
      </c>
      <c r="H141" s="597"/>
      <c r="I141" s="300">
        <v>230000000</v>
      </c>
      <c r="J141" s="301"/>
      <c r="K141" s="302">
        <v>230000000</v>
      </c>
      <c r="L141" s="303"/>
      <c r="M141" s="303"/>
      <c r="N141" s="237"/>
      <c r="O141" s="300"/>
    </row>
    <row r="142" spans="1:17" x14ac:dyDescent="0.2">
      <c r="A142" s="600"/>
      <c r="B142" s="309"/>
      <c r="C142" s="240"/>
      <c r="D142" s="601"/>
      <c r="E142" s="601"/>
      <c r="F142" s="601"/>
      <c r="G142" s="597"/>
      <c r="H142" s="597"/>
      <c r="I142" s="300"/>
      <c r="J142" s="301"/>
      <c r="K142" s="302"/>
      <c r="L142" s="303"/>
      <c r="M142" s="303"/>
      <c r="N142" s="237"/>
      <c r="O142" s="300"/>
    </row>
    <row r="143" spans="1:17" ht="25.5" x14ac:dyDescent="0.2">
      <c r="A143" s="600"/>
      <c r="B143" s="601"/>
      <c r="C143" s="240"/>
      <c r="D143" s="601" t="s">
        <v>18</v>
      </c>
      <c r="E143" s="601" t="s">
        <v>182</v>
      </c>
      <c r="F143" s="601" t="s">
        <v>185</v>
      </c>
      <c r="G143" s="311" t="str">
        <f>+'[7]Egresos Programa III General'!B72</f>
        <v>Mejoras Pluviales la Guacima Centro-Las vueltas</v>
      </c>
      <c r="H143" s="311"/>
      <c r="I143" s="312">
        <f>+'[7]Egresos Programa III General'!C72</f>
        <v>320656250</v>
      </c>
      <c r="J143" s="313"/>
      <c r="K143" s="314"/>
      <c r="L143" s="315"/>
      <c r="M143" s="315"/>
      <c r="N143" s="237"/>
      <c r="O143" s="300"/>
      <c r="P143" s="602"/>
      <c r="Q143" s="602"/>
    </row>
    <row r="144" spans="1:17" x14ac:dyDescent="0.2">
      <c r="A144" s="600"/>
      <c r="B144" s="601"/>
      <c r="C144" s="240"/>
      <c r="D144" s="601"/>
      <c r="E144" s="601"/>
      <c r="F144" s="601"/>
      <c r="G144" s="241" t="s">
        <v>181</v>
      </c>
      <c r="H144" s="311"/>
      <c r="I144" s="247">
        <v>320656250</v>
      </c>
      <c r="J144" s="313"/>
      <c r="K144" s="314">
        <f>+I144</f>
        <v>320656250</v>
      </c>
      <c r="L144" s="315"/>
      <c r="M144" s="315"/>
      <c r="N144" s="237"/>
      <c r="O144" s="300"/>
      <c r="P144" s="602"/>
      <c r="Q144" s="602"/>
    </row>
    <row r="145" spans="1:17" x14ac:dyDescent="0.2">
      <c r="A145" s="600"/>
      <c r="B145" s="601"/>
      <c r="C145" s="240"/>
      <c r="D145" s="601"/>
      <c r="E145" s="601"/>
      <c r="F145" s="601"/>
      <c r="G145" s="311"/>
      <c r="H145" s="311"/>
      <c r="I145" s="247"/>
      <c r="J145" s="313"/>
      <c r="K145" s="314"/>
      <c r="L145" s="315"/>
      <c r="M145" s="315"/>
      <c r="N145" s="237"/>
      <c r="O145" s="242"/>
      <c r="P145" s="602"/>
      <c r="Q145" s="602"/>
    </row>
    <row r="146" spans="1:17" hidden="1" x14ac:dyDescent="0.2">
      <c r="A146" s="600"/>
      <c r="B146" s="309"/>
      <c r="C146" s="240"/>
      <c r="D146" s="601" t="s">
        <v>18</v>
      </c>
      <c r="E146" s="601" t="s">
        <v>182</v>
      </c>
      <c r="F146" s="601" t="s">
        <v>191</v>
      </c>
      <c r="G146" s="310" t="str">
        <f>+'[7]Egresos Programa III General'!B73</f>
        <v>Mejoramiento Pluvial el Coyol</v>
      </c>
      <c r="H146" s="310"/>
      <c r="I146" s="242">
        <f>+'[7]Egresos Programa III General'!C73</f>
        <v>0</v>
      </c>
      <c r="J146" s="243"/>
      <c r="K146" s="244"/>
      <c r="L146" s="245"/>
      <c r="M146" s="245"/>
      <c r="N146" s="237"/>
      <c r="O146" s="242"/>
      <c r="P146" s="602"/>
      <c r="Q146" s="602"/>
    </row>
    <row r="147" spans="1:17" ht="30.75" hidden="1" customHeight="1" x14ac:dyDescent="0.2">
      <c r="A147" s="600"/>
      <c r="B147" s="309"/>
      <c r="C147" s="240"/>
      <c r="D147" s="601" t="s">
        <v>18</v>
      </c>
      <c r="E147" s="601" t="s">
        <v>182</v>
      </c>
      <c r="F147" s="601" t="s">
        <v>182</v>
      </c>
      <c r="G147" s="311" t="str">
        <f>+'[7]Egresos Programa III General'!B74</f>
        <v>Mejoramiento Pluvial Imas 2</v>
      </c>
      <c r="H147" s="311"/>
      <c r="I147" s="304">
        <f>+'[7]Egresos Programa III General'!C74</f>
        <v>0</v>
      </c>
      <c r="J147" s="305"/>
      <c r="K147" s="306"/>
      <c r="L147" s="307"/>
      <c r="M147" s="307"/>
      <c r="N147" s="237"/>
      <c r="O147" s="242"/>
    </row>
    <row r="148" spans="1:17" x14ac:dyDescent="0.2">
      <c r="A148" s="600"/>
      <c r="B148" s="601"/>
      <c r="C148" s="240"/>
      <c r="D148" s="601" t="s">
        <v>18</v>
      </c>
      <c r="E148" s="601" t="s">
        <v>183</v>
      </c>
      <c r="F148" s="601" t="s">
        <v>184</v>
      </c>
      <c r="G148" s="241" t="s">
        <v>277</v>
      </c>
      <c r="H148" s="241"/>
      <c r="I148" s="316">
        <f>+'[7]Egresos Programa III General'!C97-I254</f>
        <v>2049030630.892658</v>
      </c>
      <c r="J148" s="305"/>
      <c r="K148" s="306"/>
      <c r="L148" s="307"/>
      <c r="M148" s="307"/>
      <c r="N148" s="237"/>
      <c r="O148" s="300"/>
      <c r="P148" s="792">
        <f>+I148+I212+I254+I587+I650</f>
        <v>2057326894.0226581</v>
      </c>
    </row>
    <row r="149" spans="1:17" x14ac:dyDescent="0.2">
      <c r="A149" s="600"/>
      <c r="B149" s="601"/>
      <c r="C149" s="240"/>
      <c r="D149" s="601"/>
      <c r="E149" s="601"/>
      <c r="F149" s="601"/>
      <c r="G149" s="241" t="s">
        <v>9</v>
      </c>
      <c r="H149" s="241"/>
      <c r="I149" s="304">
        <v>1032864950.7649</v>
      </c>
      <c r="J149" s="305">
        <f>+I149</f>
        <v>1032864950.7649</v>
      </c>
      <c r="K149" s="306"/>
      <c r="L149" s="307"/>
      <c r="M149" s="307"/>
      <c r="N149" s="237"/>
      <c r="O149" s="300"/>
    </row>
    <row r="150" spans="1:17" x14ac:dyDescent="0.2">
      <c r="A150" s="600"/>
      <c r="B150" s="601"/>
      <c r="C150" s="240"/>
      <c r="D150" s="601"/>
      <c r="E150" s="601"/>
      <c r="F150" s="601"/>
      <c r="G150" s="241" t="s">
        <v>10</v>
      </c>
      <c r="H150" s="241"/>
      <c r="I150" s="304">
        <v>167361943.25999999</v>
      </c>
      <c r="J150" s="305">
        <f>+I150</f>
        <v>167361943.25999999</v>
      </c>
      <c r="K150" s="306"/>
      <c r="L150" s="307"/>
      <c r="M150" s="307"/>
      <c r="N150" s="237"/>
      <c r="O150" s="247">
        <f>SUM(I149:I153)</f>
        <v>2049030630.8948998</v>
      </c>
    </row>
    <row r="151" spans="1:17" x14ac:dyDescent="0.2">
      <c r="A151" s="600"/>
      <c r="B151" s="601"/>
      <c r="C151" s="240"/>
      <c r="D151" s="601"/>
      <c r="E151" s="601"/>
      <c r="F151" s="601"/>
      <c r="G151" s="241" t="s">
        <v>276</v>
      </c>
      <c r="H151" s="241"/>
      <c r="I151" s="304">
        <v>206650000</v>
      </c>
      <c r="J151" s="305">
        <f>+I151</f>
        <v>206650000</v>
      </c>
      <c r="K151" s="306"/>
      <c r="L151" s="307"/>
      <c r="M151" s="307"/>
      <c r="N151" s="237"/>
      <c r="O151" s="247"/>
    </row>
    <row r="152" spans="1:17" x14ac:dyDescent="0.2">
      <c r="A152" s="600"/>
      <c r="B152" s="601"/>
      <c r="C152" s="240"/>
      <c r="D152" s="601"/>
      <c r="E152" s="601"/>
      <c r="F152" s="601"/>
      <c r="G152" s="241" t="s">
        <v>181</v>
      </c>
      <c r="H152" s="241"/>
      <c r="I152" s="304">
        <v>631950000</v>
      </c>
      <c r="J152" s="305"/>
      <c r="K152" s="306">
        <f>+I152</f>
        <v>631950000</v>
      </c>
      <c r="L152" s="307"/>
      <c r="M152" s="307"/>
      <c r="N152" s="237"/>
      <c r="O152" s="247"/>
    </row>
    <row r="153" spans="1:17" x14ac:dyDescent="0.2">
      <c r="A153" s="600"/>
      <c r="B153" s="601"/>
      <c r="C153" s="240"/>
      <c r="D153" s="601"/>
      <c r="E153" s="601"/>
      <c r="F153" s="601"/>
      <c r="G153" s="241" t="s">
        <v>207</v>
      </c>
      <c r="H153" s="241"/>
      <c r="I153" s="304">
        <f>18500000-8296263.13</f>
        <v>10203736.870000001</v>
      </c>
      <c r="J153" s="305">
        <f>+I153</f>
        <v>10203736.870000001</v>
      </c>
      <c r="K153" s="306"/>
      <c r="L153" s="307"/>
      <c r="M153" s="307"/>
      <c r="N153" s="237"/>
      <c r="O153" s="247"/>
    </row>
    <row r="154" spans="1:17" x14ac:dyDescent="0.2">
      <c r="A154" s="600"/>
      <c r="B154" s="601"/>
      <c r="C154" s="240"/>
      <c r="D154" s="601"/>
      <c r="E154" s="601"/>
      <c r="F154" s="601"/>
      <c r="G154" s="241"/>
      <c r="H154" s="241"/>
      <c r="I154" s="304"/>
      <c r="J154" s="305"/>
      <c r="K154" s="306"/>
      <c r="L154" s="307"/>
      <c r="M154" s="307"/>
      <c r="N154" s="237"/>
      <c r="O154" s="247"/>
    </row>
    <row r="155" spans="1:17" x14ac:dyDescent="0.2">
      <c r="A155" s="600"/>
      <c r="B155" s="601"/>
      <c r="C155" s="240"/>
      <c r="D155" s="601" t="s">
        <v>18</v>
      </c>
      <c r="E155" s="601" t="s">
        <v>183</v>
      </c>
      <c r="F155" s="601" t="s">
        <v>185</v>
      </c>
      <c r="G155" s="258" t="str">
        <f>+'[7]Egresos Programa III General'!B98</f>
        <v>Catastro Multifinalitario</v>
      </c>
      <c r="H155" s="258"/>
      <c r="I155" s="316">
        <f>+'[7]Egresos Programa III General'!C98</f>
        <v>138132525.24617293</v>
      </c>
      <c r="J155" s="305"/>
      <c r="K155" s="306"/>
      <c r="L155" s="307"/>
      <c r="M155" s="307"/>
      <c r="N155" s="237"/>
      <c r="O155" s="247"/>
    </row>
    <row r="156" spans="1:17" ht="13.5" thickBot="1" x14ac:dyDescent="0.25">
      <c r="A156" s="600"/>
      <c r="B156" s="601"/>
      <c r="C156" s="240"/>
      <c r="D156" s="601"/>
      <c r="E156" s="601"/>
      <c r="F156" s="601"/>
      <c r="G156" s="241" t="s">
        <v>9</v>
      </c>
      <c r="H156" s="258"/>
      <c r="I156" s="304">
        <v>129605425.81</v>
      </c>
      <c r="J156" s="305">
        <f>+I156</f>
        <v>129605425.81</v>
      </c>
      <c r="K156" s="306"/>
      <c r="L156" s="307"/>
      <c r="M156" s="307"/>
      <c r="N156" s="731"/>
      <c r="O156" s="247"/>
    </row>
    <row r="157" spans="1:17" x14ac:dyDescent="0.2">
      <c r="A157" s="600"/>
      <c r="B157" s="601"/>
      <c r="C157" s="240"/>
      <c r="D157" s="601"/>
      <c r="E157" s="601"/>
      <c r="F157" s="601"/>
      <c r="G157" s="241" t="s">
        <v>10</v>
      </c>
      <c r="H157" s="258"/>
      <c r="I157" s="304">
        <v>4708099.4400000004</v>
      </c>
      <c r="J157" s="305">
        <f>+I157</f>
        <v>4708099.4400000004</v>
      </c>
      <c r="K157" s="306"/>
      <c r="L157" s="307"/>
      <c r="M157" s="307"/>
      <c r="N157" s="247"/>
      <c r="O157" s="247"/>
    </row>
    <row r="158" spans="1:17" x14ac:dyDescent="0.2">
      <c r="A158" s="600"/>
      <c r="B158" s="601"/>
      <c r="C158" s="240"/>
      <c r="D158" s="601"/>
      <c r="E158" s="601"/>
      <c r="F158" s="601"/>
      <c r="G158" s="241" t="s">
        <v>276</v>
      </c>
      <c r="H158" s="258"/>
      <c r="I158" s="304">
        <v>1109000</v>
      </c>
      <c r="J158" s="305">
        <f>+I158</f>
        <v>1109000</v>
      </c>
      <c r="K158" s="306"/>
      <c r="L158" s="307"/>
      <c r="M158" s="307"/>
      <c r="N158" s="247"/>
      <c r="O158" s="247">
        <f>SUM(I156:I160)</f>
        <v>138132525.25</v>
      </c>
    </row>
    <row r="159" spans="1:17" x14ac:dyDescent="0.2">
      <c r="A159" s="600"/>
      <c r="B159" s="601"/>
      <c r="C159" s="240"/>
      <c r="D159" s="601"/>
      <c r="E159" s="601"/>
      <c r="F159" s="601"/>
      <c r="G159" s="241" t="s">
        <v>181</v>
      </c>
      <c r="H159" s="258"/>
      <c r="I159" s="304">
        <v>110000</v>
      </c>
      <c r="J159" s="305"/>
      <c r="K159" s="306">
        <f>+I159</f>
        <v>110000</v>
      </c>
      <c r="L159" s="307"/>
      <c r="M159" s="307"/>
      <c r="N159" s="247"/>
      <c r="O159" s="256"/>
    </row>
    <row r="160" spans="1:17" ht="13.5" customHeight="1" x14ac:dyDescent="0.2">
      <c r="A160" s="600"/>
      <c r="B160" s="601"/>
      <c r="C160" s="240"/>
      <c r="D160" s="601"/>
      <c r="E160" s="601"/>
      <c r="F160" s="601"/>
      <c r="G160" s="241" t="s">
        <v>207</v>
      </c>
      <c r="H160" s="258"/>
      <c r="I160" s="304">
        <v>2600000</v>
      </c>
      <c r="J160" s="305">
        <f>+I160</f>
        <v>2600000</v>
      </c>
      <c r="K160" s="306"/>
      <c r="L160" s="307"/>
      <c r="M160" s="307"/>
      <c r="N160" s="247"/>
      <c r="O160" s="256"/>
    </row>
    <row r="161" spans="1:17" hidden="1" x14ac:dyDescent="0.2">
      <c r="A161" s="600"/>
      <c r="B161" s="601"/>
      <c r="C161" s="240"/>
      <c r="D161" s="601"/>
      <c r="E161" s="601"/>
      <c r="F161" s="601"/>
      <c r="G161" s="258"/>
      <c r="H161" s="258"/>
      <c r="I161" s="304"/>
      <c r="J161" s="305"/>
      <c r="K161" s="306"/>
      <c r="L161" s="307"/>
      <c r="M161" s="307"/>
      <c r="N161" s="247"/>
      <c r="O161" s="256"/>
    </row>
    <row r="162" spans="1:17" hidden="1" x14ac:dyDescent="0.2">
      <c r="A162" s="600"/>
      <c r="B162" s="601"/>
      <c r="C162" s="240"/>
      <c r="D162" s="601" t="s">
        <v>18</v>
      </c>
      <c r="E162" s="601" t="s">
        <v>183</v>
      </c>
      <c r="F162" s="601" t="s">
        <v>193</v>
      </c>
      <c r="G162" s="295" t="str">
        <f>+'[7]Egresos Programa III General'!B99</f>
        <v>Plan Mercadeo Turistico de Alajuela</v>
      </c>
      <c r="H162" s="295"/>
      <c r="I162" s="304">
        <f>+'[7]Egresos Programa III General'!C99</f>
        <v>0</v>
      </c>
      <c r="J162" s="305"/>
      <c r="K162" s="306"/>
      <c r="L162" s="307"/>
      <c r="M162" s="307"/>
      <c r="N162" s="247"/>
      <c r="O162" s="256"/>
    </row>
    <row r="163" spans="1:17" hidden="1" x14ac:dyDescent="0.2">
      <c r="A163" s="600"/>
      <c r="B163" s="601"/>
      <c r="C163" s="240"/>
      <c r="D163" s="601" t="s">
        <v>18</v>
      </c>
      <c r="E163" s="601" t="s">
        <v>183</v>
      </c>
      <c r="F163" s="601" t="s">
        <v>191</v>
      </c>
      <c r="G163" s="295" t="str">
        <f>+'[7]Egresos Programa III General'!B101</f>
        <v>Alajuela Ciudad Segura</v>
      </c>
      <c r="H163" s="295"/>
      <c r="I163" s="304"/>
      <c r="J163" s="305"/>
      <c r="K163" s="306"/>
      <c r="L163" s="307"/>
      <c r="M163" s="307"/>
      <c r="N163" s="247"/>
      <c r="O163" s="256"/>
    </row>
    <row r="164" spans="1:17" ht="12" hidden="1" customHeight="1" x14ac:dyDescent="0.2">
      <c r="A164" s="600"/>
      <c r="B164" s="601"/>
      <c r="C164" s="240"/>
      <c r="D164" s="601" t="s">
        <v>18</v>
      </c>
      <c r="E164" s="601" t="s">
        <v>183</v>
      </c>
      <c r="F164" s="601" t="s">
        <v>183</v>
      </c>
      <c r="G164" s="597" t="str">
        <f>+'[7]Egresos Programa III General'!B103</f>
        <v>Mejoras Parques de Urbanización Doña Rosa</v>
      </c>
      <c r="H164" s="597"/>
      <c r="I164" s="304">
        <f>+'[7]Egresos Programa III General'!C103</f>
        <v>0</v>
      </c>
      <c r="J164" s="305"/>
      <c r="K164" s="306"/>
      <c r="L164" s="307"/>
      <c r="M164" s="307"/>
      <c r="N164" s="247"/>
      <c r="O164" s="256"/>
      <c r="P164" s="792" t="e">
        <f>+I164+#REF!</f>
        <v>#REF!</v>
      </c>
    </row>
    <row r="165" spans="1:17" ht="12" hidden="1" customHeight="1" x14ac:dyDescent="0.2">
      <c r="A165" s="600"/>
      <c r="B165" s="601"/>
      <c r="C165" s="240"/>
      <c r="D165" s="601" t="s">
        <v>18</v>
      </c>
      <c r="E165" s="601" t="s">
        <v>183</v>
      </c>
      <c r="F165" s="601" t="s">
        <v>189</v>
      </c>
      <c r="G165" s="597" t="str">
        <f>+'[7]Egresos Programa III General'!B104</f>
        <v>Mejoras Infraestructura Parque de la Garita</v>
      </c>
      <c r="H165" s="597"/>
      <c r="I165" s="304">
        <f>+'[7]Egresos Programa III General'!C104</f>
        <v>0</v>
      </c>
      <c r="J165" s="305"/>
      <c r="K165" s="306"/>
      <c r="L165" s="307"/>
      <c r="M165" s="307"/>
      <c r="N165" s="247"/>
      <c r="O165" s="256"/>
    </row>
    <row r="166" spans="1:17" ht="12" hidden="1" customHeight="1" x14ac:dyDescent="0.2">
      <c r="A166" s="600"/>
      <c r="B166" s="601"/>
      <c r="C166" s="240"/>
      <c r="D166" s="601" t="s">
        <v>18</v>
      </c>
      <c r="E166" s="601" t="s">
        <v>183</v>
      </c>
      <c r="F166" s="601">
        <v>10</v>
      </c>
      <c r="G166" s="241" t="str">
        <f>+'[7]Egresos Programa III General'!B106</f>
        <v>Mejora áreas recreativas Urbanización Silvia Eugenia</v>
      </c>
      <c r="H166" s="241"/>
      <c r="I166" s="304">
        <f>+'[7]Egresos Programa III General'!C106</f>
        <v>0</v>
      </c>
      <c r="J166" s="305"/>
      <c r="K166" s="306"/>
      <c r="L166" s="307"/>
      <c r="M166" s="307"/>
      <c r="N166" s="247"/>
      <c r="O166" s="256"/>
    </row>
    <row r="167" spans="1:17" ht="12" hidden="1" customHeight="1" x14ac:dyDescent="0.2">
      <c r="A167" s="600"/>
      <c r="B167" s="601"/>
      <c r="C167" s="240"/>
      <c r="D167" s="601" t="s">
        <v>18</v>
      </c>
      <c r="E167" s="601" t="s">
        <v>183</v>
      </c>
      <c r="F167" s="601">
        <v>11</v>
      </c>
      <c r="G167" s="597" t="str">
        <f>+'[7]Egresos Programa III General'!B107</f>
        <v>Compra de Terreno para Salón Comunal Río Segundo</v>
      </c>
      <c r="H167" s="597"/>
      <c r="I167" s="304">
        <f>+'[7]Egresos Programa III General'!C107-I655</f>
        <v>0</v>
      </c>
      <c r="J167" s="305"/>
      <c r="K167" s="306"/>
      <c r="L167" s="307"/>
      <c r="M167" s="307"/>
      <c r="N167" s="247"/>
      <c r="O167" s="256"/>
    </row>
    <row r="168" spans="1:17" ht="12" hidden="1" customHeight="1" x14ac:dyDescent="0.2">
      <c r="A168" s="600"/>
      <c r="B168" s="601"/>
      <c r="C168" s="240"/>
      <c r="D168" s="601" t="s">
        <v>18</v>
      </c>
      <c r="E168" s="601" t="s">
        <v>183</v>
      </c>
      <c r="F168" s="601">
        <v>12</v>
      </c>
      <c r="G168" s="597" t="str">
        <f>+'[7]Egresos Programa III General'!B108</f>
        <v>Equipamiento parque infantil urbanización Sacramento</v>
      </c>
      <c r="H168" s="597"/>
      <c r="I168" s="304">
        <f>+'[7]Egresos Programa III General'!C108</f>
        <v>0</v>
      </c>
      <c r="J168" s="305"/>
      <c r="K168" s="306"/>
      <c r="L168" s="307"/>
      <c r="M168" s="307"/>
      <c r="N168" s="247"/>
      <c r="O168" s="256"/>
    </row>
    <row r="169" spans="1:17" ht="12" hidden="1" customHeight="1" x14ac:dyDescent="0.2">
      <c r="A169" s="600"/>
      <c r="B169" s="601"/>
      <c r="C169" s="240"/>
      <c r="D169" s="601" t="s">
        <v>18</v>
      </c>
      <c r="E169" s="601" t="s">
        <v>183</v>
      </c>
      <c r="F169" s="601">
        <v>13</v>
      </c>
      <c r="G169" s="597" t="str">
        <f>+'[7]Egresos Programa III General'!B109</f>
        <v xml:space="preserve"> Mejoras en la cancha multiuso de la Urbanización María Auxiliadora, Distrito de San Rafael</v>
      </c>
      <c r="H169" s="597"/>
      <c r="I169" s="304">
        <f>+'[7]Egresos Programa III General'!C109</f>
        <v>0</v>
      </c>
      <c r="J169" s="305"/>
      <c r="K169" s="306"/>
      <c r="L169" s="307"/>
      <c r="M169" s="307"/>
      <c r="N169" s="247"/>
      <c r="O169" s="256"/>
    </row>
    <row r="170" spans="1:17" ht="12" hidden="1" customHeight="1" x14ac:dyDescent="0.2">
      <c r="A170" s="600"/>
      <c r="B170" s="601"/>
      <c r="C170" s="240"/>
      <c r="D170" s="601" t="s">
        <v>18</v>
      </c>
      <c r="E170" s="601" t="s">
        <v>183</v>
      </c>
      <c r="F170" s="601">
        <v>13</v>
      </c>
      <c r="G170" s="597" t="str">
        <f>+'[7]Egresos Programa III General'!B110</f>
        <v xml:space="preserve"> Mejoramiento plaza de deportes INVU Las Cañas de Desamparado</v>
      </c>
      <c r="H170" s="597"/>
      <c r="I170" s="304">
        <f>+'[7]Egresos Programa III General'!C110</f>
        <v>0</v>
      </c>
      <c r="J170" s="305"/>
      <c r="K170" s="306"/>
      <c r="L170" s="307"/>
      <c r="M170" s="307"/>
      <c r="N170" s="247"/>
      <c r="O170" s="256"/>
    </row>
    <row r="171" spans="1:17" ht="12" hidden="1" customHeight="1" x14ac:dyDescent="0.2">
      <c r="A171" s="600"/>
      <c r="B171" s="601"/>
      <c r="C171" s="240"/>
      <c r="D171" s="601" t="s">
        <v>18</v>
      </c>
      <c r="E171" s="601" t="s">
        <v>183</v>
      </c>
      <c r="F171" s="601">
        <v>15</v>
      </c>
      <c r="G171" s="597" t="str">
        <f>+'[7]Egresos Programa III General'!B111</f>
        <v>Mejoras infraestructura en cancha de futbol de la Urbanización Gregorio José Ramírez, Montecillos</v>
      </c>
      <c r="H171" s="597"/>
      <c r="I171" s="304">
        <f>+'[7]Egresos Programa III General'!C111</f>
        <v>0</v>
      </c>
      <c r="J171" s="305"/>
      <c r="K171" s="306"/>
      <c r="L171" s="307"/>
      <c r="M171" s="307"/>
      <c r="N171" s="247"/>
      <c r="O171" s="256"/>
    </row>
    <row r="172" spans="1:17" ht="12" hidden="1" customHeight="1" x14ac:dyDescent="0.2">
      <c r="A172" s="600"/>
      <c r="B172" s="601"/>
      <c r="C172" s="240"/>
      <c r="D172" s="601" t="s">
        <v>18</v>
      </c>
      <c r="E172" s="601" t="s">
        <v>183</v>
      </c>
      <c r="F172" s="601">
        <v>16</v>
      </c>
      <c r="G172" s="597" t="str">
        <f>+'[7]Egresos Programa III General'!B112</f>
        <v>III-06-16</v>
      </c>
      <c r="H172" s="597"/>
      <c r="I172" s="304">
        <f>+'[7]Egresos Programa III General'!C112</f>
        <v>0</v>
      </c>
      <c r="J172" s="305"/>
      <c r="K172" s="306"/>
      <c r="L172" s="307"/>
      <c r="M172" s="307"/>
      <c r="N172" s="247"/>
      <c r="O172" s="256"/>
    </row>
    <row r="173" spans="1:17" ht="12" hidden="1" customHeight="1" x14ac:dyDescent="0.2">
      <c r="A173" s="600"/>
      <c r="B173" s="601"/>
      <c r="C173" s="240"/>
      <c r="D173" s="601" t="s">
        <v>18</v>
      </c>
      <c r="E173" s="601" t="s">
        <v>183</v>
      </c>
      <c r="F173" s="601">
        <v>17</v>
      </c>
      <c r="G173" s="597" t="str">
        <f>+'[7]Egresos Programa III General'!B113</f>
        <v>III-06-17</v>
      </c>
      <c r="H173" s="597"/>
      <c r="I173" s="300">
        <f>+'[7]Egresos Programa III General'!C113</f>
        <v>0</v>
      </c>
      <c r="J173" s="301"/>
      <c r="K173" s="302"/>
      <c r="L173" s="303"/>
      <c r="M173" s="303"/>
      <c r="N173" s="300"/>
      <c r="O173" s="256"/>
    </row>
    <row r="174" spans="1:17" ht="12" hidden="1" customHeight="1" x14ac:dyDescent="0.2">
      <c r="A174" s="600"/>
      <c r="B174" s="601"/>
      <c r="C174" s="240"/>
      <c r="D174" s="601" t="s">
        <v>18</v>
      </c>
      <c r="E174" s="601" t="s">
        <v>189</v>
      </c>
      <c r="F174" s="601"/>
      <c r="G174" s="597" t="s">
        <v>190</v>
      </c>
      <c r="H174" s="597"/>
      <c r="I174" s="304">
        <v>0</v>
      </c>
      <c r="J174" s="305"/>
      <c r="K174" s="306"/>
      <c r="L174" s="307"/>
      <c r="M174" s="307"/>
      <c r="N174" s="247"/>
      <c r="O174" s="256"/>
    </row>
    <row r="175" spans="1:17" ht="12" customHeight="1" x14ac:dyDescent="0.2">
      <c r="A175" s="600"/>
      <c r="B175" s="601"/>
      <c r="C175" s="240"/>
      <c r="D175" s="601"/>
      <c r="E175" s="601"/>
      <c r="F175" s="601"/>
      <c r="G175" s="597"/>
      <c r="H175" s="597"/>
      <c r="I175" s="304"/>
      <c r="J175" s="305"/>
      <c r="K175" s="306"/>
      <c r="L175" s="307"/>
      <c r="M175" s="307"/>
      <c r="N175" s="247"/>
      <c r="O175" s="256"/>
    </row>
    <row r="176" spans="1:17" s="319" customFormat="1" ht="12" customHeight="1" x14ac:dyDescent="0.2">
      <c r="A176" s="298"/>
      <c r="B176" s="602"/>
      <c r="C176" s="240"/>
      <c r="D176" s="601" t="s">
        <v>18</v>
      </c>
      <c r="E176" s="601" t="s">
        <v>187</v>
      </c>
      <c r="F176" s="601"/>
      <c r="G176" s="241" t="s">
        <v>203</v>
      </c>
      <c r="H176" s="241"/>
      <c r="I176" s="316">
        <f>+I177</f>
        <v>71357953.549999997</v>
      </c>
      <c r="J176" s="305"/>
      <c r="K176" s="306"/>
      <c r="L176" s="307"/>
      <c r="M176" s="307"/>
      <c r="N176" s="247"/>
      <c r="O176" s="256"/>
      <c r="P176" s="799">
        <f>+I176+I174+I177+I265+I592+I610+I193+I266</f>
        <v>220353014.68788999</v>
      </c>
      <c r="Q176" s="318"/>
    </row>
    <row r="177" spans="1:17" s="319" customFormat="1" ht="13.5" thickBot="1" x14ac:dyDescent="0.25">
      <c r="A177" s="320"/>
      <c r="B177" s="321"/>
      <c r="C177" s="273"/>
      <c r="D177" s="272"/>
      <c r="E177" s="272"/>
      <c r="F177" s="272"/>
      <c r="G177" s="274" t="s">
        <v>275</v>
      </c>
      <c r="H177" s="274"/>
      <c r="I177" s="322">
        <f>+'[7]Egresos Programa III General'!C124</f>
        <v>71357953.549999997</v>
      </c>
      <c r="J177" s="305"/>
      <c r="K177" s="306"/>
      <c r="L177" s="307"/>
      <c r="M177" s="307"/>
      <c r="N177" s="247"/>
      <c r="O177" s="256"/>
      <c r="P177" s="799">
        <f>+O177-I177</f>
        <v>-71357953.549999997</v>
      </c>
      <c r="Q177" s="318">
        <f>+P177-75000000</f>
        <v>-146357953.55000001</v>
      </c>
    </row>
    <row r="178" spans="1:17" s="239" customFormat="1" ht="13.5" thickBot="1" x14ac:dyDescent="0.25">
      <c r="A178" s="323" t="s">
        <v>180</v>
      </c>
      <c r="B178" s="324"/>
      <c r="C178" s="325">
        <f>SUM(C10)</f>
        <v>7800000000</v>
      </c>
      <c r="D178" s="326"/>
      <c r="E178" s="326"/>
      <c r="F178" s="326"/>
      <c r="G178" s="327"/>
      <c r="H178" s="327"/>
      <c r="I178" s="328">
        <f>SUM(I11:I177)/2</f>
        <v>7799999999.9970608</v>
      </c>
      <c r="J178" s="329"/>
      <c r="K178" s="330"/>
      <c r="L178" s="331"/>
      <c r="M178" s="331">
        <v>71357953.549999997</v>
      </c>
      <c r="N178" s="333">
        <f>+C178-I178</f>
        <v>2.9392242431640625E-3</v>
      </c>
      <c r="O178" s="256"/>
      <c r="P178" s="800">
        <f>+I177+I213+I501</f>
        <v>71357953.549999997</v>
      </c>
      <c r="Q178" s="335">
        <f>+C178-I178</f>
        <v>2.9392242431640625E-3</v>
      </c>
    </row>
    <row r="179" spans="1:17" ht="13.5" hidden="1" thickBot="1" x14ac:dyDescent="0.25">
      <c r="A179" s="336"/>
      <c r="B179" s="229"/>
      <c r="C179" s="230"/>
      <c r="D179" s="599"/>
      <c r="E179" s="599"/>
      <c r="F179" s="599"/>
      <c r="G179" s="231"/>
      <c r="H179" s="231"/>
      <c r="I179" s="232"/>
      <c r="J179" s="301"/>
      <c r="K179" s="302"/>
      <c r="L179" s="303"/>
      <c r="M179" s="303"/>
      <c r="N179" s="237"/>
      <c r="O179" s="256"/>
    </row>
    <row r="180" spans="1:17" ht="13.5" hidden="1" thickBot="1" x14ac:dyDescent="0.25">
      <c r="A180" s="238" t="str">
        <f>+'[7]Clasific. Económica de Ingresos'!A17</f>
        <v>1.1.2.2.02.00.0.0.000</v>
      </c>
      <c r="B180" s="239" t="s">
        <v>274</v>
      </c>
      <c r="C180" s="240">
        <f>SUM('[7]Clasific. Económica de Ingresos'!C17)</f>
        <v>0</v>
      </c>
      <c r="D180" s="601"/>
      <c r="E180" s="601"/>
      <c r="F180" s="601"/>
      <c r="G180" s="241"/>
      <c r="H180" s="241"/>
      <c r="I180" s="300"/>
      <c r="J180" s="301"/>
      <c r="K180" s="302"/>
      <c r="L180" s="303"/>
      <c r="M180" s="303"/>
      <c r="N180" s="237"/>
      <c r="O180" s="256"/>
    </row>
    <row r="181" spans="1:17" ht="13.5" hidden="1" thickBot="1" x14ac:dyDescent="0.25">
      <c r="A181" s="337"/>
      <c r="B181" s="338"/>
      <c r="C181" s="339"/>
      <c r="D181" s="601" t="s">
        <v>8</v>
      </c>
      <c r="E181" s="601" t="s">
        <v>184</v>
      </c>
      <c r="F181" s="601" t="s">
        <v>209</v>
      </c>
      <c r="G181" s="241" t="s">
        <v>213</v>
      </c>
      <c r="H181" s="241"/>
      <c r="I181" s="304">
        <v>0</v>
      </c>
      <c r="J181" s="305"/>
      <c r="K181" s="306"/>
      <c r="L181" s="307"/>
      <c r="M181" s="307"/>
      <c r="N181" s="242"/>
      <c r="O181" s="256"/>
    </row>
    <row r="182" spans="1:17" ht="13.5" hidden="1" thickBot="1" x14ac:dyDescent="0.25">
      <c r="A182" s="298"/>
      <c r="C182" s="240"/>
      <c r="D182" s="601" t="s">
        <v>8</v>
      </c>
      <c r="E182" s="601" t="s">
        <v>191</v>
      </c>
      <c r="F182" s="601" t="s">
        <v>209</v>
      </c>
      <c r="G182" s="241" t="str">
        <f>+[7]ProgramaI!B24</f>
        <v>Aporte Junta Admva.Registro Nac. Ley 7509y 7729</v>
      </c>
      <c r="H182" s="241"/>
      <c r="I182" s="304">
        <v>0</v>
      </c>
      <c r="J182" s="305"/>
      <c r="K182" s="306"/>
      <c r="L182" s="307"/>
      <c r="M182" s="307"/>
      <c r="N182" s="242"/>
      <c r="O182" s="256"/>
      <c r="P182" s="792">
        <f>+I128+I198+I211+I242+I462+I676+I580</f>
        <v>2018864775.73</v>
      </c>
    </row>
    <row r="183" spans="1:17" ht="13.5" hidden="1" thickBot="1" x14ac:dyDescent="0.25">
      <c r="A183" s="298"/>
      <c r="C183" s="240"/>
      <c r="D183" s="601" t="s">
        <v>8</v>
      </c>
      <c r="E183" s="601" t="s">
        <v>191</v>
      </c>
      <c r="F183" s="601" t="s">
        <v>209</v>
      </c>
      <c r="G183" s="241" t="str">
        <f>+[7]ProgramaI!B29</f>
        <v xml:space="preserve">Aporte a IFAM, Ley Nº 7509 </v>
      </c>
      <c r="H183" s="241"/>
      <c r="I183" s="304">
        <v>0</v>
      </c>
      <c r="J183" s="305"/>
      <c r="K183" s="306"/>
      <c r="L183" s="307"/>
      <c r="M183" s="307"/>
      <c r="N183" s="242"/>
      <c r="O183" s="256"/>
    </row>
    <row r="184" spans="1:17" ht="13.5" hidden="1" thickBot="1" x14ac:dyDescent="0.25">
      <c r="A184" s="298"/>
      <c r="C184" s="240"/>
      <c r="D184" s="601" t="s">
        <v>8</v>
      </c>
      <c r="E184" s="601" t="s">
        <v>191</v>
      </c>
      <c r="F184" s="601" t="s">
        <v>209</v>
      </c>
      <c r="G184" s="241" t="str">
        <f>+[7]ProgramaI!B30</f>
        <v>Juntas de Educación, Ley 7509 y 7729</v>
      </c>
      <c r="H184" s="241"/>
      <c r="I184" s="304">
        <v>0</v>
      </c>
      <c r="J184" s="305"/>
      <c r="K184" s="306"/>
      <c r="L184" s="307"/>
      <c r="M184" s="307"/>
      <c r="N184" s="242"/>
      <c r="O184" s="256"/>
    </row>
    <row r="185" spans="1:17" ht="13.5" hidden="1" thickBot="1" x14ac:dyDescent="0.25">
      <c r="A185" s="298"/>
      <c r="C185" s="240"/>
      <c r="D185" s="601" t="s">
        <v>8</v>
      </c>
      <c r="E185" s="601" t="s">
        <v>191</v>
      </c>
      <c r="F185" s="340" t="s">
        <v>15</v>
      </c>
      <c r="G185" s="241" t="str">
        <f>+'[7]Programa III'!B33</f>
        <v>IFAM Ley 7509</v>
      </c>
      <c r="H185" s="241"/>
      <c r="I185" s="304">
        <v>0</v>
      </c>
      <c r="J185" s="305"/>
      <c r="K185" s="306"/>
      <c r="L185" s="307"/>
      <c r="M185" s="307"/>
      <c r="N185" s="242"/>
      <c r="O185" s="256"/>
    </row>
    <row r="186" spans="1:17" ht="13.5" hidden="1" thickBot="1" x14ac:dyDescent="0.25">
      <c r="A186" s="298"/>
      <c r="C186" s="240"/>
      <c r="D186" s="601" t="s">
        <v>8</v>
      </c>
      <c r="E186" s="601" t="s">
        <v>191</v>
      </c>
      <c r="F186" s="601" t="s">
        <v>209</v>
      </c>
      <c r="G186" s="241" t="str">
        <f>+'[7]Programa III'!B36</f>
        <v>Fondo de Desarrollo Municipal Ley 7509</v>
      </c>
      <c r="H186" s="241"/>
      <c r="I186" s="304">
        <v>0</v>
      </c>
      <c r="J186" s="305"/>
      <c r="K186" s="306"/>
      <c r="L186" s="307"/>
      <c r="M186" s="307"/>
      <c r="N186" s="242"/>
      <c r="O186" s="256"/>
    </row>
    <row r="187" spans="1:17" s="319" customFormat="1" ht="13.5" hidden="1" thickBot="1" x14ac:dyDescent="0.25">
      <c r="A187" s="298"/>
      <c r="B187" s="602"/>
      <c r="C187" s="240"/>
      <c r="D187" s="601" t="s">
        <v>18</v>
      </c>
      <c r="E187" s="601" t="s">
        <v>189</v>
      </c>
      <c r="F187" s="601"/>
      <c r="G187" s="241" t="s">
        <v>220</v>
      </c>
      <c r="H187" s="241"/>
      <c r="I187" s="304">
        <v>0</v>
      </c>
      <c r="J187" s="305"/>
      <c r="K187" s="306"/>
      <c r="L187" s="307"/>
      <c r="M187" s="307"/>
      <c r="N187" s="242"/>
      <c r="O187" s="256"/>
      <c r="P187" s="799"/>
      <c r="Q187" s="318"/>
    </row>
    <row r="188" spans="1:17" s="239" customFormat="1" ht="13.5" hidden="1" thickBot="1" x14ac:dyDescent="0.25">
      <c r="A188" s="323" t="s">
        <v>180</v>
      </c>
      <c r="B188" s="324"/>
      <c r="C188" s="325">
        <f>SUM(C180:C187)</f>
        <v>0</v>
      </c>
      <c r="D188" s="326"/>
      <c r="E188" s="326"/>
      <c r="F188" s="326"/>
      <c r="G188" s="327"/>
      <c r="H188" s="327"/>
      <c r="I188" s="341">
        <f>SUM(I181:I187)</f>
        <v>0</v>
      </c>
      <c r="J188" s="342"/>
      <c r="K188" s="343"/>
      <c r="L188" s="344"/>
      <c r="M188" s="344"/>
      <c r="N188" s="333">
        <f>+C188-I188</f>
        <v>0</v>
      </c>
      <c r="O188" s="256"/>
      <c r="P188" s="800">
        <f>+C188-I188</f>
        <v>0</v>
      </c>
      <c r="Q188" s="335">
        <f>+C188-I188</f>
        <v>0</v>
      </c>
    </row>
    <row r="189" spans="1:17" s="358" customFormat="1" ht="25.5" x14ac:dyDescent="0.2">
      <c r="A189" s="346" t="str">
        <f>+'[7]Clasific. Económica de Ingresos'!A23</f>
        <v>1.1.3.2.01.02.0.0.001</v>
      </c>
      <c r="B189" s="347" t="s">
        <v>273</v>
      </c>
      <c r="C189" s="348">
        <f>SUM('[7]Clasific. Económica de Ingresos'!C23)</f>
        <v>81244000</v>
      </c>
      <c r="D189" s="349"/>
      <c r="E189" s="349"/>
      <c r="F189" s="349"/>
      <c r="G189" s="350"/>
      <c r="H189" s="350"/>
      <c r="I189" s="351"/>
      <c r="J189" s="352"/>
      <c r="K189" s="353"/>
      <c r="L189" s="354"/>
      <c r="M189" s="354"/>
      <c r="N189" s="356"/>
      <c r="O189" s="256"/>
      <c r="P189" s="798"/>
      <c r="Q189" s="357"/>
    </row>
    <row r="190" spans="1:17" s="358" customFormat="1" x14ac:dyDescent="0.2">
      <c r="A190" s="359"/>
      <c r="B190" s="360"/>
      <c r="C190" s="361"/>
      <c r="D190" s="362" t="s">
        <v>272</v>
      </c>
      <c r="E190" s="362" t="s">
        <v>271</v>
      </c>
      <c r="F190" s="362"/>
      <c r="G190" s="363" t="s">
        <v>17</v>
      </c>
      <c r="H190" s="363"/>
      <c r="I190" s="364">
        <f>SUM(I191)</f>
        <v>3606892.41</v>
      </c>
      <c r="J190" s="352"/>
      <c r="K190" s="353"/>
      <c r="L190" s="354"/>
      <c r="M190" s="354"/>
      <c r="N190" s="356"/>
      <c r="O190" s="256">
        <f>+I208+I218+I228+I235+I273+I301+I328+I347+I356+I375+I390+I400+I419+I433+I447+I462+I469+I482+I502+I537+I584</f>
        <v>4890699983.1799984</v>
      </c>
      <c r="P190" s="798">
        <f>5186589065.45-O190</f>
        <v>295889082.27000141</v>
      </c>
      <c r="Q190" s="357"/>
    </row>
    <row r="191" spans="1:17" s="358" customFormat="1" x14ac:dyDescent="0.2">
      <c r="A191" s="359"/>
      <c r="B191" s="360"/>
      <c r="C191" s="361"/>
      <c r="D191" s="362"/>
      <c r="E191" s="362"/>
      <c r="F191" s="362"/>
      <c r="G191" s="363" t="s">
        <v>10</v>
      </c>
      <c r="H191" s="363"/>
      <c r="I191" s="356">
        <f>3606641.02+251.39</f>
        <v>3606892.41</v>
      </c>
      <c r="J191" s="352">
        <f>+I191</f>
        <v>3606892.41</v>
      </c>
      <c r="K191" s="353"/>
      <c r="L191" s="354"/>
      <c r="M191" s="354"/>
      <c r="N191" s="356"/>
      <c r="O191" s="256">
        <f>+I191+I12+I209</f>
        <v>1843466961.8600001</v>
      </c>
      <c r="P191" s="798">
        <f>1843466961.86-O191</f>
        <v>0</v>
      </c>
      <c r="Q191" s="357"/>
    </row>
    <row r="192" spans="1:17" s="358" customFormat="1" x14ac:dyDescent="0.2">
      <c r="A192" s="359"/>
      <c r="B192" s="360"/>
      <c r="C192" s="361"/>
      <c r="D192" s="362"/>
      <c r="E192" s="362"/>
      <c r="F192" s="362"/>
      <c r="G192" s="363"/>
      <c r="H192" s="363"/>
      <c r="I192" s="356"/>
      <c r="J192" s="352"/>
      <c r="K192" s="353"/>
      <c r="L192" s="354"/>
      <c r="M192" s="354"/>
      <c r="N192" s="356"/>
      <c r="O192" s="256"/>
      <c r="P192" s="798"/>
      <c r="Q192" s="357"/>
    </row>
    <row r="193" spans="1:17" s="358" customFormat="1" x14ac:dyDescent="0.2">
      <c r="A193" s="359"/>
      <c r="B193" s="365"/>
      <c r="C193" s="361"/>
      <c r="D193" s="362" t="s">
        <v>8</v>
      </c>
      <c r="E193" s="362" t="s">
        <v>191</v>
      </c>
      <c r="F193" s="362"/>
      <c r="G193" s="363" t="s">
        <v>270</v>
      </c>
      <c r="H193" s="363"/>
      <c r="I193" s="364">
        <f>+[7]ProgramaI!E33</f>
        <v>77637107.587889999</v>
      </c>
      <c r="J193" s="352"/>
      <c r="K193" s="353"/>
      <c r="L193" s="354"/>
      <c r="M193" s="354"/>
      <c r="N193" s="356"/>
      <c r="O193" s="256"/>
      <c r="P193" s="798"/>
      <c r="Q193" s="357"/>
    </row>
    <row r="194" spans="1:17" s="358" customFormat="1" hidden="1" x14ac:dyDescent="0.2">
      <c r="A194" s="359"/>
      <c r="B194" s="365"/>
      <c r="C194" s="361"/>
      <c r="D194" s="362"/>
      <c r="E194" s="362"/>
      <c r="F194" s="362"/>
      <c r="G194" s="363"/>
      <c r="H194" s="363"/>
      <c r="I194" s="356"/>
      <c r="J194" s="352"/>
      <c r="K194" s="353"/>
      <c r="L194" s="354"/>
      <c r="M194" s="354"/>
      <c r="N194" s="356"/>
      <c r="O194" s="256"/>
      <c r="P194" s="798"/>
      <c r="Q194" s="357"/>
    </row>
    <row r="195" spans="1:17" s="358" customFormat="1" ht="13.5" thickBot="1" x14ac:dyDescent="0.25">
      <c r="A195" s="359"/>
      <c r="B195" s="365"/>
      <c r="C195" s="361"/>
      <c r="D195" s="362"/>
      <c r="E195" s="362"/>
      <c r="F195" s="362"/>
      <c r="G195" s="363" t="s">
        <v>207</v>
      </c>
      <c r="H195" s="363"/>
      <c r="I195" s="356">
        <v>77637107.590000004</v>
      </c>
      <c r="J195" s="352">
        <f>+I195</f>
        <v>77637107.590000004</v>
      </c>
      <c r="K195" s="353"/>
      <c r="L195" s="354"/>
      <c r="M195" s="354"/>
      <c r="N195" s="356"/>
      <c r="O195" s="256"/>
      <c r="P195" s="798"/>
      <c r="Q195" s="357"/>
    </row>
    <row r="196" spans="1:17" s="358" customFormat="1" ht="13.5" hidden="1" thickBot="1" x14ac:dyDescent="0.25">
      <c r="A196" s="359"/>
      <c r="B196" s="365"/>
      <c r="C196" s="361"/>
      <c r="D196" s="362"/>
      <c r="E196" s="362"/>
      <c r="F196" s="362"/>
      <c r="G196" s="363"/>
      <c r="H196" s="363"/>
      <c r="I196" s="356"/>
      <c r="J196" s="352"/>
      <c r="K196" s="353"/>
      <c r="L196" s="354"/>
      <c r="M196" s="354"/>
      <c r="N196" s="356"/>
      <c r="O196" s="256"/>
      <c r="P196" s="798"/>
      <c r="Q196" s="357"/>
    </row>
    <row r="197" spans="1:17" s="358" customFormat="1" ht="13.5" hidden="1" thickBot="1" x14ac:dyDescent="0.25">
      <c r="A197" s="359"/>
      <c r="B197" s="365"/>
      <c r="C197" s="361"/>
      <c r="D197" s="362"/>
      <c r="E197" s="362"/>
      <c r="F197" s="362"/>
      <c r="G197" s="363"/>
      <c r="H197" s="363"/>
      <c r="I197" s="356"/>
      <c r="J197" s="352"/>
      <c r="K197" s="353"/>
      <c r="L197" s="354"/>
      <c r="M197" s="354"/>
      <c r="N197" s="356"/>
      <c r="O197" s="256"/>
      <c r="P197" s="798"/>
      <c r="Q197" s="357"/>
    </row>
    <row r="198" spans="1:17" s="358" customFormat="1" ht="13.5" hidden="1" thickBot="1" x14ac:dyDescent="0.25">
      <c r="A198" s="359"/>
      <c r="B198" s="360"/>
      <c r="C198" s="361"/>
      <c r="D198" s="362" t="s">
        <v>18</v>
      </c>
      <c r="E198" s="362" t="s">
        <v>189</v>
      </c>
      <c r="F198" s="366"/>
      <c r="G198" s="363" t="s">
        <v>188</v>
      </c>
      <c r="H198" s="363"/>
      <c r="I198" s="356"/>
      <c r="J198" s="352"/>
      <c r="K198" s="353"/>
      <c r="L198" s="354"/>
      <c r="M198" s="354"/>
      <c r="N198" s="356"/>
      <c r="O198" s="256"/>
      <c r="P198" s="798"/>
      <c r="Q198" s="357"/>
    </row>
    <row r="199" spans="1:17" s="358" customFormat="1" ht="13.5" hidden="1" thickBot="1" x14ac:dyDescent="0.25">
      <c r="A199" s="367"/>
      <c r="B199" s="368"/>
      <c r="C199" s="369"/>
      <c r="D199" s="368" t="s">
        <v>18</v>
      </c>
      <c r="E199" s="368" t="s">
        <v>183</v>
      </c>
      <c r="F199" s="368" t="s">
        <v>183</v>
      </c>
      <c r="G199" s="370" t="s">
        <v>269</v>
      </c>
      <c r="H199" s="370"/>
      <c r="I199" s="371">
        <v>0</v>
      </c>
      <c r="J199" s="372"/>
      <c r="K199" s="373"/>
      <c r="L199" s="374"/>
      <c r="M199" s="374"/>
      <c r="N199" s="253"/>
      <c r="O199" s="256"/>
      <c r="P199" s="798"/>
      <c r="Q199" s="357"/>
    </row>
    <row r="200" spans="1:17" s="386" customFormat="1" x14ac:dyDescent="0.2">
      <c r="A200" s="375" t="s">
        <v>180</v>
      </c>
      <c r="B200" s="376"/>
      <c r="C200" s="377">
        <f>SUM(C189:C189)</f>
        <v>81244000</v>
      </c>
      <c r="D200" s="349"/>
      <c r="E200" s="349"/>
      <c r="F200" s="349"/>
      <c r="G200" s="350"/>
      <c r="H200" s="350"/>
      <c r="I200" s="378">
        <f>SUM(I190:I198)/2</f>
        <v>81243999.998944998</v>
      </c>
      <c r="J200" s="379"/>
      <c r="K200" s="380"/>
      <c r="L200" s="381"/>
      <c r="M200" s="381"/>
      <c r="N200" s="383">
        <f>+C200-I200</f>
        <v>1.0550022125244141E-3</v>
      </c>
      <c r="O200" s="256"/>
      <c r="P200" s="801">
        <f>+I193+I227+I267</f>
        <v>77887107.587889999</v>
      </c>
      <c r="Q200" s="385"/>
    </row>
    <row r="201" spans="1:17" hidden="1" x14ac:dyDescent="0.2">
      <c r="A201" s="387"/>
      <c r="B201" s="388"/>
      <c r="C201" s="389"/>
      <c r="D201" s="599"/>
      <c r="E201" s="599"/>
      <c r="F201" s="599"/>
      <c r="G201" s="231"/>
      <c r="H201" s="231"/>
      <c r="I201" s="390"/>
      <c r="J201" s="391"/>
      <c r="K201" s="392"/>
      <c r="L201" s="393"/>
      <c r="M201" s="393"/>
      <c r="N201" s="300"/>
      <c r="O201" s="256"/>
    </row>
    <row r="202" spans="1:17" hidden="1" x14ac:dyDescent="0.2">
      <c r="A202" s="600" t="str">
        <f>+'[7]Clasific. Económica de Ingresos'!A25</f>
        <v>1.1.3.2.01.04.0.0.000</v>
      </c>
      <c r="B202" s="395" t="s">
        <v>268</v>
      </c>
      <c r="C202" s="240">
        <f>+'[7]Clasific. Económica de Ingresos'!C24</f>
        <v>0</v>
      </c>
      <c r="D202" s="601"/>
      <c r="E202" s="601"/>
      <c r="F202" s="601"/>
      <c r="G202" s="241"/>
      <c r="H202" s="241"/>
      <c r="I202" s="255"/>
      <c r="J202" s="250"/>
      <c r="K202" s="251"/>
      <c r="L202" s="252"/>
      <c r="M202" s="252"/>
      <c r="N202" s="300"/>
      <c r="O202" s="256"/>
    </row>
    <row r="203" spans="1:17" hidden="1" x14ac:dyDescent="0.2">
      <c r="A203" s="600"/>
      <c r="B203" s="601"/>
      <c r="C203" s="240"/>
      <c r="D203" s="601" t="s">
        <v>18</v>
      </c>
      <c r="E203" s="601" t="s">
        <v>185</v>
      </c>
      <c r="F203" s="601" t="s">
        <v>184</v>
      </c>
      <c r="G203" s="241" t="s">
        <v>196</v>
      </c>
      <c r="H203" s="241"/>
      <c r="I203" s="304">
        <v>0</v>
      </c>
      <c r="J203" s="305"/>
      <c r="K203" s="306"/>
      <c r="L203" s="307"/>
      <c r="M203" s="307"/>
      <c r="N203" s="242"/>
      <c r="O203" s="256"/>
      <c r="P203" s="602"/>
    </row>
    <row r="204" spans="1:17" s="239" customFormat="1" ht="13.5" hidden="1" thickBot="1" x14ac:dyDescent="0.25">
      <c r="A204" s="323" t="s">
        <v>180</v>
      </c>
      <c r="B204" s="324"/>
      <c r="C204" s="325">
        <f>SUM(C202:C203)</f>
        <v>0</v>
      </c>
      <c r="D204" s="326"/>
      <c r="E204" s="326"/>
      <c r="F204" s="326"/>
      <c r="G204" s="327"/>
      <c r="H204" s="327"/>
      <c r="I204" s="396">
        <f>SUM(I203:I203)</f>
        <v>0</v>
      </c>
      <c r="J204" s="397"/>
      <c r="K204" s="398"/>
      <c r="L204" s="399"/>
      <c r="M204" s="399"/>
      <c r="N204" s="333">
        <f>+C204-I204</f>
        <v>0</v>
      </c>
      <c r="O204" s="256"/>
      <c r="P204" s="800"/>
      <c r="Q204" s="335"/>
    </row>
    <row r="205" spans="1:17" s="358" customFormat="1" x14ac:dyDescent="0.2">
      <c r="A205" s="359"/>
      <c r="B205" s="362"/>
      <c r="C205" s="361"/>
      <c r="D205" s="362"/>
      <c r="E205" s="362"/>
      <c r="F205" s="362"/>
      <c r="G205" s="360"/>
      <c r="H205" s="360"/>
      <c r="I205" s="253"/>
      <c r="J205" s="372"/>
      <c r="K205" s="373"/>
      <c r="L205" s="374"/>
      <c r="M205" s="374"/>
      <c r="N205" s="253"/>
      <c r="O205" s="256"/>
      <c r="P205" s="798"/>
      <c r="Q205" s="357"/>
    </row>
    <row r="206" spans="1:17" s="358" customFormat="1" x14ac:dyDescent="0.2">
      <c r="A206" s="359" t="str">
        <f>+'[7]Clasific. Económica de Ingresos'!A26</f>
        <v>1.1.3.2.01.05.0.0.000</v>
      </c>
      <c r="B206" s="365" t="s">
        <v>267</v>
      </c>
      <c r="C206" s="361">
        <f>SUM('[7]Clasific. Económica de Ingresos'!C26)</f>
        <v>800000000</v>
      </c>
      <c r="D206" s="362"/>
      <c r="E206" s="362"/>
      <c r="F206" s="362"/>
      <c r="G206" s="363"/>
      <c r="H206" s="363"/>
      <c r="I206" s="356"/>
      <c r="J206" s="352"/>
      <c r="K206" s="353"/>
      <c r="L206" s="354"/>
      <c r="M206" s="354"/>
      <c r="N206" s="356"/>
      <c r="O206" s="256"/>
      <c r="P206" s="798"/>
      <c r="Q206" s="357"/>
    </row>
    <row r="207" spans="1:17" s="358" customFormat="1" x14ac:dyDescent="0.2">
      <c r="A207" s="359"/>
      <c r="B207" s="365"/>
      <c r="C207" s="361"/>
      <c r="D207" s="362" t="s">
        <v>8</v>
      </c>
      <c r="E207" s="362" t="s">
        <v>184</v>
      </c>
      <c r="F207" s="366" t="s">
        <v>209</v>
      </c>
      <c r="G207" s="363" t="s">
        <v>213</v>
      </c>
      <c r="H207" s="363"/>
      <c r="I207" s="364">
        <f>SUM(I208:I209)</f>
        <v>800000000</v>
      </c>
      <c r="J207" s="352"/>
      <c r="K207" s="353"/>
      <c r="L207" s="354"/>
      <c r="M207" s="354"/>
      <c r="N207" s="356"/>
      <c r="O207" s="256"/>
      <c r="P207" s="798"/>
      <c r="Q207" s="357"/>
    </row>
    <row r="208" spans="1:17" s="358" customFormat="1" x14ac:dyDescent="0.2">
      <c r="A208" s="359"/>
      <c r="B208" s="365"/>
      <c r="C208" s="361"/>
      <c r="D208" s="362"/>
      <c r="E208" s="362"/>
      <c r="F208" s="366"/>
      <c r="G208" s="363" t="s">
        <v>9</v>
      </c>
      <c r="H208" s="363"/>
      <c r="I208" s="356">
        <f>262257651.09-15400286.18+15882565.64</f>
        <v>262739930.55000001</v>
      </c>
      <c r="J208" s="352">
        <f>+I208</f>
        <v>262739930.55000001</v>
      </c>
      <c r="K208" s="353"/>
      <c r="L208" s="354"/>
      <c r="M208" s="354"/>
      <c r="N208" s="356"/>
      <c r="O208" s="256"/>
      <c r="P208" s="798"/>
      <c r="Q208" s="357"/>
    </row>
    <row r="209" spans="1:17" s="358" customFormat="1" ht="13.5" thickBot="1" x14ac:dyDescent="0.25">
      <c r="A209" s="359"/>
      <c r="B209" s="365"/>
      <c r="C209" s="361"/>
      <c r="D209" s="362"/>
      <c r="E209" s="362"/>
      <c r="F209" s="366"/>
      <c r="G209" s="363" t="s">
        <v>10</v>
      </c>
      <c r="H209" s="363"/>
      <c r="I209" s="356">
        <f>537742348.91+15400286.18-15882565.64</f>
        <v>537260069.44999993</v>
      </c>
      <c r="J209" s="352">
        <f>+I209</f>
        <v>537260069.44999993</v>
      </c>
      <c r="K209" s="353"/>
      <c r="L209" s="354"/>
      <c r="M209" s="354"/>
      <c r="N209" s="356"/>
      <c r="O209" s="256"/>
      <c r="P209" s="798"/>
      <c r="Q209" s="357"/>
    </row>
    <row r="210" spans="1:17" s="358" customFormat="1" ht="13.5" hidden="1" thickBot="1" x14ac:dyDescent="0.25">
      <c r="A210" s="359"/>
      <c r="B210" s="365"/>
      <c r="C210" s="361"/>
      <c r="D210" s="362"/>
      <c r="E210" s="362"/>
      <c r="F210" s="366"/>
      <c r="G210" s="363"/>
      <c r="H210" s="363"/>
      <c r="I210" s="356"/>
      <c r="J210" s="352"/>
      <c r="K210" s="353"/>
      <c r="L210" s="354"/>
      <c r="M210" s="354"/>
      <c r="N210" s="356"/>
      <c r="O210" s="256"/>
      <c r="P210" s="798"/>
      <c r="Q210" s="357"/>
    </row>
    <row r="211" spans="1:17" s="358" customFormat="1" ht="13.5" hidden="1" thickBot="1" x14ac:dyDescent="0.25">
      <c r="A211" s="359"/>
      <c r="B211" s="360"/>
      <c r="C211" s="361"/>
      <c r="D211" s="362" t="s">
        <v>18</v>
      </c>
      <c r="E211" s="362" t="s">
        <v>185</v>
      </c>
      <c r="F211" s="362" t="s">
        <v>193</v>
      </c>
      <c r="G211" s="363" t="s">
        <v>266</v>
      </c>
      <c r="H211" s="363"/>
      <c r="I211" s="356">
        <v>0</v>
      </c>
      <c r="J211" s="352"/>
      <c r="K211" s="353"/>
      <c r="L211" s="354"/>
      <c r="M211" s="354"/>
      <c r="N211" s="356"/>
      <c r="O211" s="256"/>
      <c r="P211" s="798"/>
      <c r="Q211" s="357"/>
    </row>
    <row r="212" spans="1:17" s="358" customFormat="1" ht="15" hidden="1" customHeight="1" x14ac:dyDescent="0.2">
      <c r="A212" s="359"/>
      <c r="B212" s="362"/>
      <c r="C212" s="361"/>
      <c r="D212" s="362" t="s">
        <v>18</v>
      </c>
      <c r="E212" s="362" t="s">
        <v>183</v>
      </c>
      <c r="F212" s="362" t="s">
        <v>184</v>
      </c>
      <c r="G212" s="360" t="s">
        <v>199</v>
      </c>
      <c r="H212" s="360"/>
      <c r="I212" s="253">
        <v>0</v>
      </c>
      <c r="J212" s="372"/>
      <c r="K212" s="373"/>
      <c r="L212" s="374"/>
      <c r="M212" s="374"/>
      <c r="N212" s="253"/>
      <c r="O212" s="256"/>
      <c r="P212" s="798">
        <f>+I212+I509+I285+I560+I632+I148+I254</f>
        <v>2057326894.0226581</v>
      </c>
      <c r="Q212" s="357"/>
    </row>
    <row r="213" spans="1:17" s="358" customFormat="1" ht="15" hidden="1" customHeight="1" thickBot="1" x14ac:dyDescent="0.25">
      <c r="A213" s="367"/>
      <c r="B213" s="368"/>
      <c r="C213" s="369"/>
      <c r="D213" s="368" t="s">
        <v>18</v>
      </c>
      <c r="E213" s="368" t="s">
        <v>189</v>
      </c>
      <c r="F213" s="401"/>
      <c r="G213" s="363" t="s">
        <v>188</v>
      </c>
      <c r="H213" s="363"/>
      <c r="I213" s="371">
        <v>0</v>
      </c>
      <c r="J213" s="372"/>
      <c r="K213" s="373"/>
      <c r="L213" s="374"/>
      <c r="M213" s="374"/>
      <c r="N213" s="253"/>
      <c r="O213" s="256"/>
      <c r="P213" s="798"/>
      <c r="Q213" s="357"/>
    </row>
    <row r="214" spans="1:17" s="386" customFormat="1" ht="13.5" thickBot="1" x14ac:dyDescent="0.25">
      <c r="A214" s="402" t="s">
        <v>180</v>
      </c>
      <c r="B214" s="403"/>
      <c r="C214" s="404">
        <f>SUM(C206:C206)</f>
        <v>800000000</v>
      </c>
      <c r="D214" s="405"/>
      <c r="E214" s="405"/>
      <c r="F214" s="405"/>
      <c r="G214" s="406"/>
      <c r="H214" s="406"/>
      <c r="I214" s="407">
        <f>SUM(I207:I213)/2</f>
        <v>800000000</v>
      </c>
      <c r="J214" s="379"/>
      <c r="K214" s="380"/>
      <c r="L214" s="381"/>
      <c r="M214" s="381"/>
      <c r="N214" s="383">
        <f>+C214-I214</f>
        <v>0</v>
      </c>
      <c r="O214" s="256"/>
      <c r="P214" s="801">
        <f>+C214-I214</f>
        <v>0</v>
      </c>
      <c r="Q214" s="385"/>
    </row>
    <row r="215" spans="1:17" s="358" customFormat="1" x14ac:dyDescent="0.2">
      <c r="A215" s="408"/>
      <c r="B215" s="350"/>
      <c r="C215" s="350"/>
      <c r="D215" s="349"/>
      <c r="E215" s="349"/>
      <c r="F215" s="349"/>
      <c r="G215" s="350"/>
      <c r="H215" s="350"/>
      <c r="I215" s="351"/>
      <c r="J215" s="352"/>
      <c r="K215" s="353"/>
      <c r="L215" s="354"/>
      <c r="M215" s="354"/>
      <c r="N215" s="356"/>
      <c r="O215" s="256"/>
      <c r="P215" s="798"/>
      <c r="Q215" s="357"/>
    </row>
    <row r="216" spans="1:17" s="358" customFormat="1" ht="26.25" customHeight="1" x14ac:dyDescent="0.2">
      <c r="A216" s="359" t="str">
        <f>+'[7]Clasific. Económica de Ingresos'!A29</f>
        <v>1.1.3.2.02.09.0.0.000</v>
      </c>
      <c r="B216" s="360" t="s">
        <v>265</v>
      </c>
      <c r="C216" s="361">
        <f>SUM('[7]INGRESOS LIBRES DETALLE Nº17'!H124)</f>
        <v>12000000</v>
      </c>
      <c r="D216" s="362"/>
      <c r="E216" s="362"/>
      <c r="F216" s="362"/>
      <c r="G216" s="363"/>
      <c r="H216" s="363"/>
      <c r="I216" s="356"/>
      <c r="J216" s="352"/>
      <c r="K216" s="353"/>
      <c r="L216" s="354"/>
      <c r="M216" s="354"/>
      <c r="N216" s="356"/>
      <c r="O216" s="256"/>
      <c r="P216" s="798"/>
      <c r="Q216" s="357"/>
    </row>
    <row r="217" spans="1:17" s="358" customFormat="1" ht="12.75" customHeight="1" x14ac:dyDescent="0.2">
      <c r="A217" s="359"/>
      <c r="B217" s="362"/>
      <c r="C217" s="361"/>
      <c r="D217" s="362" t="s">
        <v>8</v>
      </c>
      <c r="E217" s="362" t="s">
        <v>184</v>
      </c>
      <c r="F217" s="366" t="s">
        <v>209</v>
      </c>
      <c r="G217" s="363" t="s">
        <v>213</v>
      </c>
      <c r="H217" s="363"/>
      <c r="I217" s="364">
        <v>12000000</v>
      </c>
      <c r="J217" s="352"/>
      <c r="K217" s="353"/>
      <c r="L217" s="354"/>
      <c r="M217" s="354"/>
      <c r="N217" s="253"/>
      <c r="O217" s="256"/>
      <c r="P217" s="798">
        <f>+I217+I257</f>
        <v>12000000</v>
      </c>
      <c r="Q217" s="357"/>
    </row>
    <row r="218" spans="1:17" s="358" customFormat="1" ht="12.75" customHeight="1" x14ac:dyDescent="0.2">
      <c r="A218" s="359"/>
      <c r="B218" s="362"/>
      <c r="C218" s="361"/>
      <c r="D218" s="362"/>
      <c r="E218" s="362"/>
      <c r="F218" s="366"/>
      <c r="G218" s="363" t="s">
        <v>9</v>
      </c>
      <c r="H218" s="363"/>
      <c r="I218" s="356">
        <v>12000000</v>
      </c>
      <c r="J218" s="352">
        <f>+I218</f>
        <v>12000000</v>
      </c>
      <c r="K218" s="353"/>
      <c r="L218" s="354"/>
      <c r="M218" s="354"/>
      <c r="N218" s="253"/>
      <c r="O218" s="256"/>
      <c r="P218" s="798"/>
      <c r="Q218" s="357"/>
    </row>
    <row r="219" spans="1:17" s="358" customFormat="1" ht="14.25" customHeight="1" thickBot="1" x14ac:dyDescent="0.25">
      <c r="A219" s="359"/>
      <c r="B219" s="362"/>
      <c r="C219" s="361"/>
      <c r="D219" s="362"/>
      <c r="E219" s="362"/>
      <c r="F219" s="366"/>
      <c r="G219" s="363"/>
      <c r="H219" s="363"/>
      <c r="I219" s="356"/>
      <c r="J219" s="352"/>
      <c r="K219" s="353"/>
      <c r="L219" s="354"/>
      <c r="M219" s="354"/>
      <c r="N219" s="253"/>
      <c r="O219" s="256"/>
      <c r="P219" s="798"/>
      <c r="Q219" s="357"/>
    </row>
    <row r="220" spans="1:17" s="358" customFormat="1" ht="12.75" hidden="1" customHeight="1" x14ac:dyDescent="0.2">
      <c r="A220" s="359"/>
      <c r="B220" s="362"/>
      <c r="C220" s="361"/>
      <c r="D220" s="362"/>
      <c r="E220" s="362"/>
      <c r="F220" s="366"/>
      <c r="G220" s="363"/>
      <c r="H220" s="363"/>
      <c r="I220" s="356"/>
      <c r="J220" s="352"/>
      <c r="K220" s="353"/>
      <c r="L220" s="354"/>
      <c r="M220" s="354"/>
      <c r="N220" s="253"/>
      <c r="O220" s="256"/>
      <c r="P220" s="798"/>
      <c r="Q220" s="357"/>
    </row>
    <row r="221" spans="1:17" s="358" customFormat="1" ht="12.75" hidden="1" customHeight="1" x14ac:dyDescent="0.2">
      <c r="A221" s="359"/>
      <c r="B221" s="362"/>
      <c r="C221" s="361"/>
      <c r="D221" s="362"/>
      <c r="E221" s="362"/>
      <c r="F221" s="366"/>
      <c r="G221" s="363"/>
      <c r="H221" s="363"/>
      <c r="I221" s="356"/>
      <c r="J221" s="352"/>
      <c r="K221" s="353"/>
      <c r="L221" s="354"/>
      <c r="M221" s="354"/>
      <c r="N221" s="253"/>
      <c r="O221" s="256"/>
      <c r="P221" s="798"/>
      <c r="Q221" s="357"/>
    </row>
    <row r="222" spans="1:17" s="358" customFormat="1" ht="13.5" hidden="1" thickBot="1" x14ac:dyDescent="0.25">
      <c r="A222" s="359"/>
      <c r="B222" s="362"/>
      <c r="C222" s="361"/>
      <c r="D222" s="362" t="s">
        <v>8</v>
      </c>
      <c r="E222" s="362" t="s">
        <v>191</v>
      </c>
      <c r="F222" s="362"/>
      <c r="G222" s="363" t="str">
        <f>+[7]ProgramaI!B32</f>
        <v xml:space="preserve">Comité Cantonal Deportes y Recreación </v>
      </c>
      <c r="H222" s="363"/>
      <c r="I222" s="356">
        <v>0</v>
      </c>
      <c r="J222" s="352"/>
      <c r="K222" s="353"/>
      <c r="L222" s="354"/>
      <c r="M222" s="354"/>
      <c r="N222" s="253"/>
      <c r="O222" s="256"/>
      <c r="P222" s="798"/>
      <c r="Q222" s="357"/>
    </row>
    <row r="223" spans="1:17" s="358" customFormat="1" ht="13.5" hidden="1" thickBot="1" x14ac:dyDescent="0.25">
      <c r="A223" s="359"/>
      <c r="B223" s="362"/>
      <c r="C223" s="361"/>
      <c r="D223" s="362" t="s">
        <v>18</v>
      </c>
      <c r="E223" s="362" t="s">
        <v>187</v>
      </c>
      <c r="F223" s="366"/>
      <c r="G223" s="363" t="s">
        <v>220</v>
      </c>
      <c r="H223" s="363"/>
      <c r="I223" s="356">
        <v>0</v>
      </c>
      <c r="J223" s="352"/>
      <c r="K223" s="353"/>
      <c r="L223" s="354"/>
      <c r="M223" s="354"/>
      <c r="N223" s="253"/>
      <c r="O223" s="256"/>
      <c r="P223" s="798"/>
      <c r="Q223" s="357"/>
    </row>
    <row r="224" spans="1:17" s="358" customFormat="1" ht="13.5" thickBot="1" x14ac:dyDescent="0.25">
      <c r="A224" s="375" t="s">
        <v>180</v>
      </c>
      <c r="B224" s="376"/>
      <c r="C224" s="377">
        <f>SUM(C216:C217)</f>
        <v>12000000</v>
      </c>
      <c r="D224" s="349"/>
      <c r="E224" s="349"/>
      <c r="F224" s="349"/>
      <c r="G224" s="350"/>
      <c r="H224" s="350"/>
      <c r="I224" s="378">
        <f>SUM(I217:I223)/2</f>
        <v>12000000</v>
      </c>
      <c r="J224" s="379"/>
      <c r="K224" s="380"/>
      <c r="L224" s="381"/>
      <c r="M224" s="381"/>
      <c r="N224" s="383">
        <f>+C224-I224</f>
        <v>0</v>
      </c>
      <c r="O224" s="256"/>
      <c r="P224" s="798"/>
      <c r="Q224" s="357"/>
    </row>
    <row r="225" spans="1:17" s="358" customFormat="1" x14ac:dyDescent="0.2">
      <c r="A225" s="409" t="s">
        <v>15</v>
      </c>
      <c r="B225" s="410"/>
      <c r="C225" s="411"/>
      <c r="D225" s="349"/>
      <c r="E225" s="349"/>
      <c r="F225" s="349"/>
      <c r="G225" s="350"/>
      <c r="H225" s="350"/>
      <c r="I225" s="412"/>
      <c r="J225" s="372"/>
      <c r="K225" s="373"/>
      <c r="L225" s="374"/>
      <c r="M225" s="374"/>
      <c r="N225" s="253"/>
      <c r="O225" s="256"/>
      <c r="P225" s="798"/>
      <c r="Q225" s="357"/>
    </row>
    <row r="226" spans="1:17" s="358" customFormat="1" x14ac:dyDescent="0.2">
      <c r="A226" s="359" t="str">
        <f>+'[7]Clasific. Económica de Ingresos'!A33</f>
        <v>1.1.3.3.01.01.0.0.000</v>
      </c>
      <c r="B226" s="365" t="s">
        <v>264</v>
      </c>
      <c r="C226" s="361">
        <f>SUM('[7]Clasific. Económica de Ingresos'!C33)</f>
        <v>250000</v>
      </c>
      <c r="D226" s="362"/>
      <c r="E226" s="362"/>
      <c r="F226" s="362"/>
      <c r="G226" s="363"/>
      <c r="H226" s="363"/>
      <c r="I226" s="253"/>
      <c r="J226" s="372"/>
      <c r="K226" s="373"/>
      <c r="L226" s="374"/>
      <c r="M226" s="374"/>
      <c r="N226" s="253"/>
      <c r="O226" s="256"/>
      <c r="P226" s="798"/>
      <c r="Q226" s="357"/>
    </row>
    <row r="227" spans="1:17" s="358" customFormat="1" ht="15" customHeight="1" x14ac:dyDescent="0.2">
      <c r="A227" s="359"/>
      <c r="B227" s="362"/>
      <c r="C227" s="361"/>
      <c r="D227" s="362" t="s">
        <v>8</v>
      </c>
      <c r="E227" s="362" t="s">
        <v>184</v>
      </c>
      <c r="F227" s="362" t="s">
        <v>209</v>
      </c>
      <c r="G227" s="363" t="s">
        <v>213</v>
      </c>
      <c r="H227" s="363"/>
      <c r="I227" s="364">
        <v>250000</v>
      </c>
      <c r="J227" s="372"/>
      <c r="K227" s="373"/>
      <c r="L227" s="374"/>
      <c r="M227" s="374"/>
      <c r="N227" s="253"/>
      <c r="O227" s="256"/>
      <c r="P227" s="798">
        <f>+I227+I262</f>
        <v>250000</v>
      </c>
      <c r="Q227" s="357"/>
    </row>
    <row r="228" spans="1:17" s="358" customFormat="1" ht="15" customHeight="1" x14ac:dyDescent="0.2">
      <c r="A228" s="359"/>
      <c r="B228" s="362"/>
      <c r="C228" s="361"/>
      <c r="D228" s="362"/>
      <c r="E228" s="362"/>
      <c r="F228" s="362"/>
      <c r="G228" s="363" t="s">
        <v>9</v>
      </c>
      <c r="H228" s="363"/>
      <c r="I228" s="253">
        <v>250000</v>
      </c>
      <c r="J228" s="352">
        <f>+I228</f>
        <v>250000</v>
      </c>
      <c r="K228" s="373"/>
      <c r="L228" s="374"/>
      <c r="M228" s="374"/>
      <c r="N228" s="253"/>
      <c r="O228" s="256"/>
      <c r="P228" s="798"/>
      <c r="Q228" s="357"/>
    </row>
    <row r="229" spans="1:17" s="358" customFormat="1" ht="15" hidden="1" customHeight="1" x14ac:dyDescent="0.2">
      <c r="A229" s="359"/>
      <c r="B229" s="362"/>
      <c r="C229" s="361"/>
      <c r="D229" s="362"/>
      <c r="E229" s="362"/>
      <c r="F229" s="362"/>
      <c r="G229" s="363"/>
      <c r="H229" s="363"/>
      <c r="I229" s="253"/>
      <c r="J229" s="372"/>
      <c r="K229" s="373"/>
      <c r="L229" s="374"/>
      <c r="M229" s="374"/>
      <c r="N229" s="253"/>
      <c r="O229" s="256"/>
      <c r="P229" s="798"/>
      <c r="Q229" s="357"/>
    </row>
    <row r="230" spans="1:17" s="358" customFormat="1" ht="15" customHeight="1" thickBot="1" x14ac:dyDescent="0.25">
      <c r="A230" s="359"/>
      <c r="B230" s="362"/>
      <c r="C230" s="361"/>
      <c r="D230" s="362"/>
      <c r="E230" s="362"/>
      <c r="F230" s="362"/>
      <c r="G230" s="363"/>
      <c r="H230" s="363"/>
      <c r="I230" s="253"/>
      <c r="J230" s="372"/>
      <c r="K230" s="373"/>
      <c r="L230" s="374"/>
      <c r="M230" s="374"/>
      <c r="N230" s="253"/>
      <c r="O230" s="256"/>
      <c r="P230" s="798"/>
      <c r="Q230" s="357"/>
    </row>
    <row r="231" spans="1:17" s="386" customFormat="1" ht="13.5" thickBot="1" x14ac:dyDescent="0.25">
      <c r="A231" s="402" t="s">
        <v>180</v>
      </c>
      <c r="B231" s="403" t="s">
        <v>15</v>
      </c>
      <c r="C231" s="404">
        <f>SUM(C226:C227)</f>
        <v>250000</v>
      </c>
      <c r="D231" s="405"/>
      <c r="E231" s="405"/>
      <c r="F231" s="405"/>
      <c r="G231" s="406"/>
      <c r="H231" s="406"/>
      <c r="I231" s="407">
        <f>SUM(I227)</f>
        <v>250000</v>
      </c>
      <c r="J231" s="379"/>
      <c r="K231" s="380"/>
      <c r="L231" s="381"/>
      <c r="M231" s="381"/>
      <c r="N231" s="383">
        <f>+C231-I231</f>
        <v>0</v>
      </c>
      <c r="O231" s="256"/>
      <c r="P231" s="801"/>
      <c r="Q231" s="385"/>
    </row>
    <row r="232" spans="1:17" s="358" customFormat="1" x14ac:dyDescent="0.2">
      <c r="A232" s="413"/>
      <c r="B232" s="363"/>
      <c r="C232" s="363"/>
      <c r="D232" s="362"/>
      <c r="E232" s="362"/>
      <c r="F232" s="362"/>
      <c r="G232" s="363"/>
      <c r="H232" s="363"/>
      <c r="I232" s="356"/>
      <c r="J232" s="352"/>
      <c r="K232" s="353"/>
      <c r="L232" s="354"/>
      <c r="M232" s="354"/>
      <c r="N232" s="356"/>
      <c r="O232" s="256"/>
      <c r="P232" s="798"/>
      <c r="Q232" s="357"/>
    </row>
    <row r="233" spans="1:17" s="386" customFormat="1" ht="13.5" thickBot="1" x14ac:dyDescent="0.25">
      <c r="A233" s="367" t="str">
        <f>+'[7]Clasific. Económica de Ingresos'!A34</f>
        <v>1.1.3.3.01.02.0.0.000</v>
      </c>
      <c r="B233" s="370" t="s">
        <v>263</v>
      </c>
      <c r="C233" s="369">
        <f>SUM('[7]Clasific. Económica de Ingresos'!C34)</f>
        <v>3800000000</v>
      </c>
      <c r="D233" s="368"/>
      <c r="E233" s="368"/>
      <c r="F233" s="368"/>
      <c r="G233" s="370"/>
      <c r="H233" s="370"/>
      <c r="I233" s="414"/>
      <c r="J233" s="415"/>
      <c r="K233" s="416"/>
      <c r="L233" s="417"/>
      <c r="M233" s="417"/>
      <c r="N233" s="414"/>
      <c r="O233" s="256"/>
      <c r="P233" s="801"/>
      <c r="Q233" s="385"/>
    </row>
    <row r="234" spans="1:17" s="358" customFormat="1" x14ac:dyDescent="0.2">
      <c r="A234" s="419"/>
      <c r="B234" s="420"/>
      <c r="C234" s="348"/>
      <c r="D234" s="349" t="s">
        <v>8</v>
      </c>
      <c r="E234" s="349" t="s">
        <v>184</v>
      </c>
      <c r="F234" s="349" t="s">
        <v>209</v>
      </c>
      <c r="G234" s="350" t="s">
        <v>213</v>
      </c>
      <c r="H234" s="350"/>
      <c r="I234" s="421">
        <f>+'[7]Egresos Programa I General'!E8-'Origen y Aplicación'!I11-'Origen y Aplicación'!I207-I300-I327-I346-I355-I389-I399-I432-I468-I481-I272-I536-I418-I374-I493-I446-I217-I508-I591-I190-I227-I462-I551-I580</f>
        <v>3215692360.7624531</v>
      </c>
      <c r="J234" s="422"/>
      <c r="K234" s="423"/>
      <c r="L234" s="424"/>
      <c r="M234" s="424"/>
      <c r="N234" s="412"/>
      <c r="O234" s="256"/>
      <c r="P234" s="798">
        <f>+'[7]INGRESOS LIBRES DETALLE Nº17'!H132</f>
        <v>3791703736.8699999</v>
      </c>
      <c r="Q234" s="357">
        <f>+I234-P234</f>
        <v>-576011376.10754681</v>
      </c>
    </row>
    <row r="235" spans="1:17" s="358" customFormat="1" x14ac:dyDescent="0.2">
      <c r="A235" s="426"/>
      <c r="B235" s="427"/>
      <c r="C235" s="361"/>
      <c r="D235" s="362"/>
      <c r="E235" s="362"/>
      <c r="F235" s="362"/>
      <c r="G235" s="363" t="s">
        <v>9</v>
      </c>
      <c r="H235" s="363"/>
      <c r="I235" s="356">
        <v>3215692360.7600002</v>
      </c>
      <c r="J235" s="352">
        <f>+I235</f>
        <v>3215692360.7600002</v>
      </c>
      <c r="K235" s="353"/>
      <c r="L235" s="354"/>
      <c r="M235" s="354"/>
      <c r="N235" s="253"/>
      <c r="O235" s="256"/>
      <c r="P235" s="798"/>
      <c r="Q235" s="357"/>
    </row>
    <row r="236" spans="1:17" s="358" customFormat="1" hidden="1" x14ac:dyDescent="0.2">
      <c r="A236" s="426"/>
      <c r="B236" s="427"/>
      <c r="C236" s="361"/>
      <c r="D236" s="362"/>
      <c r="E236" s="362"/>
      <c r="F236" s="362"/>
      <c r="G236" s="363"/>
      <c r="H236" s="363"/>
      <c r="I236" s="356"/>
      <c r="J236" s="352"/>
      <c r="K236" s="353"/>
      <c r="L236" s="354"/>
      <c r="M236" s="354"/>
      <c r="N236" s="253"/>
      <c r="O236" s="256"/>
      <c r="P236" s="798"/>
      <c r="Q236" s="357"/>
    </row>
    <row r="237" spans="1:17" s="358" customFormat="1" hidden="1" x14ac:dyDescent="0.2">
      <c r="A237" s="426"/>
      <c r="B237" s="427"/>
      <c r="C237" s="361"/>
      <c r="D237" s="362"/>
      <c r="E237" s="362"/>
      <c r="F237" s="362"/>
      <c r="G237" s="363"/>
      <c r="H237" s="363"/>
      <c r="I237" s="356"/>
      <c r="J237" s="352"/>
      <c r="K237" s="353"/>
      <c r="L237" s="354"/>
      <c r="M237" s="354"/>
      <c r="N237" s="253"/>
      <c r="O237" s="256"/>
      <c r="P237" s="798"/>
      <c r="Q237" s="357"/>
    </row>
    <row r="238" spans="1:17" s="358" customFormat="1" x14ac:dyDescent="0.2">
      <c r="A238" s="426"/>
      <c r="B238" s="427"/>
      <c r="C238" s="361"/>
      <c r="D238" s="362"/>
      <c r="E238" s="362"/>
      <c r="F238" s="362"/>
      <c r="G238" s="363"/>
      <c r="H238" s="363"/>
      <c r="I238" s="356"/>
      <c r="J238" s="352"/>
      <c r="K238" s="353"/>
      <c r="L238" s="354"/>
      <c r="M238" s="354"/>
      <c r="N238" s="253"/>
      <c r="O238" s="256"/>
      <c r="P238" s="798"/>
      <c r="Q238" s="357"/>
    </row>
    <row r="239" spans="1:17" s="358" customFormat="1" ht="13.5" thickBot="1" x14ac:dyDescent="0.25">
      <c r="A239" s="367"/>
      <c r="B239" s="368"/>
      <c r="C239" s="369"/>
      <c r="D239" s="368" t="s">
        <v>20</v>
      </c>
      <c r="E239" s="368" t="s">
        <v>193</v>
      </c>
      <c r="F239" s="401"/>
      <c r="G239" s="370" t="s">
        <v>262</v>
      </c>
      <c r="H239" s="370"/>
      <c r="I239" s="428">
        <f>+'[7]Egresos Programa I General'!E12</f>
        <v>266725000</v>
      </c>
      <c r="J239" s="415"/>
      <c r="K239" s="416"/>
      <c r="L239" s="417"/>
      <c r="M239" s="417"/>
      <c r="N239" s="253"/>
      <c r="O239" s="256"/>
      <c r="P239" s="798"/>
      <c r="Q239" s="357"/>
    </row>
    <row r="240" spans="1:17" s="358" customFormat="1" x14ac:dyDescent="0.2">
      <c r="A240" s="346"/>
      <c r="B240" s="349"/>
      <c r="C240" s="348"/>
      <c r="D240" s="349"/>
      <c r="E240" s="349"/>
      <c r="F240" s="429"/>
      <c r="G240" s="350" t="s">
        <v>181</v>
      </c>
      <c r="H240" s="350"/>
      <c r="I240" s="351">
        <v>266725000</v>
      </c>
      <c r="J240" s="422"/>
      <c r="K240" s="423">
        <f>+I240</f>
        <v>266725000</v>
      </c>
      <c r="L240" s="424"/>
      <c r="M240" s="424"/>
      <c r="N240" s="253"/>
      <c r="O240" s="256"/>
      <c r="P240" s="798"/>
      <c r="Q240" s="357"/>
    </row>
    <row r="241" spans="1:17" s="358" customFormat="1" x14ac:dyDescent="0.2">
      <c r="A241" s="359"/>
      <c r="B241" s="362"/>
      <c r="C241" s="361"/>
      <c r="D241" s="362"/>
      <c r="E241" s="362"/>
      <c r="F241" s="366"/>
      <c r="G241" s="363"/>
      <c r="H241" s="363"/>
      <c r="I241" s="356"/>
      <c r="J241" s="352"/>
      <c r="K241" s="353"/>
      <c r="L241" s="354"/>
      <c r="M241" s="354"/>
      <c r="N241" s="253"/>
      <c r="O241" s="256"/>
      <c r="P241" s="798"/>
      <c r="Q241" s="357"/>
    </row>
    <row r="242" spans="1:17" s="358" customFormat="1" x14ac:dyDescent="0.2">
      <c r="A242" s="426"/>
      <c r="B242" s="427"/>
      <c r="C242" s="361"/>
      <c r="D242" s="362" t="s">
        <v>8</v>
      </c>
      <c r="E242" s="362" t="s">
        <v>191</v>
      </c>
      <c r="F242" s="366" t="s">
        <v>209</v>
      </c>
      <c r="G242" s="363" t="s">
        <v>261</v>
      </c>
      <c r="H242" s="363"/>
      <c r="I242" s="364">
        <f>+[7]ProgramaI!E49</f>
        <v>30000000</v>
      </c>
      <c r="J242" s="352"/>
      <c r="K242" s="353"/>
      <c r="L242" s="354"/>
      <c r="M242" s="354"/>
      <c r="N242" s="253"/>
      <c r="O242" s="256"/>
      <c r="P242" s="798"/>
      <c r="Q242" s="357"/>
    </row>
    <row r="243" spans="1:17" s="358" customFormat="1" x14ac:dyDescent="0.2">
      <c r="A243" s="426"/>
      <c r="B243" s="427"/>
      <c r="C243" s="361"/>
      <c r="D243" s="362"/>
      <c r="E243" s="362"/>
      <c r="F243" s="366"/>
      <c r="G243" s="363" t="s">
        <v>207</v>
      </c>
      <c r="H243" s="363"/>
      <c r="I243" s="356">
        <v>30000000</v>
      </c>
      <c r="J243" s="352">
        <f>+I243</f>
        <v>30000000</v>
      </c>
      <c r="K243" s="353"/>
      <c r="L243" s="354"/>
      <c r="M243" s="354"/>
      <c r="N243" s="253"/>
      <c r="O243" s="256"/>
      <c r="P243" s="798"/>
      <c r="Q243" s="357"/>
    </row>
    <row r="244" spans="1:17" s="358" customFormat="1" x14ac:dyDescent="0.2">
      <c r="A244" s="426"/>
      <c r="B244" s="427"/>
      <c r="C244" s="361"/>
      <c r="D244" s="362"/>
      <c r="E244" s="362"/>
      <c r="F244" s="366"/>
      <c r="G244" s="363"/>
      <c r="H244" s="363"/>
      <c r="I244" s="356"/>
      <c r="J244" s="352"/>
      <c r="K244" s="353"/>
      <c r="L244" s="354"/>
      <c r="M244" s="354"/>
      <c r="N244" s="253"/>
      <c r="O244" s="256"/>
      <c r="P244" s="798"/>
      <c r="Q244" s="357"/>
    </row>
    <row r="245" spans="1:17" s="358" customFormat="1" x14ac:dyDescent="0.2">
      <c r="A245" s="426"/>
      <c r="B245" s="427"/>
      <c r="C245" s="361"/>
      <c r="D245" s="362" t="s">
        <v>8</v>
      </c>
      <c r="E245" s="362" t="s">
        <v>191</v>
      </c>
      <c r="F245" s="366"/>
      <c r="G245" s="363" t="str">
        <f>+[7]ProgramaI!B32</f>
        <v xml:space="preserve">Comité Cantonal Deportes y Recreación </v>
      </c>
      <c r="H245" s="363"/>
      <c r="I245" s="364">
        <v>159666255.19999999</v>
      </c>
      <c r="J245" s="352"/>
      <c r="K245" s="353"/>
      <c r="L245" s="354"/>
      <c r="M245" s="354"/>
      <c r="N245" s="253"/>
      <c r="O245" s="256"/>
      <c r="P245" s="798"/>
      <c r="Q245" s="357"/>
    </row>
    <row r="246" spans="1:17" s="358" customFormat="1" x14ac:dyDescent="0.2">
      <c r="A246" s="426"/>
      <c r="B246" s="427"/>
      <c r="C246" s="361"/>
      <c r="D246" s="362"/>
      <c r="E246" s="362"/>
      <c r="F246" s="366"/>
      <c r="G246" s="363" t="s">
        <v>207</v>
      </c>
      <c r="H246" s="363"/>
      <c r="I246" s="356">
        <f>159669188.12-2723.42-209.5</f>
        <v>159666255.20000002</v>
      </c>
      <c r="J246" s="352">
        <f>+I246</f>
        <v>159666255.20000002</v>
      </c>
      <c r="K246" s="353"/>
      <c r="L246" s="354"/>
      <c r="M246" s="354"/>
      <c r="N246" s="253"/>
      <c r="O246" s="256"/>
      <c r="P246" s="798"/>
      <c r="Q246" s="357"/>
    </row>
    <row r="247" spans="1:17" s="358" customFormat="1" x14ac:dyDescent="0.2">
      <c r="A247" s="426"/>
      <c r="B247" s="427"/>
      <c r="C247" s="361"/>
      <c r="D247" s="362"/>
      <c r="E247" s="362"/>
      <c r="F247" s="366"/>
      <c r="G247" s="363"/>
      <c r="H247" s="363"/>
      <c r="I247" s="356"/>
      <c r="J247" s="352"/>
      <c r="K247" s="353"/>
      <c r="L247" s="354"/>
      <c r="M247" s="354"/>
      <c r="N247" s="253"/>
      <c r="O247" s="256"/>
      <c r="P247" s="798"/>
      <c r="Q247" s="357"/>
    </row>
    <row r="248" spans="1:17" s="358" customFormat="1" x14ac:dyDescent="0.2">
      <c r="A248" s="426"/>
      <c r="B248" s="427"/>
      <c r="C248" s="361"/>
      <c r="D248" s="362">
        <v>1</v>
      </c>
      <c r="E248" s="362" t="s">
        <v>191</v>
      </c>
      <c r="F248" s="366"/>
      <c r="G248" s="363" t="str">
        <f>+[7]ProgramaI!B45</f>
        <v>Asociación para la Atención Integral de Pacientes con Cancer</v>
      </c>
      <c r="H248" s="363"/>
      <c r="I248" s="364">
        <v>25000000</v>
      </c>
      <c r="J248" s="352"/>
      <c r="K248" s="353"/>
      <c r="L248" s="354"/>
      <c r="M248" s="354"/>
      <c r="N248" s="253"/>
      <c r="O248" s="256"/>
      <c r="P248" s="798"/>
      <c r="Q248" s="357"/>
    </row>
    <row r="249" spans="1:17" s="358" customFormat="1" x14ac:dyDescent="0.2">
      <c r="A249" s="426"/>
      <c r="B249" s="427"/>
      <c r="C249" s="361"/>
      <c r="D249" s="362"/>
      <c r="E249" s="362"/>
      <c r="F249" s="366"/>
      <c r="G249" s="363" t="s">
        <v>207</v>
      </c>
      <c r="H249" s="363"/>
      <c r="I249" s="356">
        <v>25000000</v>
      </c>
      <c r="J249" s="352">
        <f>+I249</f>
        <v>25000000</v>
      </c>
      <c r="K249" s="353"/>
      <c r="L249" s="354"/>
      <c r="M249" s="354"/>
      <c r="N249" s="253"/>
      <c r="O249" s="256"/>
      <c r="P249" s="798"/>
      <c r="Q249" s="357"/>
    </row>
    <row r="250" spans="1:17" s="358" customFormat="1" x14ac:dyDescent="0.2">
      <c r="A250" s="426"/>
      <c r="B250" s="427"/>
      <c r="C250" s="361"/>
      <c r="D250" s="362"/>
      <c r="E250" s="362"/>
      <c r="F250" s="366"/>
      <c r="G250" s="363"/>
      <c r="H250" s="363"/>
      <c r="I250" s="356"/>
      <c r="J250" s="352"/>
      <c r="K250" s="353"/>
      <c r="L250" s="354"/>
      <c r="M250" s="354"/>
      <c r="N250" s="253"/>
      <c r="O250" s="256"/>
      <c r="P250" s="798"/>
      <c r="Q250" s="357"/>
    </row>
    <row r="251" spans="1:17" s="358" customFormat="1" x14ac:dyDescent="0.2">
      <c r="A251" s="426"/>
      <c r="B251" s="427"/>
      <c r="C251" s="361"/>
      <c r="D251" s="362">
        <v>1</v>
      </c>
      <c r="E251" s="362" t="s">
        <v>191</v>
      </c>
      <c r="F251" s="366"/>
      <c r="G251" s="363" t="s">
        <v>203</v>
      </c>
      <c r="H251" s="363"/>
      <c r="I251" s="364">
        <v>94620120.930000007</v>
      </c>
      <c r="J251" s="352"/>
      <c r="K251" s="353"/>
      <c r="L251" s="354"/>
      <c r="M251" s="354"/>
      <c r="N251" s="253"/>
      <c r="O251" s="256"/>
      <c r="P251" s="798"/>
      <c r="Q251" s="357"/>
    </row>
    <row r="252" spans="1:17" s="358" customFormat="1" ht="25.5" x14ac:dyDescent="0.2">
      <c r="A252" s="426"/>
      <c r="B252" s="427"/>
      <c r="C252" s="361"/>
      <c r="D252" s="362"/>
      <c r="E252" s="362"/>
      <c r="F252" s="366"/>
      <c r="G252" s="360" t="s">
        <v>643</v>
      </c>
      <c r="H252" s="363"/>
      <c r="I252" s="356">
        <v>94620120.930000007</v>
      </c>
      <c r="J252" s="352"/>
      <c r="K252" s="353"/>
      <c r="L252" s="354"/>
      <c r="M252" s="354">
        <v>94620120.930000007</v>
      </c>
      <c r="N252" s="253"/>
      <c r="O252" s="256"/>
      <c r="P252" s="798"/>
      <c r="Q252" s="357"/>
    </row>
    <row r="253" spans="1:17" s="358" customFormat="1" x14ac:dyDescent="0.2">
      <c r="A253" s="426"/>
      <c r="B253" s="427"/>
      <c r="C253" s="361"/>
      <c r="D253" s="362"/>
      <c r="E253" s="362"/>
      <c r="F253" s="366"/>
      <c r="G253" s="360"/>
      <c r="H253" s="363"/>
      <c r="I253" s="356"/>
      <c r="J253" s="352"/>
      <c r="K253" s="353"/>
      <c r="L253" s="354"/>
      <c r="M253" s="354"/>
      <c r="N253" s="253"/>
      <c r="O253" s="256"/>
      <c r="P253" s="798"/>
      <c r="Q253" s="357"/>
    </row>
    <row r="254" spans="1:17" s="358" customFormat="1" ht="12" customHeight="1" x14ac:dyDescent="0.2">
      <c r="A254" s="426"/>
      <c r="B254" s="427"/>
      <c r="C254" s="361"/>
      <c r="D254" s="362" t="s">
        <v>18</v>
      </c>
      <c r="E254" s="362" t="s">
        <v>183</v>
      </c>
      <c r="F254" s="362" t="s">
        <v>184</v>
      </c>
      <c r="G254" s="363" t="s">
        <v>199</v>
      </c>
      <c r="H254" s="363"/>
      <c r="I254" s="356">
        <f>5296263.2+2999999.93</f>
        <v>8296263.1300000008</v>
      </c>
      <c r="J254" s="352"/>
      <c r="K254" s="353"/>
      <c r="L254" s="354"/>
      <c r="M254" s="354"/>
      <c r="N254" s="253"/>
      <c r="O254" s="256">
        <f>+I254+I153</f>
        <v>18500000</v>
      </c>
      <c r="P254" s="798"/>
      <c r="Q254" s="357"/>
    </row>
    <row r="255" spans="1:17" s="358" customFormat="1" x14ac:dyDescent="0.2">
      <c r="A255" s="426"/>
      <c r="B255" s="427"/>
      <c r="C255" s="361"/>
      <c r="D255" s="362"/>
      <c r="E255" s="362"/>
      <c r="F255" s="362"/>
      <c r="G255" s="363" t="s">
        <v>207</v>
      </c>
      <c r="H255" s="363"/>
      <c r="I255" s="356">
        <v>8296263.1304898262</v>
      </c>
      <c r="J255" s="352">
        <f>+I255</f>
        <v>8296263.1304898262</v>
      </c>
      <c r="K255" s="353"/>
      <c r="L255" s="354"/>
      <c r="M255" s="354"/>
      <c r="N255" s="253"/>
      <c r="O255" s="256"/>
      <c r="P255" s="798"/>
      <c r="Q255" s="357"/>
    </row>
    <row r="256" spans="1:17" s="358" customFormat="1" ht="13.5" thickBot="1" x14ac:dyDescent="0.25">
      <c r="A256" s="426"/>
      <c r="B256" s="427"/>
      <c r="C256" s="361"/>
      <c r="D256" s="362"/>
      <c r="E256" s="362"/>
      <c r="F256" s="362"/>
      <c r="G256" s="363"/>
      <c r="H256" s="363"/>
      <c r="I256" s="356"/>
      <c r="J256" s="352"/>
      <c r="K256" s="353"/>
      <c r="L256" s="354"/>
      <c r="M256" s="354"/>
      <c r="N256" s="253"/>
      <c r="O256" s="256"/>
      <c r="P256" s="798"/>
      <c r="Q256" s="357"/>
    </row>
    <row r="257" spans="1:17" s="358" customFormat="1" ht="13.5" hidden="1" thickBot="1" x14ac:dyDescent="0.25">
      <c r="A257" s="426"/>
      <c r="B257" s="427"/>
      <c r="C257" s="361"/>
      <c r="D257" s="362" t="s">
        <v>18</v>
      </c>
      <c r="E257" s="362" t="s">
        <v>183</v>
      </c>
      <c r="F257" s="362" t="s">
        <v>185</v>
      </c>
      <c r="G257" s="363" t="s">
        <v>260</v>
      </c>
      <c r="H257" s="363"/>
      <c r="I257" s="356">
        <v>0</v>
      </c>
      <c r="J257" s="352"/>
      <c r="K257" s="353"/>
      <c r="L257" s="354"/>
      <c r="M257" s="354"/>
      <c r="N257" s="253"/>
      <c r="O257" s="256"/>
      <c r="P257" s="798">
        <f>SUM(I257:I266)</f>
        <v>0</v>
      </c>
      <c r="Q257" s="357"/>
    </row>
    <row r="258" spans="1:17" s="358" customFormat="1" ht="15" hidden="1" customHeight="1" x14ac:dyDescent="0.2">
      <c r="A258" s="359"/>
      <c r="B258" s="362"/>
      <c r="C258" s="361"/>
      <c r="D258" s="362" t="s">
        <v>18</v>
      </c>
      <c r="E258" s="362" t="s">
        <v>183</v>
      </c>
      <c r="F258" s="362" t="s">
        <v>182</v>
      </c>
      <c r="G258" s="360" t="str">
        <f>+'[7]Egresos Programa III General'!B102</f>
        <v>Plan de Desarrollo Informático</v>
      </c>
      <c r="H258" s="360"/>
      <c r="I258" s="356">
        <v>0</v>
      </c>
      <c r="J258" s="352"/>
      <c r="K258" s="353"/>
      <c r="L258" s="354"/>
      <c r="M258" s="354"/>
      <c r="N258" s="253"/>
      <c r="O258" s="256"/>
      <c r="P258" s="798">
        <f>+I258+I287</f>
        <v>0</v>
      </c>
      <c r="Q258" s="357"/>
    </row>
    <row r="259" spans="1:17" s="358" customFormat="1" ht="27.75" hidden="1" customHeight="1" x14ac:dyDescent="0.2">
      <c r="A259" s="426"/>
      <c r="B259" s="427"/>
      <c r="C259" s="361"/>
      <c r="D259" s="362" t="s">
        <v>18</v>
      </c>
      <c r="E259" s="362" t="s">
        <v>185</v>
      </c>
      <c r="F259" s="430" t="s">
        <v>185</v>
      </c>
      <c r="G259" s="363" t="s">
        <v>221</v>
      </c>
      <c r="H259" s="363"/>
      <c r="I259" s="356"/>
      <c r="J259" s="352"/>
      <c r="K259" s="353"/>
      <c r="L259" s="354"/>
      <c r="M259" s="354"/>
      <c r="N259" s="253"/>
      <c r="O259" s="256"/>
      <c r="P259" s="798"/>
      <c r="Q259" s="357"/>
    </row>
    <row r="260" spans="1:17" s="358" customFormat="1" ht="27.75" hidden="1" customHeight="1" x14ac:dyDescent="0.2">
      <c r="A260" s="426"/>
      <c r="B260" s="427"/>
      <c r="C260" s="361"/>
      <c r="D260" s="362" t="s">
        <v>18</v>
      </c>
      <c r="E260" s="362" t="s">
        <v>183</v>
      </c>
      <c r="F260" s="362">
        <v>11</v>
      </c>
      <c r="G260" s="360" t="s">
        <v>259</v>
      </c>
      <c r="H260" s="360"/>
      <c r="I260" s="253"/>
      <c r="J260" s="372"/>
      <c r="K260" s="373"/>
      <c r="L260" s="374"/>
      <c r="M260" s="374"/>
      <c r="N260" s="253"/>
      <c r="O260" s="256"/>
      <c r="P260" s="798"/>
      <c r="Q260" s="357"/>
    </row>
    <row r="261" spans="1:17" s="358" customFormat="1" ht="27.75" hidden="1" customHeight="1" x14ac:dyDescent="0.2">
      <c r="A261" s="426"/>
      <c r="B261" s="427"/>
      <c r="C261" s="361"/>
      <c r="D261" s="362" t="s">
        <v>18</v>
      </c>
      <c r="E261" s="362" t="s">
        <v>183</v>
      </c>
      <c r="F261" s="362">
        <v>12</v>
      </c>
      <c r="G261" s="360" t="s">
        <v>258</v>
      </c>
      <c r="H261" s="360"/>
      <c r="I261" s="253"/>
      <c r="J261" s="372"/>
      <c r="K261" s="373"/>
      <c r="L261" s="374"/>
      <c r="M261" s="374"/>
      <c r="N261" s="253"/>
      <c r="O261" s="256"/>
      <c r="P261" s="798"/>
      <c r="Q261" s="357"/>
    </row>
    <row r="262" spans="1:17" s="358" customFormat="1" ht="13.5" hidden="1" thickBot="1" x14ac:dyDescent="0.25">
      <c r="A262" s="426"/>
      <c r="B262" s="427"/>
      <c r="C262" s="361"/>
      <c r="D262" s="362" t="s">
        <v>18</v>
      </c>
      <c r="E262" s="362" t="s">
        <v>183</v>
      </c>
      <c r="F262" s="362">
        <v>13</v>
      </c>
      <c r="G262" s="363" t="s">
        <v>257</v>
      </c>
      <c r="H262" s="363"/>
      <c r="I262" s="253"/>
      <c r="J262" s="372"/>
      <c r="K262" s="373"/>
      <c r="L262" s="374"/>
      <c r="M262" s="374"/>
      <c r="N262" s="253"/>
      <c r="O262" s="256"/>
      <c r="P262" s="798"/>
      <c r="Q262" s="357"/>
    </row>
    <row r="263" spans="1:17" s="358" customFormat="1" ht="13.5" hidden="1" thickBot="1" x14ac:dyDescent="0.25">
      <c r="A263" s="426"/>
      <c r="B263" s="427"/>
      <c r="C263" s="361"/>
      <c r="D263" s="362" t="s">
        <v>18</v>
      </c>
      <c r="E263" s="362" t="s">
        <v>189</v>
      </c>
      <c r="F263" s="362"/>
      <c r="G263" s="431" t="str">
        <f>+'[7]Programa III'!B29</f>
        <v>Transferencias de Capital al Gobierno Central</v>
      </c>
      <c r="H263" s="431"/>
      <c r="I263" s="253"/>
      <c r="J263" s="372"/>
      <c r="K263" s="373"/>
      <c r="L263" s="374"/>
      <c r="M263" s="374"/>
      <c r="N263" s="253"/>
      <c r="O263" s="256"/>
      <c r="P263" s="798">
        <f>+I263+I582+I594</f>
        <v>0</v>
      </c>
      <c r="Q263" s="357"/>
    </row>
    <row r="264" spans="1:17" s="358" customFormat="1" ht="13.5" hidden="1" thickBot="1" x14ac:dyDescent="0.25">
      <c r="A264" s="426"/>
      <c r="B264" s="427"/>
      <c r="C264" s="361"/>
      <c r="D264" s="362" t="s">
        <v>18</v>
      </c>
      <c r="E264" s="362" t="s">
        <v>189</v>
      </c>
      <c r="F264" s="362"/>
      <c r="G264" s="363" t="s">
        <v>211</v>
      </c>
      <c r="H264" s="363"/>
      <c r="I264" s="253"/>
      <c r="J264" s="372"/>
      <c r="K264" s="373"/>
      <c r="L264" s="374"/>
      <c r="M264" s="374"/>
      <c r="N264" s="253"/>
      <c r="O264" s="256"/>
      <c r="P264" s="798">
        <f>+I264+I562</f>
        <v>0</v>
      </c>
      <c r="Q264" s="357"/>
    </row>
    <row r="265" spans="1:17" s="358" customFormat="1" ht="13.5" hidden="1" thickBot="1" x14ac:dyDescent="0.25">
      <c r="A265" s="426"/>
      <c r="B265" s="427"/>
      <c r="C265" s="361"/>
      <c r="D265" s="362" t="s">
        <v>18</v>
      </c>
      <c r="E265" s="362" t="s">
        <v>189</v>
      </c>
      <c r="F265" s="362"/>
      <c r="G265" s="363" t="s">
        <v>220</v>
      </c>
      <c r="H265" s="363"/>
      <c r="I265" s="253"/>
      <c r="J265" s="372"/>
      <c r="K265" s="373"/>
      <c r="L265" s="374"/>
      <c r="M265" s="374"/>
      <c r="N265" s="253"/>
      <c r="O265" s="256"/>
      <c r="P265" s="798"/>
      <c r="Q265" s="357"/>
    </row>
    <row r="266" spans="1:17" s="358" customFormat="1" ht="13.5" hidden="1" thickBot="1" x14ac:dyDescent="0.25">
      <c r="A266" s="426"/>
      <c r="B266" s="427"/>
      <c r="C266" s="361"/>
      <c r="D266" s="362" t="s">
        <v>18</v>
      </c>
      <c r="E266" s="362" t="s">
        <v>189</v>
      </c>
      <c r="F266" s="362"/>
      <c r="G266" s="363" t="s">
        <v>188</v>
      </c>
      <c r="H266" s="363"/>
      <c r="I266" s="253">
        <v>0</v>
      </c>
      <c r="J266" s="372"/>
      <c r="K266" s="373"/>
      <c r="L266" s="374"/>
      <c r="M266" s="374"/>
      <c r="N266" s="253"/>
      <c r="O266" s="256"/>
      <c r="P266" s="798">
        <f>+I135+I128+I266+20408580</f>
        <v>250408580</v>
      </c>
      <c r="Q266" s="357"/>
    </row>
    <row r="267" spans="1:17" s="358" customFormat="1" ht="13.5" hidden="1" thickBot="1" x14ac:dyDescent="0.25">
      <c r="A267" s="426"/>
      <c r="B267" s="427"/>
      <c r="C267" s="361"/>
      <c r="D267" s="362" t="s">
        <v>18</v>
      </c>
      <c r="E267" s="362" t="s">
        <v>187</v>
      </c>
      <c r="F267" s="366"/>
      <c r="G267" s="363" t="s">
        <v>220</v>
      </c>
      <c r="H267" s="363"/>
      <c r="I267" s="253">
        <v>0</v>
      </c>
      <c r="J267" s="372"/>
      <c r="K267" s="373"/>
      <c r="L267" s="374"/>
      <c r="M267" s="374"/>
      <c r="N267" s="253"/>
      <c r="O267" s="256"/>
      <c r="P267" s="798"/>
      <c r="Q267" s="357"/>
    </row>
    <row r="268" spans="1:17" s="358" customFormat="1" ht="13.5" hidden="1" thickBot="1" x14ac:dyDescent="0.25">
      <c r="A268" s="426"/>
      <c r="B268" s="427"/>
      <c r="C268" s="361"/>
      <c r="D268" s="362" t="s">
        <v>18</v>
      </c>
      <c r="E268" s="362">
        <v>9</v>
      </c>
      <c r="F268" s="362"/>
      <c r="G268" s="363" t="s">
        <v>220</v>
      </c>
      <c r="H268" s="363"/>
      <c r="I268" s="253">
        <v>0</v>
      </c>
      <c r="J268" s="372"/>
      <c r="K268" s="373"/>
      <c r="L268" s="374"/>
      <c r="M268" s="374"/>
      <c r="N268" s="253"/>
      <c r="O268" s="256"/>
      <c r="P268" s="798"/>
      <c r="Q268" s="357"/>
    </row>
    <row r="269" spans="1:17" s="386" customFormat="1" ht="13.5" thickBot="1" x14ac:dyDescent="0.25">
      <c r="A269" s="402" t="s">
        <v>180</v>
      </c>
      <c r="B269" s="403"/>
      <c r="C269" s="404">
        <f>SUM(C233:C234)</f>
        <v>3800000000</v>
      </c>
      <c r="D269" s="405"/>
      <c r="E269" s="405"/>
      <c r="F269" s="405"/>
      <c r="G269" s="406"/>
      <c r="H269" s="406"/>
      <c r="I269" s="407">
        <f>SUM(I234:I268)/2</f>
        <v>3800000000.021472</v>
      </c>
      <c r="J269" s="379"/>
      <c r="K269" s="380"/>
      <c r="L269" s="381"/>
      <c r="M269" s="381"/>
      <c r="N269" s="383">
        <f>+C269-I269</f>
        <v>-2.1471977233886719E-2</v>
      </c>
      <c r="O269" s="256">
        <v>94620120.930000007</v>
      </c>
      <c r="P269" s="801">
        <f>+N269-O269</f>
        <v>-94620120.951471984</v>
      </c>
      <c r="Q269" s="385"/>
    </row>
    <row r="270" spans="1:17" s="358" customFormat="1" x14ac:dyDescent="0.2">
      <c r="A270" s="413"/>
      <c r="B270" s="363"/>
      <c r="C270" s="363"/>
      <c r="D270" s="362"/>
      <c r="E270" s="362"/>
      <c r="F270" s="362"/>
      <c r="G270" s="363"/>
      <c r="H270" s="363"/>
      <c r="I270" s="356"/>
      <c r="J270" s="352"/>
      <c r="K270" s="353"/>
      <c r="L270" s="354"/>
      <c r="M270" s="354"/>
      <c r="N270" s="356"/>
      <c r="O270" s="256"/>
      <c r="P270" s="798"/>
      <c r="Q270" s="357"/>
    </row>
    <row r="271" spans="1:17" s="358" customFormat="1" x14ac:dyDescent="0.2">
      <c r="A271" s="359" t="str">
        <f>+'[7]Clasific. Económica de Ingresos'!A40</f>
        <v>1.1.9.1.01.00.0.0.000</v>
      </c>
      <c r="B271" s="363" t="s">
        <v>256</v>
      </c>
      <c r="C271" s="361">
        <f>SUM('[7]Clasific. Económica de Ingresos'!C40)</f>
        <v>400000000</v>
      </c>
      <c r="D271" s="362"/>
      <c r="E271" s="362"/>
      <c r="F271" s="362"/>
      <c r="G271" s="363"/>
      <c r="H271" s="363"/>
      <c r="I271" s="356"/>
      <c r="J271" s="352"/>
      <c r="K271" s="353"/>
      <c r="L271" s="354"/>
      <c r="M271" s="354"/>
      <c r="N271" s="356"/>
      <c r="O271" s="256"/>
      <c r="P271" s="798"/>
      <c r="Q271" s="357"/>
    </row>
    <row r="272" spans="1:17" s="358" customFormat="1" x14ac:dyDescent="0.2">
      <c r="A272" s="359"/>
      <c r="B272" s="362"/>
      <c r="C272" s="361"/>
      <c r="D272" s="362" t="s">
        <v>8</v>
      </c>
      <c r="E272" s="362" t="s">
        <v>184</v>
      </c>
      <c r="F272" s="362" t="s">
        <v>209</v>
      </c>
      <c r="G272" s="363" t="s">
        <v>213</v>
      </c>
      <c r="H272" s="363"/>
      <c r="I272" s="364">
        <v>13759855.220000001</v>
      </c>
      <c r="J272" s="372"/>
      <c r="K272" s="373"/>
      <c r="L272" s="374"/>
      <c r="M272" s="374"/>
      <c r="N272" s="253"/>
      <c r="O272" s="256"/>
      <c r="P272" s="798"/>
      <c r="Q272" s="357"/>
    </row>
    <row r="273" spans="1:17" s="358" customFormat="1" x14ac:dyDescent="0.2">
      <c r="A273" s="359"/>
      <c r="B273" s="362"/>
      <c r="C273" s="361"/>
      <c r="D273" s="362"/>
      <c r="E273" s="362"/>
      <c r="F273" s="362"/>
      <c r="G273" s="363" t="s">
        <v>9</v>
      </c>
      <c r="H273" s="363"/>
      <c r="I273" s="253">
        <f>8540459.34+5219395.88</f>
        <v>13759855.219999999</v>
      </c>
      <c r="J273" s="372">
        <f>+I273</f>
        <v>13759855.219999999</v>
      </c>
      <c r="K273" s="373"/>
      <c r="L273" s="374"/>
      <c r="M273" s="374"/>
      <c r="N273" s="253"/>
      <c r="O273" s="256"/>
      <c r="P273" s="798"/>
      <c r="Q273" s="357"/>
    </row>
    <row r="274" spans="1:17" s="358" customFormat="1" x14ac:dyDescent="0.2">
      <c r="A274" s="359"/>
      <c r="B274" s="362"/>
      <c r="C274" s="361"/>
      <c r="D274" s="362"/>
      <c r="E274" s="362"/>
      <c r="F274" s="362"/>
      <c r="G274" s="363"/>
      <c r="H274" s="363"/>
      <c r="I274" s="253"/>
      <c r="J274" s="372"/>
      <c r="K274" s="373"/>
      <c r="L274" s="374"/>
      <c r="M274" s="374"/>
      <c r="N274" s="253"/>
      <c r="O274" s="256">
        <f>SUM(I278:I283)</f>
        <v>386240144.77999997</v>
      </c>
      <c r="P274" s="798"/>
      <c r="Q274" s="357"/>
    </row>
    <row r="275" spans="1:17" s="358" customFormat="1" hidden="1" x14ac:dyDescent="0.2">
      <c r="A275" s="359"/>
      <c r="B275" s="362"/>
      <c r="C275" s="361"/>
      <c r="D275" s="362"/>
      <c r="E275" s="362"/>
      <c r="F275" s="362"/>
      <c r="G275" s="363"/>
      <c r="H275" s="363"/>
      <c r="I275" s="253"/>
      <c r="J275" s="372"/>
      <c r="K275" s="373"/>
      <c r="L275" s="374"/>
      <c r="M275" s="374"/>
      <c r="N275" s="253"/>
      <c r="O275" s="256"/>
      <c r="P275" s="798"/>
      <c r="Q275" s="357"/>
    </row>
    <row r="276" spans="1:17" s="358" customFormat="1" hidden="1" x14ac:dyDescent="0.2">
      <c r="A276" s="359"/>
      <c r="B276" s="362"/>
      <c r="C276" s="361"/>
      <c r="D276" s="362"/>
      <c r="E276" s="362"/>
      <c r="F276" s="362"/>
      <c r="G276" s="363"/>
      <c r="H276" s="363"/>
      <c r="I276" s="253"/>
      <c r="J276" s="372"/>
      <c r="K276" s="373"/>
      <c r="L276" s="374"/>
      <c r="M276" s="374"/>
      <c r="N276" s="253"/>
      <c r="O276" s="256"/>
      <c r="P276" s="798"/>
      <c r="Q276" s="357"/>
    </row>
    <row r="277" spans="1:17" s="358" customFormat="1" x14ac:dyDescent="0.2">
      <c r="A277" s="359"/>
      <c r="B277" s="362"/>
      <c r="C277" s="361"/>
      <c r="D277" s="362" t="s">
        <v>8</v>
      </c>
      <c r="E277" s="362" t="s">
        <v>185</v>
      </c>
      <c r="F277" s="362"/>
      <c r="G277" s="363" t="s">
        <v>255</v>
      </c>
      <c r="H277" s="363"/>
      <c r="I277" s="364">
        <f>+'[7]Egresos Programa I General'!E10</f>
        <v>386240144.77843732</v>
      </c>
      <c r="J277" s="372"/>
      <c r="K277" s="373"/>
      <c r="L277" s="374"/>
      <c r="M277" s="374"/>
      <c r="N277" s="253"/>
      <c r="O277" s="256"/>
      <c r="P277" s="798"/>
      <c r="Q277" s="357"/>
    </row>
    <row r="278" spans="1:17" s="358" customFormat="1" x14ac:dyDescent="0.2">
      <c r="A278" s="359"/>
      <c r="B278" s="362"/>
      <c r="C278" s="361"/>
      <c r="D278" s="362"/>
      <c r="E278" s="362"/>
      <c r="F278" s="362"/>
      <c r="G278" s="363" t="s">
        <v>9</v>
      </c>
      <c r="H278" s="363"/>
      <c r="I278" s="253">
        <v>295889082.27999997</v>
      </c>
      <c r="J278" s="372">
        <f>+I278</f>
        <v>295889082.27999997</v>
      </c>
      <c r="K278" s="373"/>
      <c r="L278" s="374"/>
      <c r="M278" s="374"/>
      <c r="N278" s="253"/>
      <c r="O278" s="256"/>
      <c r="P278" s="798"/>
      <c r="Q278" s="357"/>
    </row>
    <row r="279" spans="1:17" s="358" customFormat="1" x14ac:dyDescent="0.2">
      <c r="A279" s="359"/>
      <c r="B279" s="362"/>
      <c r="C279" s="361"/>
      <c r="D279" s="362"/>
      <c r="E279" s="362"/>
      <c r="F279" s="362"/>
      <c r="G279" s="363" t="s">
        <v>10</v>
      </c>
      <c r="H279" s="363"/>
      <c r="I279" s="253">
        <v>15882565.640000001</v>
      </c>
      <c r="J279" s="372">
        <f>+I279</f>
        <v>15882565.640000001</v>
      </c>
      <c r="K279" s="373"/>
      <c r="L279" s="374"/>
      <c r="M279" s="374"/>
      <c r="N279" s="253"/>
      <c r="O279" s="256"/>
      <c r="P279" s="798"/>
      <c r="Q279" s="357"/>
    </row>
    <row r="280" spans="1:17" s="358" customFormat="1" x14ac:dyDescent="0.2">
      <c r="A280" s="359"/>
      <c r="B280" s="362"/>
      <c r="C280" s="361"/>
      <c r="D280" s="362"/>
      <c r="E280" s="362"/>
      <c r="F280" s="362"/>
      <c r="G280" s="363" t="s">
        <v>11</v>
      </c>
      <c r="H280" s="363"/>
      <c r="I280" s="253">
        <v>2168000</v>
      </c>
      <c r="J280" s="372">
        <f>+I280</f>
        <v>2168000</v>
      </c>
      <c r="K280" s="373"/>
      <c r="L280" s="374"/>
      <c r="M280" s="374"/>
      <c r="N280" s="253"/>
      <c r="O280" s="256"/>
      <c r="P280" s="798"/>
      <c r="Q280" s="357"/>
    </row>
    <row r="281" spans="1:17" s="358" customFormat="1" hidden="1" x14ac:dyDescent="0.2">
      <c r="A281" s="359"/>
      <c r="B281" s="362"/>
      <c r="C281" s="361"/>
      <c r="D281" s="362"/>
      <c r="E281" s="362"/>
      <c r="F281" s="362"/>
      <c r="G281" s="363" t="s">
        <v>12</v>
      </c>
      <c r="H281" s="363"/>
      <c r="I281" s="253"/>
      <c r="J281" s="372">
        <f>+I281</f>
        <v>0</v>
      </c>
      <c r="K281" s="373"/>
      <c r="L281" s="374"/>
      <c r="M281" s="374"/>
      <c r="N281" s="253"/>
      <c r="O281" s="256"/>
      <c r="P281" s="798"/>
      <c r="Q281" s="357"/>
    </row>
    <row r="282" spans="1:17" s="358" customFormat="1" x14ac:dyDescent="0.2">
      <c r="A282" s="359"/>
      <c r="B282" s="362"/>
      <c r="C282" s="361"/>
      <c r="D282" s="362"/>
      <c r="E282" s="362"/>
      <c r="F282" s="362"/>
      <c r="G282" s="363" t="s">
        <v>13</v>
      </c>
      <c r="H282" s="363"/>
      <c r="I282" s="253">
        <v>8000000</v>
      </c>
      <c r="J282" s="372"/>
      <c r="K282" s="373">
        <v>8000000</v>
      </c>
      <c r="L282" s="374"/>
      <c r="M282" s="374"/>
      <c r="N282" s="253"/>
      <c r="O282" s="256"/>
      <c r="P282" s="798"/>
      <c r="Q282" s="357"/>
    </row>
    <row r="283" spans="1:17" s="358" customFormat="1" ht="13.5" thickBot="1" x14ac:dyDescent="0.25">
      <c r="A283" s="359"/>
      <c r="B283" s="362"/>
      <c r="C283" s="361"/>
      <c r="D283" s="362"/>
      <c r="E283" s="362"/>
      <c r="F283" s="362"/>
      <c r="G283" s="363" t="s">
        <v>14</v>
      </c>
      <c r="H283" s="363"/>
      <c r="I283" s="253">
        <v>64300496.859999999</v>
      </c>
      <c r="J283" s="372">
        <f>+I283</f>
        <v>64300496.859999999</v>
      </c>
      <c r="K283" s="373"/>
      <c r="L283" s="374"/>
      <c r="M283" s="374"/>
      <c r="N283" s="253"/>
      <c r="O283" s="256"/>
      <c r="P283" s="798"/>
      <c r="Q283" s="357"/>
    </row>
    <row r="284" spans="1:17" s="358" customFormat="1" ht="39" hidden="1" thickBot="1" x14ac:dyDescent="0.25">
      <c r="A284" s="359"/>
      <c r="B284" s="362"/>
      <c r="C284" s="361"/>
      <c r="D284" s="362" t="s">
        <v>18</v>
      </c>
      <c r="E284" s="362" t="s">
        <v>189</v>
      </c>
      <c r="F284" s="362"/>
      <c r="G284" s="360" t="s">
        <v>212</v>
      </c>
      <c r="H284" s="360"/>
      <c r="I284" s="253">
        <v>0</v>
      </c>
      <c r="J284" s="372"/>
      <c r="K284" s="373"/>
      <c r="L284" s="374"/>
      <c r="M284" s="374"/>
      <c r="N284" s="253"/>
      <c r="O284" s="256"/>
      <c r="P284" s="798"/>
      <c r="Q284" s="357"/>
    </row>
    <row r="285" spans="1:17" s="358" customFormat="1" ht="13.5" hidden="1" thickBot="1" x14ac:dyDescent="0.25">
      <c r="A285" s="359"/>
      <c r="B285" s="362"/>
      <c r="C285" s="361"/>
      <c r="D285" s="362" t="s">
        <v>18</v>
      </c>
      <c r="E285" s="362" t="s">
        <v>187</v>
      </c>
      <c r="F285" s="366"/>
      <c r="G285" s="363" t="s">
        <v>220</v>
      </c>
      <c r="H285" s="363"/>
      <c r="I285" s="253">
        <v>0</v>
      </c>
      <c r="J285" s="372"/>
      <c r="K285" s="373"/>
      <c r="L285" s="374"/>
      <c r="M285" s="374"/>
      <c r="N285" s="253"/>
      <c r="O285" s="256"/>
      <c r="P285" s="798">
        <f>+I285+I729</f>
        <v>0</v>
      </c>
      <c r="Q285" s="357" t="e">
        <f>+I285+I272+P307+#REF!</f>
        <v>#REF!</v>
      </c>
    </row>
    <row r="286" spans="1:17" s="386" customFormat="1" ht="13.5" thickBot="1" x14ac:dyDescent="0.25">
      <c r="A286" s="402" t="s">
        <v>180</v>
      </c>
      <c r="B286" s="403"/>
      <c r="C286" s="404">
        <f>SUM(C271:C272)</f>
        <v>400000000</v>
      </c>
      <c r="D286" s="405"/>
      <c r="E286" s="405"/>
      <c r="F286" s="405"/>
      <c r="G286" s="406"/>
      <c r="H286" s="406"/>
      <c r="I286" s="407">
        <f>SUM(I272:I285)/2</f>
        <v>399999999.99921864</v>
      </c>
      <c r="J286" s="379"/>
      <c r="K286" s="380"/>
      <c r="L286" s="381"/>
      <c r="M286" s="381"/>
      <c r="N286" s="383">
        <f>+C286-I286</f>
        <v>7.813572883605957E-4</v>
      </c>
      <c r="O286" s="256"/>
      <c r="P286" s="801">
        <f>+C286-I286</f>
        <v>7.813572883605957E-4</v>
      </c>
      <c r="Q286" s="385"/>
    </row>
    <row r="287" spans="1:17" x14ac:dyDescent="0.2">
      <c r="A287" s="432"/>
      <c r="B287" s="395"/>
      <c r="C287" s="394"/>
      <c r="D287" s="601"/>
      <c r="E287" s="601"/>
      <c r="F287" s="601"/>
      <c r="G287" s="241"/>
      <c r="H287" s="241"/>
      <c r="I287" s="300"/>
      <c r="J287" s="301"/>
      <c r="K287" s="302"/>
      <c r="L287" s="303"/>
      <c r="M287" s="303"/>
      <c r="N287" s="300"/>
      <c r="O287" s="256"/>
      <c r="P287" s="792">
        <f>+P269+P286</f>
        <v>-94620120.950690627</v>
      </c>
    </row>
    <row r="288" spans="1:17" x14ac:dyDescent="0.2">
      <c r="A288" s="600" t="str">
        <f>+'[7]Clasific. Económica de Ingresos'!A41</f>
        <v>1.1.9.1.02.00.0.0.000</v>
      </c>
      <c r="B288" s="395" t="s">
        <v>254</v>
      </c>
      <c r="C288" s="240">
        <f>SUM('[7]Clasific. Económica de Ingresos'!C41)</f>
        <v>98000000</v>
      </c>
      <c r="D288" s="601"/>
      <c r="E288" s="601"/>
      <c r="F288" s="601"/>
      <c r="G288" s="241"/>
      <c r="H288" s="241"/>
      <c r="I288" s="300"/>
      <c r="J288" s="301"/>
      <c r="K288" s="302"/>
      <c r="L288" s="303"/>
      <c r="M288" s="303"/>
      <c r="N288" s="300"/>
      <c r="O288" s="256"/>
    </row>
    <row r="289" spans="1:17" x14ac:dyDescent="0.2">
      <c r="A289" s="600"/>
      <c r="B289" s="395"/>
      <c r="C289" s="240"/>
      <c r="D289" s="601" t="s">
        <v>8</v>
      </c>
      <c r="E289" s="601" t="s">
        <v>191</v>
      </c>
      <c r="F289" s="340"/>
      <c r="G289" s="241" t="str">
        <f>+[7]ProgramaI!B25</f>
        <v>CONAGEBIO (10% de la Ley 7788)</v>
      </c>
      <c r="H289" s="241"/>
      <c r="I289" s="312">
        <f>+[7]ProgramaI!E25</f>
        <v>9800000</v>
      </c>
      <c r="J289" s="313"/>
      <c r="K289" s="314"/>
      <c r="L289" s="315"/>
      <c r="M289" s="315"/>
      <c r="N289" s="242"/>
      <c r="O289" s="256"/>
    </row>
    <row r="290" spans="1:17" x14ac:dyDescent="0.2">
      <c r="A290" s="600"/>
      <c r="B290" s="395"/>
      <c r="C290" s="240"/>
      <c r="D290" s="601"/>
      <c r="E290" s="601"/>
      <c r="F290" s="340"/>
      <c r="G290" s="241" t="s">
        <v>207</v>
      </c>
      <c r="H290" s="241"/>
      <c r="I290" s="247">
        <v>9800000</v>
      </c>
      <c r="J290" s="313">
        <f>+I290</f>
        <v>9800000</v>
      </c>
      <c r="K290" s="314"/>
      <c r="L290" s="315"/>
      <c r="M290" s="315"/>
      <c r="N290" s="242"/>
      <c r="O290" s="256"/>
    </row>
    <row r="291" spans="1:17" x14ac:dyDescent="0.2">
      <c r="A291" s="600"/>
      <c r="B291" s="395"/>
      <c r="C291" s="240"/>
      <c r="D291" s="601"/>
      <c r="E291" s="601"/>
      <c r="F291" s="340"/>
      <c r="G291" s="241"/>
      <c r="H291" s="241"/>
      <c r="I291" s="247"/>
      <c r="J291" s="313"/>
      <c r="K291" s="314"/>
      <c r="L291" s="315"/>
      <c r="M291" s="315"/>
      <c r="N291" s="242"/>
      <c r="O291" s="256"/>
    </row>
    <row r="292" spans="1:17" x14ac:dyDescent="0.2">
      <c r="A292" s="600"/>
      <c r="B292" s="601"/>
      <c r="C292" s="240"/>
      <c r="D292" s="601" t="s">
        <v>8</v>
      </c>
      <c r="E292" s="601" t="s">
        <v>191</v>
      </c>
      <c r="F292" s="340" t="s">
        <v>209</v>
      </c>
      <c r="G292" s="241" t="str">
        <f>+[7]ProgramaI!B26</f>
        <v>Fondo para Parques Nacionales</v>
      </c>
      <c r="H292" s="241"/>
      <c r="I292" s="312">
        <f>+[7]ProgramaI!E26</f>
        <v>61740000</v>
      </c>
      <c r="J292" s="313"/>
      <c r="K292" s="314"/>
      <c r="L292" s="315"/>
      <c r="M292" s="315"/>
      <c r="N292" s="242"/>
      <c r="O292" s="256"/>
    </row>
    <row r="293" spans="1:17" x14ac:dyDescent="0.2">
      <c r="A293" s="600"/>
      <c r="B293" s="601"/>
      <c r="C293" s="240"/>
      <c r="D293" s="601"/>
      <c r="E293" s="601"/>
      <c r="F293" s="340"/>
      <c r="G293" s="241" t="s">
        <v>207</v>
      </c>
      <c r="H293" s="241"/>
      <c r="I293" s="247">
        <v>61740000</v>
      </c>
      <c r="J293" s="313">
        <f>+I293</f>
        <v>61740000</v>
      </c>
      <c r="K293" s="314"/>
      <c r="L293" s="315"/>
      <c r="M293" s="315"/>
      <c r="N293" s="242"/>
      <c r="O293" s="256"/>
    </row>
    <row r="294" spans="1:17" x14ac:dyDescent="0.2">
      <c r="A294" s="600"/>
      <c r="B294" s="601"/>
      <c r="C294" s="240"/>
      <c r="D294" s="601"/>
      <c r="E294" s="601"/>
      <c r="F294" s="340"/>
      <c r="G294" s="241"/>
      <c r="H294" s="241"/>
      <c r="I294" s="247"/>
      <c r="J294" s="313"/>
      <c r="K294" s="314"/>
      <c r="L294" s="315"/>
      <c r="M294" s="315"/>
      <c r="N294" s="242"/>
      <c r="O294" s="256"/>
    </row>
    <row r="295" spans="1:17" hidden="1" x14ac:dyDescent="0.2">
      <c r="A295" s="600"/>
      <c r="B295" s="601"/>
      <c r="C295" s="240"/>
      <c r="D295" s="601"/>
      <c r="E295" s="601"/>
      <c r="F295" s="340"/>
      <c r="G295" s="241"/>
      <c r="H295" s="241"/>
      <c r="I295" s="247"/>
      <c r="J295" s="313"/>
      <c r="K295" s="314"/>
      <c r="L295" s="315"/>
      <c r="M295" s="315"/>
      <c r="N295" s="242"/>
      <c r="O295" s="256"/>
    </row>
    <row r="296" spans="1:17" x14ac:dyDescent="0.2">
      <c r="A296" s="600"/>
      <c r="B296" s="601"/>
      <c r="C296" s="240"/>
      <c r="D296" s="601" t="s">
        <v>19</v>
      </c>
      <c r="E296" s="601">
        <v>25</v>
      </c>
      <c r="F296" s="601"/>
      <c r="G296" s="241" t="str">
        <f>+'[7]Egresos Programa II General'!B35</f>
        <v>Protección del Medio Ambiente</v>
      </c>
      <c r="H296" s="241"/>
      <c r="I296" s="255">
        <f>+'[7]Egresos Programa II General'!C35-'Origen y Aplicación'!I73</f>
        <v>26460000.002290279</v>
      </c>
      <c r="J296" s="250"/>
      <c r="K296" s="251"/>
      <c r="L296" s="252"/>
      <c r="M296" s="252"/>
      <c r="N296" s="797"/>
      <c r="O296" s="256"/>
    </row>
    <row r="297" spans="1:17" ht="13.5" thickBot="1" x14ac:dyDescent="0.25">
      <c r="A297" s="600"/>
      <c r="B297" s="601"/>
      <c r="C297" s="240"/>
      <c r="D297" s="601"/>
      <c r="E297" s="601"/>
      <c r="F297" s="601"/>
      <c r="G297" s="241" t="s">
        <v>14</v>
      </c>
      <c r="H297" s="241"/>
      <c r="I297" s="255">
        <v>26460000</v>
      </c>
      <c r="J297" s="250">
        <f>+I297</f>
        <v>26460000</v>
      </c>
      <c r="K297" s="251"/>
      <c r="L297" s="252"/>
      <c r="M297" s="252"/>
      <c r="N297" s="797"/>
      <c r="O297" s="256"/>
    </row>
    <row r="298" spans="1:17" s="239" customFormat="1" ht="13.5" thickBot="1" x14ac:dyDescent="0.25">
      <c r="A298" s="323" t="s">
        <v>180</v>
      </c>
      <c r="B298" s="324"/>
      <c r="C298" s="325">
        <f>SUM(C288:C296)</f>
        <v>98000000</v>
      </c>
      <c r="D298" s="326"/>
      <c r="E298" s="326"/>
      <c r="F298" s="326"/>
      <c r="G298" s="327"/>
      <c r="H298" s="327"/>
      <c r="I298" s="396">
        <f>SUM(I289:I297)/2</f>
        <v>98000000.001145139</v>
      </c>
      <c r="J298" s="397"/>
      <c r="K298" s="398"/>
      <c r="L298" s="399"/>
      <c r="M298" s="399"/>
      <c r="N298" s="333">
        <f>+C298-I298</f>
        <v>-1.1451393365859985E-3</v>
      </c>
      <c r="O298" s="256"/>
      <c r="P298" s="800"/>
      <c r="Q298" s="335"/>
    </row>
    <row r="299" spans="1:17" x14ac:dyDescent="0.2">
      <c r="A299" s="432"/>
      <c r="B299" s="395"/>
      <c r="C299" s="394"/>
      <c r="D299" s="601"/>
      <c r="E299" s="601"/>
      <c r="F299" s="601"/>
      <c r="G299" s="241"/>
      <c r="H299" s="241"/>
      <c r="I299" s="237"/>
      <c r="J299" s="434"/>
      <c r="K299" s="435"/>
      <c r="L299" s="436"/>
      <c r="M299" s="436"/>
      <c r="N299" s="300"/>
      <c r="O299" s="256"/>
    </row>
    <row r="300" spans="1:17" x14ac:dyDescent="0.2">
      <c r="A300" s="600" t="str">
        <f>+'[7]Clasific. Económica de Ingresos'!A50</f>
        <v>1.3.1.1.05.00.0.0.000</v>
      </c>
      <c r="B300" s="395" t="s">
        <v>253</v>
      </c>
      <c r="C300" s="240">
        <f>SUM('[7]Clasific. Económica de Ingresos'!C50)</f>
        <v>3400000000</v>
      </c>
      <c r="D300" s="601" t="s">
        <v>8</v>
      </c>
      <c r="E300" s="601" t="s">
        <v>184</v>
      </c>
      <c r="F300" s="601" t="s">
        <v>209</v>
      </c>
      <c r="G300" s="241" t="s">
        <v>236</v>
      </c>
      <c r="H300" s="241"/>
      <c r="I300" s="312">
        <f>+C300*10%</f>
        <v>340000000</v>
      </c>
      <c r="J300" s="434"/>
      <c r="K300" s="435"/>
      <c r="L300" s="436"/>
      <c r="M300" s="436"/>
      <c r="N300" s="300"/>
      <c r="O300" s="256"/>
    </row>
    <row r="301" spans="1:17" x14ac:dyDescent="0.2">
      <c r="A301" s="600"/>
      <c r="B301" s="395"/>
      <c r="C301" s="240"/>
      <c r="D301" s="601"/>
      <c r="E301" s="601"/>
      <c r="F301" s="601"/>
      <c r="G301" s="241" t="s">
        <v>9</v>
      </c>
      <c r="H301" s="241"/>
      <c r="I301" s="237">
        <v>340000000</v>
      </c>
      <c r="J301" s="434">
        <f>+I301</f>
        <v>340000000</v>
      </c>
      <c r="K301" s="435"/>
      <c r="L301" s="436"/>
      <c r="M301" s="436"/>
      <c r="N301" s="300"/>
      <c r="O301" s="256">
        <f>SUM(I308:I313)</f>
        <v>2202101892.0599999</v>
      </c>
    </row>
    <row r="302" spans="1:17" x14ac:dyDescent="0.2">
      <c r="A302" s="600"/>
      <c r="B302" s="395"/>
      <c r="C302" s="240"/>
      <c r="D302" s="601"/>
      <c r="E302" s="601"/>
      <c r="F302" s="601"/>
      <c r="G302" s="241"/>
      <c r="H302" s="241"/>
      <c r="I302" s="237"/>
      <c r="J302" s="434"/>
      <c r="K302" s="435"/>
      <c r="L302" s="436"/>
      <c r="M302" s="436"/>
      <c r="N302" s="300"/>
      <c r="O302" s="256"/>
    </row>
    <row r="303" spans="1:17" hidden="1" x14ac:dyDescent="0.2">
      <c r="A303" s="600"/>
      <c r="B303" s="395"/>
      <c r="C303" s="240"/>
      <c r="D303" s="601"/>
      <c r="E303" s="601"/>
      <c r="F303" s="601"/>
      <c r="G303" s="241"/>
      <c r="H303" s="241"/>
      <c r="I303" s="237"/>
      <c r="J303" s="434"/>
      <c r="K303" s="435"/>
      <c r="L303" s="436"/>
      <c r="M303" s="436"/>
      <c r="N303" s="300"/>
      <c r="O303" s="256"/>
    </row>
    <row r="304" spans="1:17" hidden="1" x14ac:dyDescent="0.2">
      <c r="A304" s="600"/>
      <c r="B304" s="395"/>
      <c r="C304" s="240"/>
      <c r="D304" s="601"/>
      <c r="E304" s="601"/>
      <c r="F304" s="601"/>
      <c r="G304" s="241"/>
      <c r="H304" s="241"/>
      <c r="I304" s="237"/>
      <c r="J304" s="434"/>
      <c r="K304" s="435"/>
      <c r="L304" s="436"/>
      <c r="M304" s="436"/>
      <c r="N304" s="300"/>
      <c r="O304" s="256"/>
    </row>
    <row r="305" spans="1:17" hidden="1" x14ac:dyDescent="0.2">
      <c r="A305" s="600"/>
      <c r="B305" s="395"/>
      <c r="C305" s="240"/>
      <c r="D305" s="601"/>
      <c r="E305" s="601"/>
      <c r="F305" s="601"/>
      <c r="G305" s="241"/>
      <c r="H305" s="241"/>
      <c r="I305" s="237"/>
      <c r="J305" s="434"/>
      <c r="K305" s="435"/>
      <c r="L305" s="436"/>
      <c r="M305" s="436"/>
      <c r="N305" s="300"/>
      <c r="O305" s="256"/>
    </row>
    <row r="306" spans="1:17" hidden="1" x14ac:dyDescent="0.2">
      <c r="A306" s="600"/>
      <c r="B306" s="395"/>
      <c r="C306" s="240"/>
      <c r="D306" s="601"/>
      <c r="E306" s="601"/>
      <c r="F306" s="601"/>
      <c r="G306" s="241"/>
      <c r="H306" s="241"/>
      <c r="I306" s="237"/>
      <c r="J306" s="434"/>
      <c r="K306" s="435"/>
      <c r="L306" s="436"/>
      <c r="M306" s="436"/>
      <c r="N306" s="300"/>
      <c r="O306" s="256"/>
    </row>
    <row r="307" spans="1:17" x14ac:dyDescent="0.2">
      <c r="A307" s="600"/>
      <c r="B307" s="601"/>
      <c r="C307" s="240"/>
      <c r="D307" s="601" t="s">
        <v>19</v>
      </c>
      <c r="E307" s="601" t="s">
        <v>183</v>
      </c>
      <c r="F307" s="601" t="s">
        <v>209</v>
      </c>
      <c r="G307" s="241" t="s">
        <v>208</v>
      </c>
      <c r="H307" s="241"/>
      <c r="I307" s="237">
        <f>+'[7]Egresos Programa II General'!C17-I392-I598</f>
        <v>2202101892.0641389</v>
      </c>
      <c r="J307" s="434"/>
      <c r="K307" s="435"/>
      <c r="L307" s="436"/>
      <c r="M307" s="436"/>
      <c r="N307" s="300"/>
      <c r="O307" s="256"/>
    </row>
    <row r="308" spans="1:17" x14ac:dyDescent="0.2">
      <c r="A308" s="600"/>
      <c r="B308" s="601"/>
      <c r="C308" s="240"/>
      <c r="D308" s="601"/>
      <c r="E308" s="601"/>
      <c r="F308" s="601"/>
      <c r="G308" s="241" t="s">
        <v>9</v>
      </c>
      <c r="H308" s="241"/>
      <c r="I308" s="237">
        <v>1247304464.4100001</v>
      </c>
      <c r="J308" s="434">
        <f>+I308</f>
        <v>1247304464.4100001</v>
      </c>
      <c r="K308" s="435"/>
      <c r="L308" s="436"/>
      <c r="M308" s="436"/>
      <c r="N308" s="300"/>
      <c r="O308" s="256"/>
    </row>
    <row r="309" spans="1:17" x14ac:dyDescent="0.2">
      <c r="A309" s="600"/>
      <c r="B309" s="601"/>
      <c r="C309" s="240"/>
      <c r="D309" s="601"/>
      <c r="E309" s="601"/>
      <c r="F309" s="601"/>
      <c r="G309" s="241" t="s">
        <v>10</v>
      </c>
      <c r="H309" s="241"/>
      <c r="I309" s="237">
        <v>582419994.97000003</v>
      </c>
      <c r="J309" s="434">
        <f>+I309</f>
        <v>582419994.97000003</v>
      </c>
      <c r="K309" s="435"/>
      <c r="L309" s="436"/>
      <c r="M309" s="436"/>
      <c r="N309" s="300"/>
      <c r="O309" s="256"/>
    </row>
    <row r="310" spans="1:17" x14ac:dyDescent="0.2">
      <c r="A310" s="600"/>
      <c r="B310" s="601"/>
      <c r="C310" s="240"/>
      <c r="D310" s="601"/>
      <c r="E310" s="601"/>
      <c r="F310" s="601"/>
      <c r="G310" s="241" t="s">
        <v>11</v>
      </c>
      <c r="H310" s="241"/>
      <c r="I310" s="237">
        <v>35900000</v>
      </c>
      <c r="J310" s="434">
        <f>+I310</f>
        <v>35900000</v>
      </c>
      <c r="K310" s="435"/>
      <c r="L310" s="436"/>
      <c r="M310" s="436"/>
      <c r="N310" s="300"/>
      <c r="O310" s="256"/>
    </row>
    <row r="311" spans="1:17" x14ac:dyDescent="0.2">
      <c r="A311" s="600"/>
      <c r="B311" s="601"/>
      <c r="C311" s="240"/>
      <c r="D311" s="601"/>
      <c r="E311" s="601"/>
      <c r="F311" s="601"/>
      <c r="G311" s="241" t="s">
        <v>12</v>
      </c>
      <c r="H311" s="241"/>
      <c r="I311" s="237">
        <v>31714703.859999999</v>
      </c>
      <c r="J311" s="434">
        <f>+I311</f>
        <v>31714703.859999999</v>
      </c>
      <c r="K311" s="435"/>
      <c r="L311" s="436"/>
      <c r="M311" s="436"/>
      <c r="N311" s="300"/>
      <c r="O311" s="256"/>
    </row>
    <row r="312" spans="1:17" x14ac:dyDescent="0.2">
      <c r="A312" s="600"/>
      <c r="B312" s="601"/>
      <c r="C312" s="240"/>
      <c r="D312" s="601"/>
      <c r="E312" s="601"/>
      <c r="F312" s="601"/>
      <c r="G312" s="241" t="s">
        <v>13</v>
      </c>
      <c r="H312" s="241"/>
      <c r="I312" s="237">
        <f>363000000-85474822.76</f>
        <v>277525177.24000001</v>
      </c>
      <c r="J312" s="434"/>
      <c r="K312" s="435">
        <f>+I312</f>
        <v>277525177.24000001</v>
      </c>
      <c r="L312" s="436"/>
      <c r="M312" s="436"/>
      <c r="N312" s="300"/>
      <c r="O312" s="256"/>
    </row>
    <row r="313" spans="1:17" ht="12.75" customHeight="1" x14ac:dyDescent="0.2">
      <c r="A313" s="600"/>
      <c r="B313" s="309"/>
      <c r="C313" s="240"/>
      <c r="D313" s="601"/>
      <c r="E313" s="601"/>
      <c r="F313" s="601"/>
      <c r="G313" s="241" t="s">
        <v>644</v>
      </c>
      <c r="H313" s="310"/>
      <c r="I313" s="242">
        <v>27237551.579999998</v>
      </c>
      <c r="J313" s="243"/>
      <c r="K313" s="244"/>
      <c r="L313" s="245"/>
      <c r="M313" s="245">
        <v>27237551.579999998</v>
      </c>
      <c r="N313" s="300"/>
      <c r="O313" s="256"/>
      <c r="P313" s="602"/>
      <c r="Q313" s="602"/>
    </row>
    <row r="314" spans="1:17" ht="24.75" hidden="1" customHeight="1" x14ac:dyDescent="0.2">
      <c r="A314" s="600"/>
      <c r="B314" s="601"/>
      <c r="C314" s="240"/>
      <c r="D314" s="601" t="s">
        <v>18</v>
      </c>
      <c r="E314" s="601" t="s">
        <v>182</v>
      </c>
      <c r="F314" s="601" t="s">
        <v>241</v>
      </c>
      <c r="G314" s="311" t="str">
        <f>+'[7]Egresos Programa III General'!B76</f>
        <v>Plan Reforestación</v>
      </c>
      <c r="H314" s="311"/>
      <c r="I314" s="300">
        <f>+'[7]Egresos Programa III General'!C76</f>
        <v>0</v>
      </c>
      <c r="J314" s="301"/>
      <c r="K314" s="302"/>
      <c r="L314" s="303"/>
      <c r="M314" s="303"/>
      <c r="N314" s="242"/>
      <c r="O314" s="256"/>
      <c r="P314" s="602"/>
      <c r="Q314" s="602"/>
    </row>
    <row r="315" spans="1:17" ht="12" hidden="1" customHeight="1" x14ac:dyDescent="0.2">
      <c r="A315" s="600"/>
      <c r="B315" s="309"/>
      <c r="C315" s="240"/>
      <c r="D315" s="601" t="s">
        <v>18</v>
      </c>
      <c r="E315" s="601" t="s">
        <v>182</v>
      </c>
      <c r="F315" s="601" t="s">
        <v>187</v>
      </c>
      <c r="G315" s="311" t="str">
        <f>+'[7]Egresos Programa III General'!B77</f>
        <v>Protección de Nciemntes</v>
      </c>
      <c r="H315" s="311"/>
      <c r="I315" s="300">
        <f>+'[7]Egresos Programa III General'!C77</f>
        <v>0</v>
      </c>
      <c r="J315" s="301"/>
      <c r="K315" s="302"/>
      <c r="L315" s="303"/>
      <c r="M315" s="303"/>
      <c r="N315" s="300"/>
      <c r="O315" s="256"/>
      <c r="P315" s="602"/>
      <c r="Q315" s="602"/>
    </row>
    <row r="316" spans="1:17" ht="12.75" hidden="1" customHeight="1" x14ac:dyDescent="0.2">
      <c r="A316" s="600"/>
      <c r="B316" s="601"/>
      <c r="C316" s="240"/>
      <c r="D316" s="601" t="s">
        <v>18</v>
      </c>
      <c r="E316" s="601" t="s">
        <v>182</v>
      </c>
      <c r="F316" s="601">
        <v>10</v>
      </c>
      <c r="G316" s="241" t="str">
        <f>+'[7]Egresos Programa III General'!B78</f>
        <v>Mejoras Sistema Tuetal Norte Sur y Calle Loria</v>
      </c>
      <c r="H316" s="241"/>
      <c r="I316" s="242">
        <f>+'[7]Egresos Programa III General'!C78</f>
        <v>0</v>
      </c>
      <c r="J316" s="243"/>
      <c r="K316" s="244"/>
      <c r="L316" s="245"/>
      <c r="M316" s="245"/>
      <c r="N316" s="237"/>
      <c r="O316" s="256"/>
    </row>
    <row r="317" spans="1:17" ht="30.75" customHeight="1" x14ac:dyDescent="0.2">
      <c r="A317" s="600"/>
      <c r="B317" s="309"/>
      <c r="C317" s="240"/>
      <c r="D317" s="601" t="s">
        <v>18</v>
      </c>
      <c r="E317" s="601" t="s">
        <v>182</v>
      </c>
      <c r="F317" s="601" t="s">
        <v>193</v>
      </c>
      <c r="G317" s="310" t="str">
        <f>+'[7]Egresos Programa III General'!B79</f>
        <v>Plan Operación Mantenimiento y Des.Sistema de Acueducto 2018-2022</v>
      </c>
      <c r="H317" s="310"/>
      <c r="I317" s="316">
        <f>+'[7]Egresos Programa III General'!C79</f>
        <v>857898107.94000006</v>
      </c>
      <c r="J317" s="305"/>
      <c r="K317" s="306"/>
      <c r="L317" s="307"/>
      <c r="M317" s="307"/>
      <c r="N317" s="300"/>
      <c r="O317" s="256"/>
    </row>
    <row r="318" spans="1:17" hidden="1" x14ac:dyDescent="0.2">
      <c r="A318" s="600"/>
      <c r="B318" s="309"/>
      <c r="C318" s="240"/>
      <c r="D318" s="601"/>
      <c r="E318" s="601"/>
      <c r="F318" s="601"/>
      <c r="G318" s="241" t="s">
        <v>9</v>
      </c>
      <c r="H318" s="310"/>
      <c r="I318" s="304"/>
      <c r="J318" s="305"/>
      <c r="K318" s="306"/>
      <c r="L318" s="307"/>
      <c r="M318" s="307"/>
      <c r="N318" s="300"/>
      <c r="O318" s="256"/>
    </row>
    <row r="319" spans="1:17" x14ac:dyDescent="0.2">
      <c r="A319" s="600"/>
      <c r="B319" s="309"/>
      <c r="C319" s="240"/>
      <c r="D319" s="601"/>
      <c r="E319" s="601"/>
      <c r="F319" s="601"/>
      <c r="G319" s="241" t="s">
        <v>358</v>
      </c>
      <c r="H319" s="310"/>
      <c r="I319" s="304"/>
      <c r="J319" s="305"/>
      <c r="K319" s="306"/>
      <c r="L319" s="307"/>
      <c r="M319" s="307"/>
      <c r="N319" s="300"/>
      <c r="O319" s="256"/>
    </row>
    <row r="320" spans="1:17" x14ac:dyDescent="0.2">
      <c r="A320" s="600"/>
      <c r="B320" s="309"/>
      <c r="C320" s="240"/>
      <c r="D320" s="601"/>
      <c r="E320" s="601"/>
      <c r="F320" s="601"/>
      <c r="G320" s="241" t="s">
        <v>10</v>
      </c>
      <c r="H320" s="310"/>
      <c r="I320" s="304">
        <v>335800000</v>
      </c>
      <c r="J320" s="305"/>
      <c r="K320" s="306">
        <f>+I320</f>
        <v>335800000</v>
      </c>
      <c r="L320" s="307"/>
      <c r="M320" s="307"/>
      <c r="N320" s="300"/>
      <c r="O320" s="256"/>
    </row>
    <row r="321" spans="1:17" x14ac:dyDescent="0.2">
      <c r="A321" s="600"/>
      <c r="B321" s="309"/>
      <c r="C321" s="240"/>
      <c r="D321" s="601"/>
      <c r="E321" s="601"/>
      <c r="F321" s="601"/>
      <c r="G321" s="241" t="s">
        <v>11</v>
      </c>
      <c r="H321" s="310"/>
      <c r="I321" s="304">
        <v>310598107.94</v>
      </c>
      <c r="J321" s="305"/>
      <c r="K321" s="306">
        <f>+I321</f>
        <v>310598107.94</v>
      </c>
      <c r="L321" s="307"/>
      <c r="M321" s="307"/>
      <c r="N321" s="300"/>
      <c r="O321" s="256"/>
    </row>
    <row r="322" spans="1:17" ht="13.5" thickBot="1" x14ac:dyDescent="0.25">
      <c r="A322" s="600"/>
      <c r="B322" s="309"/>
      <c r="C322" s="240"/>
      <c r="D322" s="601"/>
      <c r="E322" s="601"/>
      <c r="F322" s="601"/>
      <c r="G322" s="241" t="s">
        <v>181</v>
      </c>
      <c r="H322" s="310"/>
      <c r="I322" s="304">
        <v>211500000</v>
      </c>
      <c r="J322" s="305"/>
      <c r="K322" s="306">
        <f>+I322</f>
        <v>211500000</v>
      </c>
      <c r="L322" s="307"/>
      <c r="M322" s="307"/>
      <c r="N322" s="300"/>
      <c r="O322" s="256"/>
    </row>
    <row r="323" spans="1:17" ht="30.75" hidden="1" customHeight="1" thickBot="1" x14ac:dyDescent="0.25">
      <c r="A323" s="600"/>
      <c r="B323" s="309"/>
      <c r="C323" s="240"/>
      <c r="D323" s="601"/>
      <c r="E323" s="601"/>
      <c r="F323" s="601"/>
      <c r="G323" s="310"/>
      <c r="H323" s="310"/>
      <c r="I323" s="304"/>
      <c r="J323" s="305"/>
      <c r="K323" s="306"/>
      <c r="L323" s="307"/>
      <c r="M323" s="307"/>
      <c r="N323" s="300"/>
      <c r="O323" s="256"/>
    </row>
    <row r="324" spans="1:17" s="239" customFormat="1" ht="13.5" thickBot="1" x14ac:dyDescent="0.25">
      <c r="A324" s="228" t="s">
        <v>180</v>
      </c>
      <c r="B324" s="229"/>
      <c r="C324" s="437">
        <f>SUM(C300:C317)</f>
        <v>3400000000</v>
      </c>
      <c r="D324" s="599"/>
      <c r="E324" s="599"/>
      <c r="F324" s="599"/>
      <c r="G324" s="231"/>
      <c r="H324" s="231"/>
      <c r="I324" s="438">
        <f>SUM(I300:I322)/2</f>
        <v>3400000000.002069</v>
      </c>
      <c r="J324" s="342"/>
      <c r="K324" s="343"/>
      <c r="L324" s="344"/>
      <c r="M324" s="344"/>
      <c r="N324" s="333">
        <f>+C324-I324</f>
        <v>-2.0689964294433594E-3</v>
      </c>
      <c r="O324" s="256"/>
      <c r="P324" s="800"/>
      <c r="Q324" s="335"/>
    </row>
    <row r="325" spans="1:17" x14ac:dyDescent="0.2">
      <c r="A325" s="387" t="s">
        <v>15</v>
      </c>
      <c r="B325" s="388"/>
      <c r="C325" s="389"/>
      <c r="D325" s="599"/>
      <c r="E325" s="599"/>
      <c r="F325" s="599"/>
      <c r="G325" s="231"/>
      <c r="H325" s="231"/>
      <c r="I325" s="232"/>
      <c r="J325" s="439"/>
      <c r="K325" s="302"/>
      <c r="L325" s="303"/>
      <c r="M325" s="303"/>
      <c r="N325" s="300"/>
      <c r="O325" s="256"/>
    </row>
    <row r="326" spans="1:17" x14ac:dyDescent="0.2">
      <c r="A326" s="600" t="str">
        <f>+'[7]Clasific. Económica de Ingresos'!A56</f>
        <v>1.3.1.2.04.01.1.0.000</v>
      </c>
      <c r="B326" s="395" t="s">
        <v>252</v>
      </c>
      <c r="C326" s="240">
        <f>SUM('[7]Clasific. Económica de Ingresos'!C56)</f>
        <v>321848927.95999998</v>
      </c>
      <c r="D326" s="601"/>
      <c r="E326" s="601"/>
      <c r="F326" s="601"/>
      <c r="G326" s="241"/>
      <c r="H326" s="241"/>
      <c r="I326" s="300"/>
      <c r="J326" s="439"/>
      <c r="K326" s="302"/>
      <c r="L326" s="303"/>
      <c r="M326" s="303"/>
      <c r="N326" s="300"/>
      <c r="O326" s="256"/>
    </row>
    <row r="327" spans="1:17" ht="13.5" thickBot="1" x14ac:dyDescent="0.25">
      <c r="A327" s="600"/>
      <c r="B327" s="601"/>
      <c r="C327" s="240"/>
      <c r="D327" s="601" t="s">
        <v>8</v>
      </c>
      <c r="E327" s="601" t="s">
        <v>184</v>
      </c>
      <c r="F327" s="601" t="s">
        <v>209</v>
      </c>
      <c r="G327" s="241" t="s">
        <v>236</v>
      </c>
      <c r="H327" s="241"/>
      <c r="I327" s="312">
        <f>+C326*10%</f>
        <v>32184892.796</v>
      </c>
      <c r="J327" s="440"/>
      <c r="K327" s="314"/>
      <c r="L327" s="315"/>
      <c r="M327" s="315"/>
      <c r="N327" s="442"/>
      <c r="O327" s="256"/>
    </row>
    <row r="328" spans="1:17" x14ac:dyDescent="0.2">
      <c r="A328" s="600"/>
      <c r="B328" s="601"/>
      <c r="C328" s="240"/>
      <c r="D328" s="601"/>
      <c r="E328" s="601"/>
      <c r="F328" s="601"/>
      <c r="G328" s="241" t="s">
        <v>9</v>
      </c>
      <c r="H328" s="241"/>
      <c r="I328" s="237">
        <v>32184892.800000001</v>
      </c>
      <c r="J328" s="440">
        <f>+I328</f>
        <v>32184892.800000001</v>
      </c>
      <c r="K328" s="314"/>
      <c r="L328" s="315"/>
      <c r="M328" s="315"/>
      <c r="N328" s="232"/>
      <c r="O328" s="256"/>
    </row>
    <row r="329" spans="1:17" x14ac:dyDescent="0.2">
      <c r="A329" s="600"/>
      <c r="B329" s="601"/>
      <c r="C329" s="240"/>
      <c r="D329" s="601"/>
      <c r="E329" s="601"/>
      <c r="F329" s="601"/>
      <c r="G329" s="241"/>
      <c r="H329" s="241"/>
      <c r="I329" s="237"/>
      <c r="J329" s="440"/>
      <c r="K329" s="314"/>
      <c r="L329" s="315"/>
      <c r="M329" s="315"/>
      <c r="N329" s="300"/>
      <c r="O329" s="256"/>
    </row>
    <row r="330" spans="1:17" ht="13.5" customHeight="1" x14ac:dyDescent="0.2">
      <c r="A330" s="600"/>
      <c r="B330" s="601"/>
      <c r="D330" s="601" t="s">
        <v>19</v>
      </c>
      <c r="E330" s="601" t="s">
        <v>189</v>
      </c>
      <c r="F330" s="601"/>
      <c r="G330" s="241" t="str">
        <f>+'[7]Egresos Programa II General'!B19</f>
        <v>Mercados, Plazas y Ferias</v>
      </c>
      <c r="H330" s="241"/>
      <c r="I330" s="312">
        <f>+'[7]Egresos Programa II General'!C19-I349-I484-I32</f>
        <v>289664035.16608584</v>
      </c>
      <c r="J330" s="440"/>
      <c r="K330" s="314"/>
      <c r="L330" s="315"/>
      <c r="M330" s="315"/>
      <c r="N330" s="242"/>
      <c r="O330" s="256"/>
      <c r="P330" s="792">
        <f>+I330+I349+I484</f>
        <v>294794035.16608584</v>
      </c>
    </row>
    <row r="331" spans="1:17" hidden="1" x14ac:dyDescent="0.2">
      <c r="A331" s="600"/>
      <c r="B331" s="601"/>
      <c r="C331" s="240"/>
      <c r="D331" s="601" t="s">
        <v>18</v>
      </c>
      <c r="E331" s="601" t="s">
        <v>184</v>
      </c>
      <c r="F331" s="601" t="s">
        <v>185</v>
      </c>
      <c r="G331" s="241" t="s">
        <v>251</v>
      </c>
      <c r="H331" s="241"/>
      <c r="I331" s="242"/>
      <c r="J331" s="444"/>
      <c r="K331" s="244"/>
      <c r="L331" s="245"/>
      <c r="M331" s="245"/>
      <c r="N331" s="247"/>
      <c r="O331" s="256"/>
    </row>
    <row r="332" spans="1:17" x14ac:dyDescent="0.2">
      <c r="A332" s="600"/>
      <c r="B332" s="601"/>
      <c r="C332" s="240"/>
      <c r="D332" s="601"/>
      <c r="E332" s="601"/>
      <c r="F332" s="601"/>
      <c r="G332" s="241" t="s">
        <v>9</v>
      </c>
      <c r="H332" s="241"/>
      <c r="I332" s="242">
        <f>146675332.7+2560000-3769870.03+101227.98</f>
        <v>145566690.64999998</v>
      </c>
      <c r="J332" s="444">
        <f>+I332</f>
        <v>145566690.64999998</v>
      </c>
      <c r="K332" s="244"/>
      <c r="L332" s="245"/>
      <c r="M332" s="245"/>
      <c r="N332" s="247"/>
      <c r="O332" s="256">
        <f>+I332+I33+I485</f>
        <v>175559452.63999999</v>
      </c>
    </row>
    <row r="333" spans="1:17" x14ac:dyDescent="0.2">
      <c r="A333" s="600"/>
      <c r="B333" s="601"/>
      <c r="C333" s="240"/>
      <c r="D333" s="601"/>
      <c r="E333" s="601"/>
      <c r="F333" s="601"/>
      <c r="G333" s="241" t="s">
        <v>359</v>
      </c>
      <c r="H333" s="241"/>
      <c r="I333" s="242">
        <f>109946084.33+3312618.13-101227.98</f>
        <v>113157474.47999999</v>
      </c>
      <c r="J333" s="444">
        <f>+I333</f>
        <v>113157474.47999999</v>
      </c>
      <c r="K333" s="244"/>
      <c r="L333" s="245"/>
      <c r="M333" s="245"/>
      <c r="N333" s="247"/>
      <c r="O333" s="256">
        <f>+I333+I34+I486</f>
        <v>121521041.58999999</v>
      </c>
    </row>
    <row r="334" spans="1:17" ht="13.5" thickBot="1" x14ac:dyDescent="0.25">
      <c r="A334" s="271"/>
      <c r="B334" s="272"/>
      <c r="C334" s="273"/>
      <c r="D334" s="272"/>
      <c r="E334" s="272"/>
      <c r="F334" s="272"/>
      <c r="G334" s="274" t="s">
        <v>11</v>
      </c>
      <c r="H334" s="274"/>
      <c r="I334" s="445">
        <v>12200000</v>
      </c>
      <c r="J334" s="446">
        <f>+I334</f>
        <v>12200000</v>
      </c>
      <c r="K334" s="447"/>
      <c r="L334" s="448"/>
      <c r="M334" s="448"/>
      <c r="N334" s="247"/>
      <c r="O334" s="256"/>
    </row>
    <row r="335" spans="1:17" x14ac:dyDescent="0.2">
      <c r="A335" s="600"/>
      <c r="B335" s="601"/>
      <c r="C335" s="240"/>
      <c r="D335" s="601"/>
      <c r="E335" s="601"/>
      <c r="F335" s="601"/>
      <c r="G335" s="241" t="s">
        <v>181</v>
      </c>
      <c r="H335" s="241"/>
      <c r="I335" s="242">
        <v>4600000</v>
      </c>
      <c r="J335" s="449"/>
      <c r="K335" s="450">
        <f>+I335</f>
        <v>4600000</v>
      </c>
      <c r="L335" s="451"/>
      <c r="M335" s="451"/>
      <c r="N335" s="247"/>
      <c r="O335" s="256"/>
    </row>
    <row r="336" spans="1:17" x14ac:dyDescent="0.2">
      <c r="A336" s="600"/>
      <c r="B336" s="601"/>
      <c r="C336" s="240"/>
      <c r="D336" s="601"/>
      <c r="E336" s="601"/>
      <c r="F336" s="601"/>
      <c r="G336" s="241" t="s">
        <v>14</v>
      </c>
      <c r="H336" s="241"/>
      <c r="I336" s="242">
        <f>11000000-I350</f>
        <v>10370000</v>
      </c>
      <c r="J336" s="444">
        <f>+I336</f>
        <v>10370000</v>
      </c>
      <c r="K336" s="244"/>
      <c r="L336" s="245"/>
      <c r="M336" s="245"/>
      <c r="N336" s="247"/>
      <c r="O336" s="256"/>
    </row>
    <row r="337" spans="1:17" x14ac:dyDescent="0.2">
      <c r="A337" s="600"/>
      <c r="B337" s="601"/>
      <c r="C337" s="240"/>
      <c r="D337" s="601"/>
      <c r="E337" s="601"/>
      <c r="F337" s="601"/>
      <c r="G337" s="241" t="s">
        <v>203</v>
      </c>
      <c r="H337" s="241"/>
      <c r="I337" s="242">
        <v>3769870.03</v>
      </c>
      <c r="J337" s="449"/>
      <c r="K337" s="450"/>
      <c r="L337" s="451"/>
      <c r="M337" s="451">
        <f>+I337</f>
        <v>3769870.03</v>
      </c>
      <c r="N337" s="247"/>
      <c r="O337" s="256"/>
    </row>
    <row r="338" spans="1:17" ht="13.5" thickBot="1" x14ac:dyDescent="0.25">
      <c r="A338" s="271"/>
      <c r="B338" s="272"/>
      <c r="C338" s="273"/>
      <c r="D338" s="272"/>
      <c r="E338" s="272"/>
      <c r="F338" s="272"/>
      <c r="G338" s="274"/>
      <c r="H338" s="274"/>
      <c r="I338" s="445"/>
      <c r="J338" s="444"/>
      <c r="K338" s="244"/>
      <c r="L338" s="245"/>
      <c r="M338" s="245"/>
      <c r="N338" s="247"/>
      <c r="O338" s="256"/>
    </row>
    <row r="339" spans="1:17" s="239" customFormat="1" ht="13.5" thickBot="1" x14ac:dyDescent="0.25">
      <c r="A339" s="452" t="s">
        <v>180</v>
      </c>
      <c r="B339" s="453"/>
      <c r="C339" s="454">
        <f>SUM(C326:C330)</f>
        <v>321848927.95999998</v>
      </c>
      <c r="D339" s="272"/>
      <c r="E339" s="272"/>
      <c r="F339" s="272"/>
      <c r="G339" s="274"/>
      <c r="H339" s="274"/>
      <c r="I339" s="455">
        <f>SUM(I327:I338)/2</f>
        <v>321848927.96104288</v>
      </c>
      <c r="J339" s="342"/>
      <c r="K339" s="343"/>
      <c r="L339" s="344"/>
      <c r="M339" s="344"/>
      <c r="N339" s="333">
        <f>+C339-I339</f>
        <v>-1.0429024696350098E-3</v>
      </c>
      <c r="O339" s="256"/>
      <c r="P339" s="800"/>
      <c r="Q339" s="335"/>
    </row>
    <row r="340" spans="1:17" s="358" customFormat="1" ht="12.75" hidden="1" customHeight="1" x14ac:dyDescent="0.2">
      <c r="A340" s="359"/>
      <c r="B340" s="362"/>
      <c r="C340" s="361"/>
      <c r="D340" s="362"/>
      <c r="E340" s="362"/>
      <c r="F340" s="362"/>
      <c r="G340" s="363"/>
      <c r="H340" s="363"/>
      <c r="I340" s="253"/>
      <c r="J340" s="372"/>
      <c r="K340" s="373"/>
      <c r="L340" s="374"/>
      <c r="M340" s="374"/>
      <c r="N340" s="253"/>
      <c r="O340" s="256"/>
      <c r="P340" s="798"/>
      <c r="Q340" s="357"/>
    </row>
    <row r="341" spans="1:17" s="358" customFormat="1" ht="12.75" hidden="1" customHeight="1" x14ac:dyDescent="0.2">
      <c r="A341" s="359" t="str">
        <f>+'[7]Clasific. Económica de Ingresos'!A57</f>
        <v>1.3.1.2.04.01.2.0.000</v>
      </c>
      <c r="B341" s="363" t="s">
        <v>250</v>
      </c>
      <c r="C341" s="361">
        <f>SUM('[7]Clasific. Económica de Ingresos'!C57)</f>
        <v>0</v>
      </c>
      <c r="D341" s="362"/>
      <c r="E341" s="362"/>
      <c r="F341" s="362"/>
      <c r="G341" s="363"/>
      <c r="H341" s="363"/>
      <c r="I341" s="253"/>
      <c r="J341" s="372"/>
      <c r="K341" s="373"/>
      <c r="L341" s="374"/>
      <c r="M341" s="374"/>
      <c r="N341" s="356"/>
      <c r="O341" s="256"/>
      <c r="P341" s="798"/>
      <c r="Q341" s="357"/>
    </row>
    <row r="342" spans="1:17" s="358" customFormat="1" ht="13.5" hidden="1" customHeight="1" thickBot="1" x14ac:dyDescent="0.25">
      <c r="A342" s="359"/>
      <c r="B342" s="362"/>
      <c r="C342" s="361"/>
      <c r="D342" s="362" t="s">
        <v>18</v>
      </c>
      <c r="E342" s="362" t="s">
        <v>189</v>
      </c>
      <c r="F342" s="362"/>
      <c r="G342" s="363"/>
      <c r="H342" s="363"/>
      <c r="I342" s="253"/>
      <c r="J342" s="372"/>
      <c r="K342" s="373"/>
      <c r="L342" s="374"/>
      <c r="M342" s="374"/>
      <c r="N342" s="253"/>
      <c r="O342" s="256"/>
      <c r="P342" s="798"/>
      <c r="Q342" s="357"/>
    </row>
    <row r="343" spans="1:17" s="386" customFormat="1" ht="13.5" hidden="1" customHeight="1" thickBot="1" x14ac:dyDescent="0.25">
      <c r="A343" s="402" t="s">
        <v>180</v>
      </c>
      <c r="B343" s="403"/>
      <c r="C343" s="404">
        <f>SUM(C341:C342)</f>
        <v>0</v>
      </c>
      <c r="D343" s="405"/>
      <c r="E343" s="405"/>
      <c r="F343" s="405"/>
      <c r="G343" s="406"/>
      <c r="H343" s="406"/>
      <c r="I343" s="456">
        <f>SUM(I342:I342)</f>
        <v>0</v>
      </c>
      <c r="J343" s="372"/>
      <c r="K343" s="373"/>
      <c r="L343" s="374"/>
      <c r="M343" s="374"/>
      <c r="N343" s="383">
        <f>+C343-I343</f>
        <v>0</v>
      </c>
      <c r="O343" s="256"/>
      <c r="P343" s="801"/>
      <c r="Q343" s="385"/>
    </row>
    <row r="344" spans="1:17" x14ac:dyDescent="0.2">
      <c r="A344" s="432"/>
      <c r="B344" s="395"/>
      <c r="C344" s="394"/>
      <c r="D344" s="601"/>
      <c r="E344" s="601"/>
      <c r="F344" s="601"/>
      <c r="G344" s="241"/>
      <c r="H344" s="241"/>
      <c r="I344" s="300"/>
      <c r="J344" s="301"/>
      <c r="K344" s="302"/>
      <c r="L344" s="303"/>
      <c r="M344" s="303"/>
      <c r="N344" s="300"/>
      <c r="O344" s="256"/>
    </row>
    <row r="345" spans="1:17" x14ac:dyDescent="0.2">
      <c r="A345" s="600" t="str">
        <f>+'[7]Clasific. Económica de Ingresos'!A58</f>
        <v>1.3.1.2.04.09.0.0.000</v>
      </c>
      <c r="B345" s="601" t="s">
        <v>249</v>
      </c>
      <c r="C345" s="240">
        <f>SUM('[7]Clasific. Económica de Ingresos'!C58)</f>
        <v>700000</v>
      </c>
      <c r="D345" s="601"/>
      <c r="E345" s="601"/>
      <c r="F345" s="601"/>
      <c r="G345" s="241"/>
      <c r="H345" s="241"/>
      <c r="I345" s="300"/>
      <c r="J345" s="301"/>
      <c r="K345" s="302"/>
      <c r="L345" s="303"/>
      <c r="M345" s="303"/>
      <c r="N345" s="300"/>
      <c r="O345" s="256"/>
    </row>
    <row r="346" spans="1:17" x14ac:dyDescent="0.2">
      <c r="A346" s="600"/>
      <c r="B346" s="601"/>
      <c r="C346" s="240"/>
      <c r="D346" s="601" t="s">
        <v>8</v>
      </c>
      <c r="E346" s="601" t="s">
        <v>184</v>
      </c>
      <c r="F346" s="601" t="s">
        <v>209</v>
      </c>
      <c r="G346" s="241" t="s">
        <v>236</v>
      </c>
      <c r="H346" s="241"/>
      <c r="I346" s="312">
        <f>+C345*10%</f>
        <v>70000</v>
      </c>
      <c r="J346" s="434"/>
      <c r="K346" s="435"/>
      <c r="L346" s="436"/>
      <c r="M346" s="436"/>
      <c r="N346" s="300"/>
      <c r="O346" s="256"/>
    </row>
    <row r="347" spans="1:17" x14ac:dyDescent="0.2">
      <c r="A347" s="600"/>
      <c r="B347" s="601"/>
      <c r="C347" s="240"/>
      <c r="D347" s="601"/>
      <c r="E347" s="601"/>
      <c r="F347" s="601"/>
      <c r="G347" s="241" t="s">
        <v>9</v>
      </c>
      <c r="H347" s="241"/>
      <c r="I347" s="237">
        <v>70000</v>
      </c>
      <c r="J347" s="434">
        <f>+I347</f>
        <v>70000</v>
      </c>
      <c r="K347" s="435"/>
      <c r="L347" s="436"/>
      <c r="M347" s="436"/>
      <c r="N347" s="300"/>
      <c r="O347" s="256"/>
    </row>
    <row r="348" spans="1:17" x14ac:dyDescent="0.2">
      <c r="A348" s="600"/>
      <c r="B348" s="601"/>
      <c r="C348" s="240"/>
      <c r="D348" s="601"/>
      <c r="E348" s="601"/>
      <c r="F348" s="601"/>
      <c r="G348" s="241"/>
      <c r="H348" s="241"/>
      <c r="I348" s="237"/>
      <c r="J348" s="434"/>
      <c r="K348" s="435"/>
      <c r="L348" s="436"/>
      <c r="M348" s="436"/>
      <c r="N348" s="300"/>
      <c r="O348" s="256"/>
    </row>
    <row r="349" spans="1:17" x14ac:dyDescent="0.2">
      <c r="A349" s="600"/>
      <c r="B349" s="601"/>
      <c r="C349" s="240"/>
      <c r="D349" s="601" t="s">
        <v>19</v>
      </c>
      <c r="E349" s="601" t="s">
        <v>189</v>
      </c>
      <c r="F349" s="601"/>
      <c r="G349" s="241" t="str">
        <f>+'[7]Egresos Programa II General'!B19</f>
        <v>Mercados, Plazas y Ferias</v>
      </c>
      <c r="H349" s="241"/>
      <c r="I349" s="457">
        <v>630000</v>
      </c>
      <c r="J349" s="243"/>
      <c r="K349" s="244"/>
      <c r="L349" s="245"/>
      <c r="M349" s="245"/>
      <c r="N349" s="242"/>
      <c r="O349" s="256"/>
    </row>
    <row r="350" spans="1:17" x14ac:dyDescent="0.2">
      <c r="A350" s="600"/>
      <c r="B350" s="601"/>
      <c r="C350" s="240"/>
      <c r="D350" s="601"/>
      <c r="E350" s="601"/>
      <c r="F350" s="601"/>
      <c r="G350" s="241" t="s">
        <v>14</v>
      </c>
      <c r="H350" s="241"/>
      <c r="I350" s="242">
        <v>630000</v>
      </c>
      <c r="J350" s="243">
        <f>+I350</f>
        <v>630000</v>
      </c>
      <c r="K350" s="244"/>
      <c r="L350" s="245"/>
      <c r="M350" s="245"/>
      <c r="N350" s="242"/>
      <c r="O350" s="256"/>
    </row>
    <row r="351" spans="1:17" ht="13.5" thickBot="1" x14ac:dyDescent="0.25">
      <c r="A351" s="600"/>
      <c r="B351" s="601"/>
      <c r="C351" s="240"/>
      <c r="D351" s="601"/>
      <c r="E351" s="601"/>
      <c r="F351" s="601"/>
      <c r="G351" s="241"/>
      <c r="H351" s="241"/>
      <c r="I351" s="242"/>
      <c r="J351" s="243"/>
      <c r="K351" s="244"/>
      <c r="L351" s="245"/>
      <c r="M351" s="245"/>
      <c r="N351" s="242"/>
      <c r="O351" s="256"/>
    </row>
    <row r="352" spans="1:17" s="239" customFormat="1" ht="13.5" thickBot="1" x14ac:dyDescent="0.25">
      <c r="A352" s="323" t="s">
        <v>180</v>
      </c>
      <c r="B352" s="324"/>
      <c r="C352" s="325">
        <f>SUM(C345:C349)</f>
        <v>700000</v>
      </c>
      <c r="D352" s="326"/>
      <c r="E352" s="326"/>
      <c r="F352" s="326"/>
      <c r="G352" s="327"/>
      <c r="H352" s="327"/>
      <c r="I352" s="341">
        <f>SUM(I346:I351)/2</f>
        <v>700000</v>
      </c>
      <c r="J352" s="342"/>
      <c r="K352" s="343"/>
      <c r="L352" s="344"/>
      <c r="M352" s="344"/>
      <c r="N352" s="333">
        <f>+C352-I352</f>
        <v>0</v>
      </c>
      <c r="O352" s="256"/>
      <c r="P352" s="800"/>
      <c r="Q352" s="335"/>
    </row>
    <row r="353" spans="1:15" x14ac:dyDescent="0.2">
      <c r="A353" s="432"/>
      <c r="B353" s="395"/>
      <c r="C353" s="394"/>
      <c r="D353" s="601"/>
      <c r="E353" s="601"/>
      <c r="F353" s="601"/>
      <c r="G353" s="241"/>
      <c r="H353" s="241"/>
      <c r="I353" s="300"/>
      <c r="J353" s="301"/>
      <c r="K353" s="302"/>
      <c r="L353" s="303"/>
      <c r="M353" s="303"/>
      <c r="N353" s="300"/>
      <c r="O353" s="256"/>
    </row>
    <row r="354" spans="1:15" x14ac:dyDescent="0.2">
      <c r="A354" s="600" t="str">
        <f>+'[7]Clasific. Económica de Ingresos'!A61</f>
        <v>1.3.1.2.05.01.1.0.000</v>
      </c>
      <c r="B354" s="601" t="s">
        <v>248</v>
      </c>
      <c r="C354" s="240">
        <f>SUM('[7]Clasific. Económica de Ingresos'!C61)</f>
        <v>840000000</v>
      </c>
      <c r="D354" s="601"/>
      <c r="E354" s="601"/>
      <c r="F354" s="601"/>
      <c r="G354" s="241"/>
      <c r="H354" s="241"/>
      <c r="I354" s="300"/>
      <c r="J354" s="301"/>
      <c r="K354" s="302"/>
      <c r="L354" s="303"/>
      <c r="M354" s="303"/>
      <c r="N354" s="300"/>
      <c r="O354" s="256"/>
    </row>
    <row r="355" spans="1:15" ht="12" customHeight="1" x14ac:dyDescent="0.2">
      <c r="A355" s="600"/>
      <c r="B355" s="601"/>
      <c r="C355" s="240"/>
      <c r="D355" s="601" t="s">
        <v>8</v>
      </c>
      <c r="E355" s="601" t="s">
        <v>184</v>
      </c>
      <c r="F355" s="601" t="s">
        <v>209</v>
      </c>
      <c r="G355" s="241" t="s">
        <v>236</v>
      </c>
      <c r="H355" s="241"/>
      <c r="I355" s="312">
        <f>+C354*10%</f>
        <v>84000000</v>
      </c>
      <c r="J355" s="434"/>
      <c r="K355" s="435"/>
      <c r="L355" s="436"/>
      <c r="M355" s="436"/>
      <c r="N355" s="300"/>
      <c r="O355" s="256"/>
    </row>
    <row r="356" spans="1:15" ht="12" customHeight="1" x14ac:dyDescent="0.2">
      <c r="A356" s="600"/>
      <c r="B356" s="601"/>
      <c r="C356" s="240"/>
      <c r="D356" s="601"/>
      <c r="E356" s="601"/>
      <c r="F356" s="601"/>
      <c r="G356" s="241" t="s">
        <v>9</v>
      </c>
      <c r="H356" s="241"/>
      <c r="I356" s="237">
        <v>84000000</v>
      </c>
      <c r="J356" s="434">
        <f>+I356</f>
        <v>84000000</v>
      </c>
      <c r="K356" s="435"/>
      <c r="L356" s="436"/>
      <c r="M356" s="436"/>
      <c r="N356" s="300"/>
      <c r="O356" s="256"/>
    </row>
    <row r="357" spans="1:15" ht="12" customHeight="1" x14ac:dyDescent="0.2">
      <c r="A357" s="600"/>
      <c r="B357" s="601"/>
      <c r="C357" s="240"/>
      <c r="D357" s="601"/>
      <c r="E357" s="601"/>
      <c r="F357" s="601"/>
      <c r="G357" s="241"/>
      <c r="H357" s="241"/>
      <c r="I357" s="237"/>
      <c r="J357" s="434"/>
      <c r="K357" s="435"/>
      <c r="L357" s="436"/>
      <c r="M357" s="436"/>
      <c r="N357" s="300"/>
      <c r="O357" s="256">
        <f>SUM(I359:I363)</f>
        <v>564650713.45000005</v>
      </c>
    </row>
    <row r="358" spans="1:15" x14ac:dyDescent="0.2">
      <c r="A358" s="600"/>
      <c r="B358" s="601"/>
      <c r="C358" s="240"/>
      <c r="D358" s="601" t="s">
        <v>19</v>
      </c>
      <c r="E358" s="601">
        <v>13</v>
      </c>
      <c r="F358" s="601"/>
      <c r="G358" s="241" t="str">
        <f>+'[7]Egresos Programa II General'!B27</f>
        <v>Alcantarillados Sanitarios</v>
      </c>
      <c r="H358" s="241"/>
      <c r="I358" s="312">
        <f>+'[7]Egresos Programa II General'!C27-I614-I55</f>
        <v>564650713.45130992</v>
      </c>
      <c r="J358" s="434"/>
      <c r="K358" s="435"/>
      <c r="L358" s="436"/>
      <c r="M358" s="436"/>
      <c r="N358" s="242"/>
      <c r="O358" s="256"/>
    </row>
    <row r="359" spans="1:15" x14ac:dyDescent="0.2">
      <c r="A359" s="600"/>
      <c r="B359" s="601"/>
      <c r="C359" s="240"/>
      <c r="D359" s="601"/>
      <c r="E359" s="601"/>
      <c r="F359" s="601"/>
      <c r="G359" s="241" t="s">
        <v>9</v>
      </c>
      <c r="H359" s="241"/>
      <c r="I359" s="312">
        <v>203701287.66</v>
      </c>
      <c r="J359" s="434">
        <f>+I359</f>
        <v>203701287.66</v>
      </c>
      <c r="K359" s="435"/>
      <c r="L359" s="436"/>
      <c r="M359" s="436"/>
      <c r="N359" s="242"/>
      <c r="O359" s="256"/>
    </row>
    <row r="360" spans="1:15" x14ac:dyDescent="0.2">
      <c r="A360" s="600"/>
      <c r="B360" s="601"/>
      <c r="C360" s="240"/>
      <c r="D360" s="601"/>
      <c r="E360" s="601"/>
      <c r="F360" s="601"/>
      <c r="G360" s="241" t="s">
        <v>10</v>
      </c>
      <c r="H360" s="241"/>
      <c r="I360" s="312">
        <v>91400532.120000005</v>
      </c>
      <c r="J360" s="434">
        <f>+I360</f>
        <v>91400532.120000005</v>
      </c>
      <c r="K360" s="435"/>
      <c r="L360" s="436"/>
      <c r="M360" s="436"/>
      <c r="N360" s="242"/>
      <c r="O360" s="256"/>
    </row>
    <row r="361" spans="1:15" x14ac:dyDescent="0.2">
      <c r="A361" s="600"/>
      <c r="B361" s="601"/>
      <c r="C361" s="240"/>
      <c r="D361" s="601"/>
      <c r="E361" s="601"/>
      <c r="F361" s="601"/>
      <c r="G361" s="241" t="s">
        <v>14</v>
      </c>
      <c r="H361" s="241"/>
      <c r="I361" s="312">
        <v>6500000</v>
      </c>
      <c r="J361" s="434">
        <f>+I361</f>
        <v>6500000</v>
      </c>
      <c r="K361" s="435"/>
      <c r="L361" s="436"/>
      <c r="M361" s="436"/>
      <c r="N361" s="242"/>
      <c r="O361" s="256"/>
    </row>
    <row r="362" spans="1:15" x14ac:dyDescent="0.2">
      <c r="A362" s="600"/>
      <c r="B362" s="601"/>
      <c r="C362" s="240"/>
      <c r="D362" s="601"/>
      <c r="E362" s="601"/>
      <c r="F362" s="601"/>
      <c r="G362" s="241" t="s">
        <v>200</v>
      </c>
      <c r="H362" s="241"/>
      <c r="I362" s="312">
        <v>257996698.34</v>
      </c>
      <c r="J362" s="434"/>
      <c r="K362" s="435"/>
      <c r="L362" s="436">
        <f>+I362</f>
        <v>257996698.34</v>
      </c>
      <c r="M362" s="436"/>
      <c r="N362" s="242"/>
      <c r="O362" s="256"/>
    </row>
    <row r="363" spans="1:15" x14ac:dyDescent="0.2">
      <c r="A363" s="600"/>
      <c r="B363" s="601"/>
      <c r="C363" s="240"/>
      <c r="D363" s="601"/>
      <c r="E363" s="601"/>
      <c r="F363" s="601"/>
      <c r="G363" s="241" t="s">
        <v>203</v>
      </c>
      <c r="H363" s="241"/>
      <c r="I363" s="312">
        <v>5052195.33</v>
      </c>
      <c r="J363" s="434"/>
      <c r="K363" s="435"/>
      <c r="L363" s="436"/>
      <c r="M363" s="436">
        <f>+I363</f>
        <v>5052195.33</v>
      </c>
      <c r="N363" s="242"/>
      <c r="O363" s="256"/>
    </row>
    <row r="364" spans="1:15" x14ac:dyDescent="0.2">
      <c r="A364" s="600"/>
      <c r="B364" s="601"/>
      <c r="C364" s="240"/>
      <c r="D364" s="601"/>
      <c r="E364" s="601"/>
      <c r="F364" s="601"/>
      <c r="G364" s="241"/>
      <c r="H364" s="241"/>
      <c r="I364" s="312"/>
      <c r="J364" s="434"/>
      <c r="K364" s="435"/>
      <c r="L364" s="436"/>
      <c r="M364" s="436"/>
      <c r="N364" s="242"/>
      <c r="O364" s="256"/>
    </row>
    <row r="365" spans="1:15" ht="38.25" x14ac:dyDescent="0.2">
      <c r="A365" s="600"/>
      <c r="B365" s="309"/>
      <c r="C365" s="240"/>
      <c r="D365" s="601" t="s">
        <v>18</v>
      </c>
      <c r="E365" s="601" t="s">
        <v>182</v>
      </c>
      <c r="F365" s="601" t="s">
        <v>191</v>
      </c>
      <c r="G365" s="295" t="str">
        <f>+'[7]Egresos Programa III General'!B80</f>
        <v>Plan Operación Mantenimiento y Desarrollo del Sistema de Recolección y Tratamiemto de Aguas Residuales</v>
      </c>
      <c r="H365" s="295"/>
      <c r="I365" s="457">
        <f>+'[7]Egresos Programa III General'!C80</f>
        <v>191349286.55000001</v>
      </c>
      <c r="J365" s="301"/>
      <c r="K365" s="302"/>
      <c r="L365" s="303"/>
      <c r="M365" s="303"/>
      <c r="N365" s="300"/>
      <c r="O365" s="256"/>
    </row>
    <row r="366" spans="1:15" x14ac:dyDescent="0.2">
      <c r="A366" s="600"/>
      <c r="B366" s="309"/>
      <c r="C366" s="240"/>
      <c r="D366" s="601"/>
      <c r="E366" s="601"/>
      <c r="F366" s="601"/>
      <c r="G366" s="295" t="s">
        <v>358</v>
      </c>
      <c r="H366" s="295"/>
      <c r="I366" s="457"/>
      <c r="J366" s="301"/>
      <c r="K366" s="302"/>
      <c r="L366" s="303"/>
      <c r="M366" s="303"/>
      <c r="N366" s="300"/>
      <c r="O366" s="256"/>
    </row>
    <row r="367" spans="1:15" x14ac:dyDescent="0.2">
      <c r="A367" s="600"/>
      <c r="B367" s="309"/>
      <c r="C367" s="240"/>
      <c r="D367" s="601"/>
      <c r="E367" s="601"/>
      <c r="F367" s="601"/>
      <c r="G367" s="241" t="s">
        <v>10</v>
      </c>
      <c r="H367" s="295"/>
      <c r="I367" s="457">
        <v>121249286.55</v>
      </c>
      <c r="J367" s="301">
        <f>+I367</f>
        <v>121249286.55</v>
      </c>
      <c r="K367" s="302"/>
      <c r="L367" s="303"/>
      <c r="M367" s="303"/>
      <c r="N367" s="300"/>
      <c r="O367" s="256"/>
    </row>
    <row r="368" spans="1:15" x14ac:dyDescent="0.2">
      <c r="A368" s="600"/>
      <c r="B368" s="309"/>
      <c r="C368" s="240"/>
      <c r="D368" s="601"/>
      <c r="E368" s="601"/>
      <c r="F368" s="601"/>
      <c r="G368" s="241" t="s">
        <v>11</v>
      </c>
      <c r="H368" s="295"/>
      <c r="I368" s="457">
        <v>53600000</v>
      </c>
      <c r="J368" s="301">
        <f>+I368</f>
        <v>53600000</v>
      </c>
      <c r="K368" s="302"/>
      <c r="L368" s="303"/>
      <c r="M368" s="303"/>
      <c r="N368" s="300"/>
      <c r="O368" s="256"/>
    </row>
    <row r="369" spans="1:17" x14ac:dyDescent="0.2">
      <c r="A369" s="600"/>
      <c r="B369" s="309"/>
      <c r="C369" s="240"/>
      <c r="D369" s="601"/>
      <c r="E369" s="601"/>
      <c r="F369" s="601"/>
      <c r="G369" s="241" t="s">
        <v>181</v>
      </c>
      <c r="H369" s="295"/>
      <c r="I369" s="457">
        <v>16500000</v>
      </c>
      <c r="J369" s="301"/>
      <c r="K369" s="302">
        <f>+I369</f>
        <v>16500000</v>
      </c>
      <c r="L369" s="303"/>
      <c r="M369" s="303"/>
      <c r="N369" s="300"/>
      <c r="O369" s="256"/>
    </row>
    <row r="370" spans="1:17" ht="13.5" thickBot="1" x14ac:dyDescent="0.25">
      <c r="A370" s="600"/>
      <c r="B370" s="309"/>
      <c r="C370" s="240"/>
      <c r="D370" s="601"/>
      <c r="E370" s="601"/>
      <c r="F370" s="601"/>
      <c r="G370" s="295"/>
      <c r="H370" s="295"/>
      <c r="I370" s="457"/>
      <c r="J370" s="301"/>
      <c r="K370" s="302"/>
      <c r="L370" s="303"/>
      <c r="M370" s="303"/>
      <c r="N370" s="300"/>
      <c r="O370" s="256"/>
    </row>
    <row r="371" spans="1:17" s="239" customFormat="1" ht="12" customHeight="1" thickBot="1" x14ac:dyDescent="0.25">
      <c r="A371" s="323" t="s">
        <v>180</v>
      </c>
      <c r="B371" s="324"/>
      <c r="C371" s="325">
        <f>SUM(C354:C365)</f>
        <v>840000000</v>
      </c>
      <c r="D371" s="326"/>
      <c r="E371" s="326"/>
      <c r="F371" s="326"/>
      <c r="G371" s="327"/>
      <c r="H371" s="327"/>
      <c r="I371" s="341">
        <f>SUM(I355:I370)/2</f>
        <v>840000000.00065482</v>
      </c>
      <c r="J371" s="342"/>
      <c r="K371" s="343"/>
      <c r="L371" s="344"/>
      <c r="M371" s="344"/>
      <c r="N371" s="333">
        <f>+C371-I371</f>
        <v>-6.5481662750244141E-4</v>
      </c>
      <c r="O371" s="256"/>
      <c r="P371" s="800"/>
      <c r="Q371" s="335"/>
    </row>
    <row r="372" spans="1:17" ht="12" customHeight="1" x14ac:dyDescent="0.2">
      <c r="A372" s="432"/>
      <c r="B372" s="395"/>
      <c r="C372" s="394"/>
      <c r="D372" s="601"/>
      <c r="E372" s="601"/>
      <c r="F372" s="601"/>
      <c r="G372" s="241"/>
      <c r="H372" s="241"/>
      <c r="I372" s="300"/>
      <c r="J372" s="301"/>
      <c r="K372" s="302"/>
      <c r="L372" s="303"/>
      <c r="M372" s="303"/>
      <c r="N372" s="300"/>
      <c r="O372" s="256"/>
    </row>
    <row r="373" spans="1:17" ht="12" customHeight="1" x14ac:dyDescent="0.2">
      <c r="A373" s="600" t="str">
        <f>+'[7]Clasific. Económica de Ingresos'!A68</f>
        <v>1.3.1.2.05.04.2.0.000</v>
      </c>
      <c r="B373" s="601" t="s">
        <v>247</v>
      </c>
      <c r="C373" s="240">
        <f>SUM('[7]Clasific. Económica de Ingresos'!C62)</f>
        <v>875000000</v>
      </c>
      <c r="D373" s="601"/>
      <c r="E373" s="601"/>
      <c r="F373" s="601"/>
      <c r="G373" s="241"/>
      <c r="H373" s="241"/>
      <c r="I373" s="300"/>
      <c r="J373" s="301"/>
      <c r="K373" s="302"/>
      <c r="L373" s="303"/>
      <c r="M373" s="303"/>
      <c r="N373" s="300"/>
      <c r="O373" s="256"/>
    </row>
    <row r="374" spans="1:17" x14ac:dyDescent="0.2">
      <c r="A374" s="600"/>
      <c r="B374" s="601"/>
      <c r="C374" s="240"/>
      <c r="D374" s="601" t="s">
        <v>8</v>
      </c>
      <c r="E374" s="601" t="s">
        <v>184</v>
      </c>
      <c r="F374" s="601" t="s">
        <v>209</v>
      </c>
      <c r="G374" s="241" t="s">
        <v>236</v>
      </c>
      <c r="H374" s="241"/>
      <c r="I374" s="312">
        <f>+C373*10%</f>
        <v>87500000</v>
      </c>
      <c r="J374" s="434"/>
      <c r="K374" s="435"/>
      <c r="L374" s="436"/>
      <c r="M374" s="436"/>
      <c r="N374" s="300"/>
      <c r="O374" s="256"/>
    </row>
    <row r="375" spans="1:17" x14ac:dyDescent="0.2">
      <c r="A375" s="600"/>
      <c r="B375" s="601"/>
      <c r="C375" s="240"/>
      <c r="D375" s="601"/>
      <c r="E375" s="601"/>
      <c r="F375" s="601"/>
      <c r="G375" s="241" t="s">
        <v>9</v>
      </c>
      <c r="H375" s="241"/>
      <c r="I375" s="237">
        <v>87500000</v>
      </c>
      <c r="J375" s="434">
        <f>+I375</f>
        <v>87500000</v>
      </c>
      <c r="K375" s="435"/>
      <c r="L375" s="436"/>
      <c r="M375" s="436"/>
      <c r="N375" s="300"/>
      <c r="O375" s="256"/>
    </row>
    <row r="376" spans="1:17" x14ac:dyDescent="0.2">
      <c r="A376" s="600"/>
      <c r="B376" s="601"/>
      <c r="C376" s="240"/>
      <c r="D376" s="601"/>
      <c r="E376" s="601"/>
      <c r="F376" s="601"/>
      <c r="G376" s="241"/>
      <c r="H376" s="241"/>
      <c r="I376" s="237"/>
      <c r="J376" s="434"/>
      <c r="K376" s="435"/>
      <c r="L376" s="436"/>
      <c r="M376" s="436"/>
      <c r="N376" s="300"/>
      <c r="O376" s="256"/>
    </row>
    <row r="377" spans="1:17" x14ac:dyDescent="0.2">
      <c r="A377" s="600"/>
      <c r="B377" s="601"/>
      <c r="C377" s="240"/>
      <c r="D377" s="601" t="s">
        <v>19</v>
      </c>
      <c r="E377" s="601">
        <v>30</v>
      </c>
      <c r="F377" s="601"/>
      <c r="G377" s="241" t="str">
        <f>+'[7]Egresos Programa II General'!B43</f>
        <v>Alcantarillado Pluvial</v>
      </c>
      <c r="H377" s="241"/>
      <c r="I377" s="312">
        <f>'[7]Egresos Programa II General'!C43-I615-I111</f>
        <v>787500000.00147963</v>
      </c>
      <c r="J377" s="434"/>
      <c r="K377" s="435"/>
      <c r="L377" s="436"/>
      <c r="M377" s="436"/>
      <c r="N377" s="237"/>
      <c r="O377" s="256"/>
    </row>
    <row r="378" spans="1:17" x14ac:dyDescent="0.2">
      <c r="A378" s="600"/>
      <c r="B378" s="601"/>
      <c r="C378" s="240"/>
      <c r="D378" s="601"/>
      <c r="E378" s="601"/>
      <c r="F378" s="601"/>
      <c r="G378" s="241" t="s">
        <v>9</v>
      </c>
      <c r="H378" s="241"/>
      <c r="I378" s="237">
        <v>304225199.56999999</v>
      </c>
      <c r="J378" s="434">
        <f>+I378</f>
        <v>304225199.56999999</v>
      </c>
      <c r="K378" s="435"/>
      <c r="L378" s="436"/>
      <c r="M378" s="436"/>
      <c r="N378" s="237"/>
      <c r="O378" s="256"/>
    </row>
    <row r="379" spans="1:17" x14ac:dyDescent="0.2">
      <c r="A379" s="600"/>
      <c r="B379" s="601"/>
      <c r="C379" s="240"/>
      <c r="D379" s="601"/>
      <c r="E379" s="601"/>
      <c r="F379" s="601"/>
      <c r="G379" s="241" t="s">
        <v>360</v>
      </c>
      <c r="H379" s="241"/>
      <c r="I379" s="237">
        <v>195170834.34</v>
      </c>
      <c r="J379" s="434">
        <f>+I379</f>
        <v>195170834.34</v>
      </c>
      <c r="K379" s="435"/>
      <c r="L379" s="436"/>
      <c r="M379" s="436"/>
      <c r="N379" s="237"/>
      <c r="O379" s="256"/>
    </row>
    <row r="380" spans="1:17" x14ac:dyDescent="0.2">
      <c r="A380" s="600"/>
      <c r="B380" s="601"/>
      <c r="C380" s="240"/>
      <c r="D380" s="601"/>
      <c r="E380" s="601"/>
      <c r="F380" s="601"/>
      <c r="G380" s="241" t="s">
        <v>11</v>
      </c>
      <c r="H380" s="241"/>
      <c r="I380" s="237">
        <v>113051966.34</v>
      </c>
      <c r="J380" s="434">
        <f>+I380</f>
        <v>113051966.34</v>
      </c>
      <c r="K380" s="435"/>
      <c r="L380" s="436"/>
      <c r="M380" s="436"/>
      <c r="N380" s="237"/>
      <c r="O380" s="256"/>
    </row>
    <row r="381" spans="1:17" x14ac:dyDescent="0.2">
      <c r="A381" s="600"/>
      <c r="B381" s="601"/>
      <c r="C381" s="240"/>
      <c r="D381" s="601"/>
      <c r="E381" s="601"/>
      <c r="F381" s="601"/>
      <c r="G381" s="241" t="s">
        <v>201</v>
      </c>
      <c r="H381" s="241"/>
      <c r="I381" s="237">
        <v>4618134.1100000003</v>
      </c>
      <c r="J381" s="434">
        <v>4618134.1100000003</v>
      </c>
      <c r="K381" s="435"/>
      <c r="L381" s="436"/>
      <c r="M381" s="436"/>
      <c r="N381" s="237"/>
      <c r="O381" s="256"/>
    </row>
    <row r="382" spans="1:17" x14ac:dyDescent="0.2">
      <c r="A382" s="600"/>
      <c r="B382" s="601"/>
      <c r="C382" s="240"/>
      <c r="D382" s="601"/>
      <c r="E382" s="601"/>
      <c r="F382" s="601"/>
      <c r="G382" s="241" t="s">
        <v>181</v>
      </c>
      <c r="H382" s="241"/>
      <c r="I382" s="237">
        <v>12500000</v>
      </c>
      <c r="J382" s="434"/>
      <c r="K382" s="435">
        <f>+I382</f>
        <v>12500000</v>
      </c>
      <c r="L382" s="436"/>
      <c r="M382" s="436"/>
      <c r="N382" s="237"/>
      <c r="O382" s="256"/>
    </row>
    <row r="383" spans="1:17" x14ac:dyDescent="0.2">
      <c r="A383" s="600"/>
      <c r="B383" s="601"/>
      <c r="C383" s="240"/>
      <c r="D383" s="601"/>
      <c r="E383" s="601"/>
      <c r="F383" s="601"/>
      <c r="G383" s="241" t="s">
        <v>14</v>
      </c>
      <c r="H383" s="241"/>
      <c r="I383" s="237">
        <v>12000000</v>
      </c>
      <c r="J383" s="434">
        <f>+I383</f>
        <v>12000000</v>
      </c>
      <c r="K383" s="435"/>
      <c r="L383" s="436"/>
      <c r="M383" s="436"/>
      <c r="N383" s="237"/>
      <c r="O383" s="256"/>
    </row>
    <row r="384" spans="1:17" x14ac:dyDescent="0.2">
      <c r="A384" s="600"/>
      <c r="B384" s="601"/>
      <c r="C384" s="240"/>
      <c r="D384" s="601"/>
      <c r="E384" s="601"/>
      <c r="F384" s="601"/>
      <c r="G384" s="241" t="s">
        <v>200</v>
      </c>
      <c r="H384" s="241"/>
      <c r="I384" s="237">
        <v>137734256.83000001</v>
      </c>
      <c r="J384" s="434"/>
      <c r="K384" s="435"/>
      <c r="L384" s="436">
        <f>+I384</f>
        <v>137734256.83000001</v>
      </c>
      <c r="M384" s="436"/>
      <c r="N384" s="237"/>
      <c r="O384" s="256"/>
    </row>
    <row r="385" spans="1:17" ht="13.5" thickBot="1" x14ac:dyDescent="0.25">
      <c r="A385" s="600"/>
      <c r="B385" s="601"/>
      <c r="C385" s="240"/>
      <c r="D385" s="601"/>
      <c r="E385" s="601"/>
      <c r="F385" s="601"/>
      <c r="G385" s="241" t="s">
        <v>203</v>
      </c>
      <c r="H385" s="241"/>
      <c r="I385" s="237">
        <v>8199608.8099999996</v>
      </c>
      <c r="J385" s="434"/>
      <c r="K385" s="435"/>
      <c r="L385" s="436"/>
      <c r="M385" s="436">
        <f>+I385</f>
        <v>8199608.8099999996</v>
      </c>
      <c r="N385" s="237"/>
      <c r="O385" s="256"/>
    </row>
    <row r="386" spans="1:17" s="239" customFormat="1" ht="13.5" thickBot="1" x14ac:dyDescent="0.25">
      <c r="A386" s="323" t="s">
        <v>180</v>
      </c>
      <c r="B386" s="324"/>
      <c r="C386" s="341">
        <f>SUM(C373:C377)</f>
        <v>875000000</v>
      </c>
      <c r="D386" s="326"/>
      <c r="E386" s="326"/>
      <c r="F386" s="326"/>
      <c r="G386" s="327"/>
      <c r="H386" s="327"/>
      <c r="I386" s="341">
        <f>SUM(I374:I385)/2</f>
        <v>875000000.00073957</v>
      </c>
      <c r="J386" s="342"/>
      <c r="K386" s="343"/>
      <c r="L386" s="344"/>
      <c r="M386" s="344"/>
      <c r="N386" s="333">
        <f>+C386-I386</f>
        <v>-7.3957443237304688E-4</v>
      </c>
      <c r="O386" s="256"/>
      <c r="P386" s="800"/>
      <c r="Q386" s="335"/>
    </row>
    <row r="387" spans="1:17" x14ac:dyDescent="0.2">
      <c r="A387" s="600"/>
      <c r="B387" s="601"/>
      <c r="C387" s="240"/>
      <c r="D387" s="601"/>
      <c r="E387" s="601"/>
      <c r="F387" s="601"/>
      <c r="G387" s="241"/>
      <c r="H387" s="241"/>
      <c r="I387" s="242"/>
      <c r="J387" s="243"/>
      <c r="K387" s="244"/>
      <c r="L387" s="245"/>
      <c r="M387" s="245"/>
      <c r="N387" s="242"/>
      <c r="O387" s="256"/>
    </row>
    <row r="388" spans="1:17" ht="25.5" x14ac:dyDescent="0.2">
      <c r="A388" s="600" t="str">
        <f>+'[7]Clasific. Económica de Ingresos'!A64</f>
        <v>1.3.1.2.05.02.1.0.000</v>
      </c>
      <c r="B388" s="458" t="s">
        <v>246</v>
      </c>
      <c r="C388" s="240">
        <f>+'[7]Clasific. Económica de Ingresos'!C63</f>
        <v>180000000</v>
      </c>
      <c r="D388" s="601"/>
      <c r="E388" s="601"/>
      <c r="F388" s="601"/>
      <c r="G388" s="241"/>
      <c r="H388" s="241"/>
      <c r="I388" s="300"/>
      <c r="J388" s="301"/>
      <c r="K388" s="302"/>
      <c r="L388" s="303"/>
      <c r="M388" s="303"/>
      <c r="N388" s="300"/>
      <c r="O388" s="256"/>
    </row>
    <row r="389" spans="1:17" ht="24.75" customHeight="1" x14ac:dyDescent="0.2">
      <c r="A389" s="600"/>
      <c r="B389" s="601"/>
      <c r="C389" s="240"/>
      <c r="D389" s="601" t="s">
        <v>8</v>
      </c>
      <c r="E389" s="601" t="s">
        <v>184</v>
      </c>
      <c r="F389" s="601" t="s">
        <v>209</v>
      </c>
      <c r="G389" s="241" t="s">
        <v>236</v>
      </c>
      <c r="H389" s="241"/>
      <c r="I389" s="312">
        <f>+'[7]INGRESOS LIBRES DETALLE Nº17'!H63</f>
        <v>18000000</v>
      </c>
      <c r="J389" s="434"/>
      <c r="K389" s="435"/>
      <c r="L389" s="436"/>
      <c r="M389" s="436"/>
      <c r="N389" s="300"/>
      <c r="O389" s="256"/>
    </row>
    <row r="390" spans="1:17" ht="24.75" customHeight="1" x14ac:dyDescent="0.2">
      <c r="A390" s="600"/>
      <c r="B390" s="601"/>
      <c r="C390" s="240"/>
      <c r="D390" s="601"/>
      <c r="E390" s="601"/>
      <c r="F390" s="601"/>
      <c r="G390" s="241" t="s">
        <v>9</v>
      </c>
      <c r="H390" s="241"/>
      <c r="I390" s="237">
        <v>18000000</v>
      </c>
      <c r="J390" s="434">
        <f>+I390</f>
        <v>18000000</v>
      </c>
      <c r="K390" s="435"/>
      <c r="L390" s="436"/>
      <c r="M390" s="436"/>
      <c r="N390" s="300"/>
      <c r="O390" s="256"/>
    </row>
    <row r="391" spans="1:17" ht="24.75" customHeight="1" x14ac:dyDescent="0.2">
      <c r="A391" s="600"/>
      <c r="B391" s="601"/>
      <c r="C391" s="240"/>
      <c r="D391" s="601"/>
      <c r="E391" s="601"/>
      <c r="F391" s="601"/>
      <c r="G391" s="241"/>
      <c r="H391" s="241"/>
      <c r="I391" s="237"/>
      <c r="J391" s="434"/>
      <c r="K391" s="435"/>
      <c r="L391" s="436"/>
      <c r="M391" s="436"/>
      <c r="N391" s="300"/>
      <c r="O391" s="256"/>
    </row>
    <row r="392" spans="1:17" ht="13.5" thickBot="1" x14ac:dyDescent="0.25">
      <c r="A392" s="271"/>
      <c r="B392" s="459"/>
      <c r="C392" s="273"/>
      <c r="D392" s="272" t="s">
        <v>19</v>
      </c>
      <c r="E392" s="272" t="s">
        <v>183</v>
      </c>
      <c r="F392" s="272" t="s">
        <v>209</v>
      </c>
      <c r="G392" s="274" t="s">
        <v>208</v>
      </c>
      <c r="H392" s="274"/>
      <c r="I392" s="442">
        <v>162000000</v>
      </c>
      <c r="J392" s="460"/>
      <c r="K392" s="461"/>
      <c r="L392" s="462"/>
      <c r="M392" s="462"/>
      <c r="N392" s="442"/>
      <c r="O392" s="256"/>
    </row>
    <row r="393" spans="1:17" x14ac:dyDescent="0.2">
      <c r="A393" s="598"/>
      <c r="B393" s="464"/>
      <c r="C393" s="287"/>
      <c r="D393" s="599"/>
      <c r="E393" s="599"/>
      <c r="F393" s="599"/>
      <c r="G393" s="231" t="s">
        <v>181</v>
      </c>
      <c r="H393" s="231"/>
      <c r="I393" s="232">
        <v>85474822.75999999</v>
      </c>
      <c r="J393" s="233"/>
      <c r="K393" s="234">
        <f>+I393</f>
        <v>85474822.75999999</v>
      </c>
      <c r="L393" s="235"/>
      <c r="M393" s="235"/>
      <c r="N393" s="232"/>
      <c r="O393" s="256"/>
    </row>
    <row r="394" spans="1:17" x14ac:dyDescent="0.2">
      <c r="A394" s="600"/>
      <c r="B394" s="309"/>
      <c r="C394" s="240"/>
      <c r="D394" s="601"/>
      <c r="E394" s="601"/>
      <c r="F394" s="601"/>
      <c r="G394" s="241" t="s">
        <v>14</v>
      </c>
      <c r="H394" s="241"/>
      <c r="I394" s="300">
        <v>76525177.239999995</v>
      </c>
      <c r="J394" s="301">
        <f>+I394</f>
        <v>76525177.239999995</v>
      </c>
      <c r="K394" s="302"/>
      <c r="L394" s="303"/>
      <c r="M394" s="303"/>
      <c r="N394" s="300"/>
      <c r="O394" s="256"/>
    </row>
    <row r="395" spans="1:17" ht="13.5" thickBot="1" x14ac:dyDescent="0.25">
      <c r="A395" s="600"/>
      <c r="B395" s="601"/>
      <c r="C395" s="240"/>
      <c r="D395" s="601"/>
      <c r="E395" s="601"/>
      <c r="F395" s="601"/>
      <c r="G395" s="258"/>
      <c r="H395" s="258"/>
      <c r="I395" s="300"/>
      <c r="J395" s="301"/>
      <c r="K395" s="302"/>
      <c r="L395" s="303"/>
      <c r="M395" s="303">
        <f>+N396*2</f>
        <v>0</v>
      </c>
      <c r="N395" s="300"/>
      <c r="O395" s="256"/>
      <c r="P395" s="792" t="e">
        <f>+#REF!+#REF!+I395+20408580</f>
        <v>#REF!</v>
      </c>
    </row>
    <row r="396" spans="1:17" s="239" customFormat="1" ht="13.5" thickBot="1" x14ac:dyDescent="0.25">
      <c r="A396" s="323" t="s">
        <v>180</v>
      </c>
      <c r="B396" s="324"/>
      <c r="C396" s="325">
        <f>SUM(C388:C392)</f>
        <v>180000000</v>
      </c>
      <c r="D396" s="326"/>
      <c r="E396" s="326"/>
      <c r="F396" s="326"/>
      <c r="G396" s="327"/>
      <c r="H396" s="327"/>
      <c r="I396" s="341">
        <f>SUM(I388:I395)/2</f>
        <v>180000000</v>
      </c>
      <c r="J396" s="342"/>
      <c r="K396" s="343"/>
      <c r="L396" s="344"/>
      <c r="M396" s="344"/>
      <c r="N396" s="333">
        <f>+C396-I396</f>
        <v>0</v>
      </c>
      <c r="O396" s="256"/>
      <c r="P396" s="800"/>
      <c r="Q396" s="335"/>
    </row>
    <row r="397" spans="1:17" x14ac:dyDescent="0.2">
      <c r="A397" s="432"/>
      <c r="B397" s="395"/>
      <c r="C397" s="394"/>
      <c r="D397" s="601"/>
      <c r="E397" s="601"/>
      <c r="F397" s="601"/>
      <c r="G397" s="241"/>
      <c r="H397" s="241"/>
      <c r="I397" s="300"/>
      <c r="J397" s="301"/>
      <c r="K397" s="302"/>
      <c r="L397" s="303"/>
      <c r="M397" s="303"/>
      <c r="N397" s="300"/>
      <c r="O397" s="256"/>
    </row>
    <row r="398" spans="1:17" x14ac:dyDescent="0.2">
      <c r="A398" s="600" t="str">
        <f>+'[7]Clasific. Económica de Ingresos'!A67</f>
        <v>1.3.1.2.05.04.1.0.000</v>
      </c>
      <c r="B398" s="395" t="s">
        <v>245</v>
      </c>
      <c r="C398" s="240">
        <f>SUM('[7]Clasific. Económica de Ingresos'!C67)</f>
        <v>3900000000</v>
      </c>
      <c r="D398" s="601"/>
      <c r="E398" s="601"/>
      <c r="F398" s="601"/>
      <c r="G398" s="241"/>
      <c r="H398" s="241"/>
      <c r="I398" s="300"/>
      <c r="J398" s="301"/>
      <c r="K398" s="302"/>
      <c r="L398" s="303"/>
      <c r="M398" s="303"/>
      <c r="N398" s="300"/>
      <c r="O398" s="256"/>
    </row>
    <row r="399" spans="1:17" x14ac:dyDescent="0.2">
      <c r="A399" s="600"/>
      <c r="B399" s="601"/>
      <c r="C399" s="240"/>
      <c r="D399" s="601" t="s">
        <v>8</v>
      </c>
      <c r="E399" s="601" t="s">
        <v>184</v>
      </c>
      <c r="F399" s="601" t="s">
        <v>209</v>
      </c>
      <c r="G399" s="241" t="s">
        <v>236</v>
      </c>
      <c r="H399" s="241"/>
      <c r="I399" s="312">
        <f>+C398*10%</f>
        <v>390000000</v>
      </c>
      <c r="J399" s="434"/>
      <c r="K399" s="435"/>
      <c r="L399" s="436"/>
      <c r="M399" s="436"/>
      <c r="N399" s="300"/>
      <c r="O399" s="256"/>
    </row>
    <row r="400" spans="1:17" x14ac:dyDescent="0.2">
      <c r="A400" s="600"/>
      <c r="B400" s="601"/>
      <c r="C400" s="240"/>
      <c r="D400" s="601"/>
      <c r="E400" s="601"/>
      <c r="F400" s="601"/>
      <c r="G400" s="241" t="s">
        <v>9</v>
      </c>
      <c r="H400" s="241"/>
      <c r="I400" s="237">
        <v>390000000</v>
      </c>
      <c r="J400" s="434">
        <f>+I400</f>
        <v>390000000</v>
      </c>
      <c r="K400" s="435"/>
      <c r="L400" s="436"/>
      <c r="M400" s="436"/>
      <c r="N400" s="300"/>
      <c r="O400" s="256"/>
    </row>
    <row r="401" spans="1:16" x14ac:dyDescent="0.2">
      <c r="A401" s="600"/>
      <c r="B401" s="601"/>
      <c r="C401" s="240"/>
      <c r="D401" s="601"/>
      <c r="E401" s="601"/>
      <c r="F401" s="601"/>
      <c r="G401" s="241"/>
      <c r="H401" s="241"/>
      <c r="I401" s="237"/>
      <c r="J401" s="434"/>
      <c r="K401" s="435"/>
      <c r="L401" s="436"/>
      <c r="M401" s="436"/>
      <c r="N401" s="300"/>
      <c r="O401" s="256"/>
    </row>
    <row r="402" spans="1:16" x14ac:dyDescent="0.2">
      <c r="A402" s="600"/>
      <c r="B402" s="601"/>
      <c r="C402" s="240"/>
      <c r="D402" s="601" t="s">
        <v>19</v>
      </c>
      <c r="E402" s="601" t="s">
        <v>185</v>
      </c>
      <c r="F402" s="601" t="s">
        <v>209</v>
      </c>
      <c r="G402" s="241" t="str">
        <f>+'[7]Egresos Programa II General'!B13</f>
        <v>Recolección de Basuras</v>
      </c>
      <c r="H402" s="241"/>
      <c r="I402" s="237">
        <f>+'[7]Egresos Programa II General'!C13-I27-I667</f>
        <v>3117778663.0411916</v>
      </c>
      <c r="J402" s="434"/>
      <c r="K402" s="435"/>
      <c r="L402" s="436"/>
      <c r="M402" s="436"/>
      <c r="N402" s="300"/>
      <c r="O402" s="256">
        <f>SUM(I403:I408)</f>
        <v>3117778663.0399995</v>
      </c>
      <c r="P402" s="792">
        <f>+I402-O402</f>
        <v>1.1920928955078125E-3</v>
      </c>
    </row>
    <row r="403" spans="1:16" x14ac:dyDescent="0.2">
      <c r="A403" s="600"/>
      <c r="B403" s="601"/>
      <c r="C403" s="240"/>
      <c r="D403" s="601"/>
      <c r="E403" s="601"/>
      <c r="F403" s="601"/>
      <c r="G403" s="241" t="s">
        <v>9</v>
      </c>
      <c r="H403" s="241"/>
      <c r="I403" s="237">
        <v>287704208.63999999</v>
      </c>
      <c r="J403" s="434">
        <f>+I403</f>
        <v>287704208.63999999</v>
      </c>
      <c r="K403" s="435"/>
      <c r="L403" s="436"/>
      <c r="M403" s="436"/>
      <c r="N403" s="300"/>
      <c r="O403" s="256"/>
    </row>
    <row r="404" spans="1:16" x14ac:dyDescent="0.2">
      <c r="A404" s="600"/>
      <c r="B404" s="601"/>
      <c r="C404" s="240"/>
      <c r="D404" s="601"/>
      <c r="E404" s="601"/>
      <c r="F404" s="601"/>
      <c r="G404" s="241" t="s">
        <v>10</v>
      </c>
      <c r="H404" s="241"/>
      <c r="I404" s="237">
        <f>3395337948.24-598000000-142480.6</f>
        <v>2797195467.6399999</v>
      </c>
      <c r="J404" s="434">
        <f>+I404</f>
        <v>2797195467.6399999</v>
      </c>
      <c r="K404" s="435"/>
      <c r="L404" s="436"/>
      <c r="M404" s="436"/>
      <c r="N404" s="300"/>
      <c r="O404" s="256">
        <f>+I404+I668</f>
        <v>3395195467.6399999</v>
      </c>
    </row>
    <row r="405" spans="1:16" x14ac:dyDescent="0.2">
      <c r="A405" s="600"/>
      <c r="B405" s="601"/>
      <c r="C405" s="240"/>
      <c r="D405" s="601"/>
      <c r="E405" s="601"/>
      <c r="F405" s="601"/>
      <c r="G405" s="241" t="s">
        <v>11</v>
      </c>
      <c r="H405" s="241"/>
      <c r="I405" s="237">
        <v>13100000</v>
      </c>
      <c r="J405" s="434">
        <f>+I405</f>
        <v>13100000</v>
      </c>
      <c r="K405" s="435"/>
      <c r="L405" s="436"/>
      <c r="M405" s="436"/>
      <c r="N405" s="300"/>
      <c r="O405" s="256"/>
    </row>
    <row r="406" spans="1:16" x14ac:dyDescent="0.2">
      <c r="A406" s="600"/>
      <c r="B406" s="601"/>
      <c r="C406" s="240"/>
      <c r="D406" s="601"/>
      <c r="E406" s="601"/>
      <c r="F406" s="601"/>
      <c r="G406" s="241" t="s">
        <v>181</v>
      </c>
      <c r="H406" s="241"/>
      <c r="I406" s="237">
        <v>5827783.3899999997</v>
      </c>
      <c r="J406" s="434"/>
      <c r="K406" s="435">
        <f>+I406</f>
        <v>5827783.3899999997</v>
      </c>
      <c r="L406" s="436"/>
      <c r="M406" s="436"/>
      <c r="N406" s="300"/>
      <c r="O406" s="256"/>
    </row>
    <row r="407" spans="1:16" x14ac:dyDescent="0.2">
      <c r="A407" s="600"/>
      <c r="B407" s="601"/>
      <c r="C407" s="240"/>
      <c r="D407" s="601"/>
      <c r="E407" s="601"/>
      <c r="F407" s="601"/>
      <c r="G407" s="241" t="s">
        <v>14</v>
      </c>
      <c r="H407" s="241"/>
      <c r="I407" s="237">
        <v>7500000</v>
      </c>
      <c r="J407" s="434">
        <f>I407</f>
        <v>7500000</v>
      </c>
      <c r="K407" s="435"/>
      <c r="L407" s="436"/>
      <c r="M407" s="436"/>
      <c r="N407" s="300"/>
      <c r="O407" s="256"/>
    </row>
    <row r="408" spans="1:16" x14ac:dyDescent="0.2">
      <c r="A408" s="600"/>
      <c r="B408" s="601"/>
      <c r="C408" s="240"/>
      <c r="D408" s="601"/>
      <c r="E408" s="601"/>
      <c r="F408" s="601"/>
      <c r="G408" s="241" t="s">
        <v>203</v>
      </c>
      <c r="H408" s="241"/>
      <c r="I408" s="237">
        <v>6451203.3700000001</v>
      </c>
      <c r="J408" s="434"/>
      <c r="K408" s="435"/>
      <c r="L408" s="436"/>
      <c r="M408" s="436">
        <f>+I408</f>
        <v>6451203.3700000001</v>
      </c>
      <c r="N408" s="300"/>
      <c r="O408" s="256"/>
    </row>
    <row r="409" spans="1:16" x14ac:dyDescent="0.2">
      <c r="A409" s="600"/>
      <c r="B409" s="601"/>
      <c r="C409" s="240"/>
      <c r="D409" s="601"/>
      <c r="E409" s="601"/>
      <c r="F409" s="601"/>
      <c r="G409" s="241"/>
      <c r="H409" s="241"/>
      <c r="I409" s="237"/>
      <c r="J409" s="434"/>
      <c r="K409" s="435"/>
      <c r="L409" s="436"/>
      <c r="M409" s="436"/>
      <c r="N409" s="300"/>
      <c r="O409" s="256"/>
    </row>
    <row r="410" spans="1:16" ht="38.25" x14ac:dyDescent="0.2">
      <c r="A410" s="600"/>
      <c r="B410" s="601"/>
      <c r="C410" s="240"/>
      <c r="D410" s="601" t="s">
        <v>18</v>
      </c>
      <c r="E410" s="601" t="s">
        <v>183</v>
      </c>
      <c r="F410" s="601" t="s">
        <v>193</v>
      </c>
      <c r="G410" s="311" t="str">
        <f>+'[7]Egresos Programa III General'!B100</f>
        <v>Implementación del Plan Municipal para la Gestión Integral de Residuos Sólidos</v>
      </c>
      <c r="H410" s="311"/>
      <c r="I410" s="457">
        <f>+'[7]Egresos Programa III General'!C100</f>
        <v>392221336.96000004</v>
      </c>
      <c r="J410" s="301"/>
      <c r="K410" s="302"/>
      <c r="L410" s="303"/>
      <c r="M410" s="303"/>
      <c r="N410" s="300"/>
      <c r="O410" s="256"/>
    </row>
    <row r="411" spans="1:16" x14ac:dyDescent="0.2">
      <c r="A411" s="600"/>
      <c r="B411" s="601"/>
      <c r="C411" s="240"/>
      <c r="D411" s="601"/>
      <c r="E411" s="601"/>
      <c r="F411" s="601"/>
      <c r="G411" s="311" t="s">
        <v>358</v>
      </c>
      <c r="H411" s="311"/>
      <c r="I411" s="457"/>
      <c r="J411" s="301"/>
      <c r="K411" s="302"/>
      <c r="L411" s="303"/>
      <c r="M411" s="303"/>
      <c r="N411" s="300"/>
      <c r="O411" s="256"/>
    </row>
    <row r="412" spans="1:16" x14ac:dyDescent="0.2">
      <c r="A412" s="600"/>
      <c r="B412" s="601"/>
      <c r="C412" s="240"/>
      <c r="D412" s="601"/>
      <c r="E412" s="601"/>
      <c r="F412" s="601"/>
      <c r="G412" s="311" t="s">
        <v>10</v>
      </c>
      <c r="H412" s="311"/>
      <c r="I412" s="300">
        <v>392221336.95999998</v>
      </c>
      <c r="J412" s="301">
        <f>+I412</f>
        <v>392221336.95999998</v>
      </c>
      <c r="K412" s="302"/>
      <c r="L412" s="303"/>
      <c r="M412" s="303"/>
      <c r="N412" s="300"/>
      <c r="O412" s="256"/>
    </row>
    <row r="413" spans="1:16" x14ac:dyDescent="0.2">
      <c r="A413" s="600"/>
      <c r="B413" s="601"/>
      <c r="C413" s="240"/>
      <c r="D413" s="601"/>
      <c r="E413" s="601"/>
      <c r="F413" s="601"/>
      <c r="G413" s="311"/>
      <c r="H413" s="311"/>
      <c r="I413" s="300"/>
      <c r="J413" s="301"/>
      <c r="K413" s="302"/>
      <c r="L413" s="303"/>
      <c r="M413" s="303"/>
      <c r="N413" s="300"/>
      <c r="O413" s="256"/>
    </row>
    <row r="414" spans="1:16" ht="13.5" thickBot="1" x14ac:dyDescent="0.25">
      <c r="A414" s="600"/>
      <c r="B414" s="601"/>
      <c r="C414" s="240"/>
      <c r="D414" s="601"/>
      <c r="E414" s="601"/>
      <c r="F414" s="601"/>
      <c r="G414" s="311"/>
      <c r="H414" s="311"/>
      <c r="I414" s="300"/>
      <c r="J414" s="301"/>
      <c r="K414" s="302"/>
      <c r="L414" s="303"/>
      <c r="M414" s="303"/>
      <c r="N414" s="300"/>
      <c r="O414" s="256"/>
    </row>
    <row r="415" spans="1:16" ht="13.5" thickBot="1" x14ac:dyDescent="0.25">
      <c r="A415" s="323" t="s">
        <v>180</v>
      </c>
      <c r="B415" s="324"/>
      <c r="C415" s="325">
        <f>SUM(C398:C402)</f>
        <v>3900000000</v>
      </c>
      <c r="D415" s="326"/>
      <c r="E415" s="326"/>
      <c r="F415" s="326"/>
      <c r="G415" s="327"/>
      <c r="H415" s="327"/>
      <c r="I415" s="341">
        <f>SUM(I399:I414)/2</f>
        <v>3900000000.000596</v>
      </c>
      <c r="J415" s="342"/>
      <c r="K415" s="343"/>
      <c r="L415" s="344"/>
      <c r="M415" s="344"/>
      <c r="N415" s="333">
        <f>+C415-I415</f>
        <v>-5.9604644775390625E-4</v>
      </c>
      <c r="O415" s="256"/>
    </row>
    <row r="416" spans="1:16" x14ac:dyDescent="0.2">
      <c r="A416" s="432"/>
      <c r="B416" s="395"/>
      <c r="C416" s="394"/>
      <c r="D416" s="601"/>
      <c r="E416" s="601"/>
      <c r="F416" s="601"/>
      <c r="G416" s="241"/>
      <c r="H416" s="241"/>
      <c r="I416" s="300"/>
      <c r="J416" s="301"/>
      <c r="K416" s="302"/>
      <c r="L416" s="303"/>
      <c r="M416" s="303"/>
      <c r="N416" s="300"/>
      <c r="O416" s="256"/>
    </row>
    <row r="417" spans="1:18" x14ac:dyDescent="0.2">
      <c r="A417" s="600" t="str">
        <f>+'[7]Clasific. Económica de Ingresos'!A68</f>
        <v>1.3.1.2.05.04.2.0.000</v>
      </c>
      <c r="B417" s="395" t="s">
        <v>244</v>
      </c>
      <c r="C417" s="240">
        <f>SUM('[7]Clasific. Económica de Ingresos'!C68)</f>
        <v>804853463.96000004</v>
      </c>
      <c r="D417" s="601"/>
      <c r="E417" s="601"/>
      <c r="F417" s="601"/>
      <c r="G417" s="241"/>
      <c r="H417" s="241"/>
      <c r="I417" s="300"/>
      <c r="J417" s="301"/>
      <c r="K417" s="302"/>
      <c r="L417" s="303"/>
      <c r="M417" s="303"/>
      <c r="N417" s="300"/>
      <c r="O417" s="256"/>
    </row>
    <row r="418" spans="1:18" x14ac:dyDescent="0.2">
      <c r="A418" s="600"/>
      <c r="B418" s="395"/>
      <c r="C418" s="240"/>
      <c r="D418" s="601" t="s">
        <v>8</v>
      </c>
      <c r="E418" s="601" t="s">
        <v>184</v>
      </c>
      <c r="F418" s="601" t="s">
        <v>209</v>
      </c>
      <c r="G418" s="241" t="s">
        <v>236</v>
      </c>
      <c r="H418" s="241"/>
      <c r="I418" s="312">
        <f>+C417*10%</f>
        <v>80485346.396000013</v>
      </c>
      <c r="J418" s="434"/>
      <c r="K418" s="435"/>
      <c r="L418" s="436"/>
      <c r="M418" s="436"/>
      <c r="N418" s="300"/>
      <c r="O418" s="256"/>
    </row>
    <row r="419" spans="1:18" x14ac:dyDescent="0.2">
      <c r="A419" s="600"/>
      <c r="B419" s="395"/>
      <c r="C419" s="240"/>
      <c r="D419" s="601"/>
      <c r="E419" s="601"/>
      <c r="F419" s="601"/>
      <c r="G419" s="241" t="s">
        <v>9</v>
      </c>
      <c r="H419" s="241"/>
      <c r="I419" s="237">
        <v>80485346.400000006</v>
      </c>
      <c r="J419" s="434">
        <f>+I419</f>
        <v>80485346.400000006</v>
      </c>
      <c r="K419" s="435"/>
      <c r="L419" s="436"/>
      <c r="M419" s="436"/>
      <c r="N419" s="300"/>
      <c r="O419" s="256"/>
    </row>
    <row r="420" spans="1:18" x14ac:dyDescent="0.2">
      <c r="A420" s="600"/>
      <c r="B420" s="395"/>
      <c r="C420" s="240"/>
      <c r="D420" s="601"/>
      <c r="E420" s="601"/>
      <c r="F420" s="601"/>
      <c r="G420" s="241"/>
      <c r="H420" s="241"/>
      <c r="I420" s="237"/>
      <c r="J420" s="434"/>
      <c r="K420" s="435"/>
      <c r="L420" s="436"/>
      <c r="M420" s="436"/>
      <c r="N420" s="300"/>
      <c r="O420" s="256"/>
    </row>
    <row r="421" spans="1:18" ht="11.25" customHeight="1" x14ac:dyDescent="0.2">
      <c r="A421" s="600"/>
      <c r="B421" s="601"/>
      <c r="C421" s="240"/>
      <c r="D421" s="601" t="s">
        <v>19</v>
      </c>
      <c r="E421" s="601" t="s">
        <v>184</v>
      </c>
      <c r="F421" s="601"/>
      <c r="G421" s="241" t="str">
        <f>+'[7]Egresos Programa II General'!B11</f>
        <v>Aseo de Vías y Sitios Públicos</v>
      </c>
      <c r="H421" s="241"/>
      <c r="I421" s="237">
        <f>+'[7]Egresos Programa II General'!C11-I26</f>
        <v>724368117.56290317</v>
      </c>
      <c r="J421" s="434"/>
      <c r="K421" s="435"/>
      <c r="L421" s="436"/>
      <c r="M421" s="436"/>
      <c r="N421" s="242"/>
      <c r="O421" s="256"/>
      <c r="P421" s="792">
        <f>+C417-I421</f>
        <v>80485346.397096872</v>
      </c>
      <c r="R421" s="254"/>
    </row>
    <row r="422" spans="1:18" ht="11.25" customHeight="1" x14ac:dyDescent="0.2">
      <c r="A422" s="600"/>
      <c r="B422" s="601"/>
      <c r="C422" s="240"/>
      <c r="D422" s="601"/>
      <c r="E422" s="601"/>
      <c r="F422" s="601"/>
      <c r="G422" s="241" t="s">
        <v>9</v>
      </c>
      <c r="H422" s="241"/>
      <c r="I422" s="237">
        <v>254381468.09999999</v>
      </c>
      <c r="J422" s="434">
        <f>+I422</f>
        <v>254381468.09999999</v>
      </c>
      <c r="K422" s="435"/>
      <c r="L422" s="436"/>
      <c r="M422" s="436"/>
      <c r="N422" s="242"/>
      <c r="O422" s="256"/>
      <c r="R422" s="254"/>
    </row>
    <row r="423" spans="1:18" ht="11.25" customHeight="1" x14ac:dyDescent="0.2">
      <c r="A423" s="600"/>
      <c r="B423" s="601"/>
      <c r="C423" s="240"/>
      <c r="D423" s="601"/>
      <c r="E423" s="601"/>
      <c r="F423" s="601"/>
      <c r="G423" s="241" t="s">
        <v>361</v>
      </c>
      <c r="H423" s="241"/>
      <c r="I423" s="237">
        <v>426366904.48000002</v>
      </c>
      <c r="J423" s="434">
        <f>+I423</f>
        <v>426366904.48000002</v>
      </c>
      <c r="K423" s="435"/>
      <c r="L423" s="436"/>
      <c r="M423" s="436"/>
      <c r="N423" s="242"/>
      <c r="O423" s="256"/>
      <c r="R423" s="254"/>
    </row>
    <row r="424" spans="1:18" ht="11.25" customHeight="1" x14ac:dyDescent="0.2">
      <c r="A424" s="600"/>
      <c r="B424" s="601"/>
      <c r="C424" s="240"/>
      <c r="D424" s="601"/>
      <c r="E424" s="601"/>
      <c r="F424" s="601"/>
      <c r="G424" s="241" t="s">
        <v>230</v>
      </c>
      <c r="H424" s="241"/>
      <c r="I424" s="237">
        <v>12418000</v>
      </c>
      <c r="J424" s="434">
        <f>+I424</f>
        <v>12418000</v>
      </c>
      <c r="K424" s="435"/>
      <c r="L424" s="436"/>
      <c r="M424" s="436"/>
      <c r="N424" s="242"/>
      <c r="O424" s="256"/>
      <c r="R424" s="254"/>
    </row>
    <row r="425" spans="1:18" ht="11.25" customHeight="1" x14ac:dyDescent="0.2">
      <c r="A425" s="600"/>
      <c r="B425" s="601"/>
      <c r="C425" s="240"/>
      <c r="D425" s="601"/>
      <c r="E425" s="601"/>
      <c r="F425" s="601"/>
      <c r="G425" s="241" t="s">
        <v>181</v>
      </c>
      <c r="H425" s="241"/>
      <c r="I425" s="237">
        <v>1870000</v>
      </c>
      <c r="J425" s="434"/>
      <c r="K425" s="435">
        <f>+I425</f>
        <v>1870000</v>
      </c>
      <c r="L425" s="436"/>
      <c r="M425" s="436"/>
      <c r="N425" s="242"/>
      <c r="O425" s="256"/>
      <c r="R425" s="254"/>
    </row>
    <row r="426" spans="1:18" ht="11.25" customHeight="1" x14ac:dyDescent="0.2">
      <c r="A426" s="600"/>
      <c r="B426" s="601"/>
      <c r="C426" s="240"/>
      <c r="D426" s="601"/>
      <c r="E426" s="601"/>
      <c r="F426" s="601"/>
      <c r="G426" s="241" t="s">
        <v>207</v>
      </c>
      <c r="H426" s="241"/>
      <c r="I426" s="237">
        <v>24011821.300000001</v>
      </c>
      <c r="J426" s="434">
        <f>+I426</f>
        <v>24011821.300000001</v>
      </c>
      <c r="K426" s="435"/>
      <c r="L426" s="436"/>
      <c r="M426" s="436"/>
      <c r="N426" s="242"/>
      <c r="O426" s="256"/>
      <c r="R426" s="254"/>
    </row>
    <row r="427" spans="1:18" ht="11.25" customHeight="1" x14ac:dyDescent="0.2">
      <c r="A427" s="600"/>
      <c r="B427" s="601"/>
      <c r="C427" s="240"/>
      <c r="D427" s="601"/>
      <c r="E427" s="601"/>
      <c r="F427" s="601"/>
      <c r="G427" s="241" t="s">
        <v>203</v>
      </c>
      <c r="H427" s="241"/>
      <c r="I427" s="237">
        <v>5319923.68</v>
      </c>
      <c r="J427" s="434"/>
      <c r="K427" s="435"/>
      <c r="L427" s="436"/>
      <c r="M427" s="436">
        <f>+I427</f>
        <v>5319923.68</v>
      </c>
      <c r="N427" s="242"/>
      <c r="O427" s="256"/>
      <c r="R427" s="254"/>
    </row>
    <row r="428" spans="1:18" ht="11.25" customHeight="1" thickBot="1" x14ac:dyDescent="0.25">
      <c r="A428" s="600"/>
      <c r="B428" s="601"/>
      <c r="C428" s="240"/>
      <c r="D428" s="601"/>
      <c r="E428" s="601"/>
      <c r="F428" s="601"/>
      <c r="G428" s="241"/>
      <c r="H428" s="241"/>
      <c r="I428" s="237"/>
      <c r="J428" s="434"/>
      <c r="K428" s="435"/>
      <c r="L428" s="436"/>
      <c r="M428" s="436"/>
      <c r="N428" s="242"/>
      <c r="O428" s="256"/>
      <c r="R428" s="254"/>
    </row>
    <row r="429" spans="1:18" s="239" customFormat="1" ht="13.5" thickBot="1" x14ac:dyDescent="0.25">
      <c r="A429" s="323" t="s">
        <v>180</v>
      </c>
      <c r="B429" s="324"/>
      <c r="C429" s="325">
        <f>SUM(C417:C421)</f>
        <v>804853463.96000004</v>
      </c>
      <c r="D429" s="326"/>
      <c r="E429" s="326"/>
      <c r="F429" s="326"/>
      <c r="G429" s="327"/>
      <c r="H429" s="327"/>
      <c r="I429" s="341">
        <f>SUM(I417:I427)/2</f>
        <v>804853463.95945156</v>
      </c>
      <c r="J429" s="342"/>
      <c r="K429" s="343"/>
      <c r="L429" s="344"/>
      <c r="M429" s="344"/>
      <c r="N429" s="333">
        <f>+C429-I429</f>
        <v>5.4848194122314453E-4</v>
      </c>
      <c r="O429" s="256"/>
      <c r="P429" s="800"/>
      <c r="Q429" s="335"/>
    </row>
    <row r="430" spans="1:18" x14ac:dyDescent="0.2">
      <c r="A430" s="432"/>
      <c r="B430" s="395"/>
      <c r="C430" s="394"/>
      <c r="D430" s="601"/>
      <c r="E430" s="601"/>
      <c r="F430" s="601"/>
      <c r="G430" s="241"/>
      <c r="H430" s="241"/>
      <c r="I430" s="300"/>
      <c r="J430" s="301"/>
      <c r="K430" s="302"/>
      <c r="L430" s="303"/>
      <c r="M430" s="303"/>
      <c r="N430" s="300"/>
      <c r="O430" s="256"/>
    </row>
    <row r="431" spans="1:18" x14ac:dyDescent="0.2">
      <c r="A431" s="600" t="str">
        <f>+'[7]Clasific. Económica de Ingresos'!A69</f>
        <v>1.3.1.2.05.04.4.0.000</v>
      </c>
      <c r="B431" s="395" t="s">
        <v>243</v>
      </c>
      <c r="C431" s="240">
        <f>+'[7]Clasific. Económica de Ingresos'!C69</f>
        <v>274482213.24000001</v>
      </c>
      <c r="D431" s="601"/>
      <c r="E431" s="601"/>
      <c r="F431" s="601"/>
      <c r="G431" s="241"/>
      <c r="H431" s="241"/>
      <c r="I431" s="300"/>
      <c r="J431" s="301"/>
      <c r="K431" s="302"/>
      <c r="L431" s="303"/>
      <c r="M431" s="303"/>
      <c r="N431" s="300"/>
      <c r="O431" s="256"/>
    </row>
    <row r="432" spans="1:18" x14ac:dyDescent="0.2">
      <c r="A432" s="600"/>
      <c r="B432" s="601"/>
      <c r="C432" s="240"/>
      <c r="D432" s="601" t="s">
        <v>8</v>
      </c>
      <c r="E432" s="601" t="s">
        <v>184</v>
      </c>
      <c r="F432" s="601" t="s">
        <v>209</v>
      </c>
      <c r="G432" s="241" t="s">
        <v>236</v>
      </c>
      <c r="H432" s="241"/>
      <c r="I432" s="312">
        <f>+C431*10%</f>
        <v>27448221.324000001</v>
      </c>
      <c r="J432" s="434"/>
      <c r="K432" s="435"/>
      <c r="L432" s="436"/>
      <c r="M432" s="436"/>
      <c r="N432" s="300"/>
      <c r="O432" s="256"/>
    </row>
    <row r="433" spans="1:18" x14ac:dyDescent="0.2">
      <c r="A433" s="600"/>
      <c r="B433" s="601"/>
      <c r="C433" s="240"/>
      <c r="D433" s="601"/>
      <c r="E433" s="601"/>
      <c r="F433" s="601"/>
      <c r="G433" s="241" t="s">
        <v>9</v>
      </c>
      <c r="H433" s="241"/>
      <c r="I433" s="237">
        <v>27448221.32</v>
      </c>
      <c r="J433" s="434">
        <f>+I433</f>
        <v>27448221.32</v>
      </c>
      <c r="K433" s="435"/>
      <c r="L433" s="436"/>
      <c r="M433" s="436"/>
      <c r="N433" s="300"/>
      <c r="O433" s="256"/>
    </row>
    <row r="434" spans="1:18" x14ac:dyDescent="0.2">
      <c r="A434" s="600"/>
      <c r="B434" s="601"/>
      <c r="C434" s="240"/>
      <c r="D434" s="601"/>
      <c r="E434" s="601"/>
      <c r="F434" s="601"/>
      <c r="G434" s="241"/>
      <c r="H434" s="241"/>
      <c r="I434" s="237"/>
      <c r="J434" s="434"/>
      <c r="K434" s="435"/>
      <c r="L434" s="436"/>
      <c r="M434" s="436"/>
      <c r="N434" s="300"/>
      <c r="O434" s="256"/>
    </row>
    <row r="435" spans="1:18" x14ac:dyDescent="0.2">
      <c r="A435" s="600"/>
      <c r="B435" s="601"/>
      <c r="C435" s="240"/>
      <c r="D435" s="601" t="s">
        <v>19</v>
      </c>
      <c r="E435" s="601" t="s">
        <v>182</v>
      </c>
      <c r="F435" s="601" t="s">
        <v>209</v>
      </c>
      <c r="G435" s="241" t="str">
        <f>+'[7]Egresos Programa II General'!B15</f>
        <v>Parques Obras de Ornato</v>
      </c>
      <c r="H435" s="241"/>
      <c r="I435" s="237">
        <f>+'[7]Egresos Programa II General'!C15-I28</f>
        <v>247033991.92247096</v>
      </c>
      <c r="J435" s="434"/>
      <c r="K435" s="435"/>
      <c r="L435" s="436"/>
      <c r="M435" s="436"/>
      <c r="N435" s="242"/>
      <c r="O435" s="256"/>
      <c r="P435" s="792">
        <f>+I435+I28</f>
        <v>247033991.92247096</v>
      </c>
      <c r="R435" s="254"/>
    </row>
    <row r="436" spans="1:18" x14ac:dyDescent="0.2">
      <c r="A436" s="600"/>
      <c r="B436" s="601"/>
      <c r="C436" s="240"/>
      <c r="D436" s="601"/>
      <c r="E436" s="601"/>
      <c r="F436" s="601"/>
      <c r="G436" s="241" t="s">
        <v>9</v>
      </c>
      <c r="H436" s="241"/>
      <c r="I436" s="237">
        <v>138911203.53</v>
      </c>
      <c r="J436" s="434">
        <f>+I436</f>
        <v>138911203.53</v>
      </c>
      <c r="K436" s="435"/>
      <c r="L436" s="436"/>
      <c r="M436" s="436"/>
      <c r="N436" s="242"/>
      <c r="O436" s="256"/>
      <c r="R436" s="254"/>
    </row>
    <row r="437" spans="1:18" x14ac:dyDescent="0.2">
      <c r="A437" s="600"/>
      <c r="B437" s="601"/>
      <c r="C437" s="240"/>
      <c r="D437" s="601"/>
      <c r="E437" s="601"/>
      <c r="F437" s="601"/>
      <c r="G437" s="241" t="s">
        <v>361</v>
      </c>
      <c r="H437" s="241"/>
      <c r="I437" s="237">
        <v>91687267.605000004</v>
      </c>
      <c r="J437" s="434">
        <f>+I437</f>
        <v>91687267.605000004</v>
      </c>
      <c r="K437" s="435"/>
      <c r="L437" s="436"/>
      <c r="M437" s="436"/>
      <c r="N437" s="242"/>
      <c r="O437" s="256"/>
      <c r="R437" s="254"/>
    </row>
    <row r="438" spans="1:18" x14ac:dyDescent="0.2">
      <c r="A438" s="600"/>
      <c r="B438" s="601"/>
      <c r="C438" s="240"/>
      <c r="D438" s="601"/>
      <c r="E438" s="601"/>
      <c r="F438" s="601"/>
      <c r="G438" s="241" t="s">
        <v>230</v>
      </c>
      <c r="H438" s="241"/>
      <c r="I438" s="237">
        <v>5689691.6100000003</v>
      </c>
      <c r="J438" s="434">
        <f>+I438</f>
        <v>5689691.6100000003</v>
      </c>
      <c r="K438" s="435"/>
      <c r="L438" s="436"/>
      <c r="M438" s="436"/>
      <c r="N438" s="242"/>
      <c r="O438" s="256"/>
      <c r="R438" s="254"/>
    </row>
    <row r="439" spans="1:18" x14ac:dyDescent="0.2">
      <c r="A439" s="600"/>
      <c r="B439" s="601"/>
      <c r="C439" s="240"/>
      <c r="D439" s="601"/>
      <c r="E439" s="601"/>
      <c r="F439" s="601"/>
      <c r="G439" s="241" t="s">
        <v>242</v>
      </c>
      <c r="H439" s="241"/>
      <c r="I439" s="237">
        <v>2000000</v>
      </c>
      <c r="J439" s="434"/>
      <c r="K439" s="435">
        <f>+I439</f>
        <v>2000000</v>
      </c>
      <c r="L439" s="436"/>
      <c r="M439" s="436"/>
      <c r="N439" s="242"/>
      <c r="O439" s="256"/>
      <c r="R439" s="254"/>
    </row>
    <row r="440" spans="1:18" x14ac:dyDescent="0.2">
      <c r="A440" s="600"/>
      <c r="B440" s="601"/>
      <c r="C440" s="240"/>
      <c r="D440" s="601"/>
      <c r="E440" s="601"/>
      <c r="F440" s="601"/>
      <c r="G440" s="241" t="s">
        <v>207</v>
      </c>
      <c r="H440" s="241"/>
      <c r="I440" s="237">
        <v>5000000</v>
      </c>
      <c r="J440" s="434">
        <f>+I440</f>
        <v>5000000</v>
      </c>
      <c r="K440" s="435"/>
      <c r="L440" s="436"/>
      <c r="M440" s="436"/>
      <c r="N440" s="242"/>
      <c r="O440" s="256"/>
      <c r="R440" s="254"/>
    </row>
    <row r="441" spans="1:18" x14ac:dyDescent="0.2">
      <c r="A441" s="600"/>
      <c r="B441" s="601"/>
      <c r="C441" s="240"/>
      <c r="D441" s="601"/>
      <c r="E441" s="601"/>
      <c r="F441" s="601"/>
      <c r="G441" s="241" t="s">
        <v>203</v>
      </c>
      <c r="H441" s="241"/>
      <c r="I441" s="237">
        <v>3745829.1740000001</v>
      </c>
      <c r="J441" s="434"/>
      <c r="K441" s="435"/>
      <c r="L441" s="436"/>
      <c r="M441" s="436">
        <f>+I441</f>
        <v>3745829.1740000001</v>
      </c>
      <c r="N441" s="242"/>
      <c r="O441" s="256"/>
      <c r="R441" s="254"/>
    </row>
    <row r="442" spans="1:18" ht="13.5" thickBot="1" x14ac:dyDescent="0.25">
      <c r="A442" s="600"/>
      <c r="B442" s="601"/>
      <c r="C442" s="240"/>
      <c r="D442" s="601"/>
      <c r="E442" s="601"/>
      <c r="F442" s="601"/>
      <c r="G442" s="241"/>
      <c r="H442" s="241"/>
      <c r="I442" s="237"/>
      <c r="J442" s="434"/>
      <c r="K442" s="435"/>
      <c r="L442" s="436"/>
      <c r="M442" s="436"/>
      <c r="N442" s="242"/>
      <c r="O442" s="256"/>
      <c r="R442" s="254"/>
    </row>
    <row r="443" spans="1:18" ht="29.45" hidden="1" customHeight="1" thickBot="1" x14ac:dyDescent="0.25">
      <c r="A443" s="600"/>
      <c r="B443" s="601"/>
      <c r="C443" s="240"/>
      <c r="D443" s="601" t="s">
        <v>18</v>
      </c>
      <c r="E443" s="601" t="s">
        <v>183</v>
      </c>
      <c r="F443" s="601" t="s">
        <v>241</v>
      </c>
      <c r="G443" s="311" t="str">
        <f>+'[7]Egresos Programa III General'!B104</f>
        <v>Mejoras Infraestructura Parque de la Garita</v>
      </c>
      <c r="H443" s="311"/>
      <c r="I443" s="242">
        <v>0</v>
      </c>
      <c r="J443" s="243"/>
      <c r="K443" s="244"/>
      <c r="L443" s="245"/>
      <c r="M443" s="245"/>
      <c r="N443" s="247"/>
      <c r="O443" s="256"/>
      <c r="P443" s="792">
        <f>+I443+I484</f>
        <v>4500000</v>
      </c>
    </row>
    <row r="444" spans="1:18" s="239" customFormat="1" ht="13.5" thickBot="1" x14ac:dyDescent="0.25">
      <c r="A444" s="323" t="s">
        <v>180</v>
      </c>
      <c r="B444" s="324"/>
      <c r="C444" s="325">
        <f>SUM(C431:C443)</f>
        <v>274482213.24000001</v>
      </c>
      <c r="D444" s="326"/>
      <c r="E444" s="326"/>
      <c r="F444" s="326"/>
      <c r="G444" s="327"/>
      <c r="H444" s="327"/>
      <c r="I444" s="341">
        <f>SUM(I432:I443)/2</f>
        <v>274482213.24273551</v>
      </c>
      <c r="J444" s="342"/>
      <c r="K444" s="343"/>
      <c r="L444" s="344"/>
      <c r="M444" s="344"/>
      <c r="N444" s="333">
        <f>+C444-I444</f>
        <v>-2.7354955673217773E-3</v>
      </c>
      <c r="O444" s="256"/>
      <c r="P444" s="800"/>
      <c r="Q444" s="335"/>
    </row>
    <row r="445" spans="1:18" x14ac:dyDescent="0.2">
      <c r="A445" s="466"/>
      <c r="B445" s="241"/>
      <c r="C445" s="241"/>
      <c r="D445" s="340"/>
      <c r="E445" s="340"/>
      <c r="F445" s="340"/>
      <c r="G445" s="467"/>
      <c r="H445" s="467"/>
      <c r="I445" s="468"/>
      <c r="J445" s="469"/>
      <c r="K445" s="470"/>
      <c r="L445" s="471"/>
      <c r="M445" s="471"/>
      <c r="N445" s="468"/>
      <c r="O445" s="256"/>
    </row>
    <row r="446" spans="1:18" x14ac:dyDescent="0.2">
      <c r="A446" s="600" t="str">
        <f>+'[7]Clasific. Económica de Ingresos'!A70</f>
        <v>1.3.1.2.05.04.5.0.000</v>
      </c>
      <c r="B446" s="241" t="s">
        <v>240</v>
      </c>
      <c r="C446" s="240">
        <f>+'[7]Clasific. Económica de Ingresos'!C70</f>
        <v>20000000</v>
      </c>
      <c r="D446" s="601" t="s">
        <v>8</v>
      </c>
      <c r="E446" s="601" t="s">
        <v>184</v>
      </c>
      <c r="F446" s="601" t="s">
        <v>209</v>
      </c>
      <c r="G446" s="241" t="s">
        <v>236</v>
      </c>
      <c r="H446" s="241"/>
      <c r="I446" s="312">
        <f>+C446*10%</f>
        <v>2000000</v>
      </c>
      <c r="J446" s="434"/>
      <c r="K446" s="435"/>
      <c r="L446" s="436"/>
      <c r="M446" s="436"/>
      <c r="N446" s="473"/>
      <c r="O446" s="256"/>
    </row>
    <row r="447" spans="1:18" x14ac:dyDescent="0.2">
      <c r="A447" s="600"/>
      <c r="B447" s="241"/>
      <c r="C447" s="240"/>
      <c r="D447" s="601"/>
      <c r="E447" s="601"/>
      <c r="F447" s="601"/>
      <c r="G447" s="241" t="s">
        <v>9</v>
      </c>
      <c r="H447" s="241"/>
      <c r="I447" s="237">
        <v>2000000</v>
      </c>
      <c r="J447" s="434">
        <f>+I447</f>
        <v>2000000</v>
      </c>
      <c r="K447" s="435"/>
      <c r="L447" s="436"/>
      <c r="M447" s="436"/>
      <c r="N447" s="473"/>
      <c r="O447" s="256"/>
    </row>
    <row r="448" spans="1:18" x14ac:dyDescent="0.2">
      <c r="A448" s="600"/>
      <c r="B448" s="241"/>
      <c r="C448" s="240"/>
      <c r="D448" s="601"/>
      <c r="E448" s="601"/>
      <c r="F448" s="601"/>
      <c r="G448" s="241"/>
      <c r="H448" s="241"/>
      <c r="I448" s="237"/>
      <c r="J448" s="434"/>
      <c r="K448" s="435"/>
      <c r="L448" s="436"/>
      <c r="M448" s="436"/>
      <c r="N448" s="473"/>
      <c r="O448" s="256"/>
    </row>
    <row r="449" spans="1:17" x14ac:dyDescent="0.2">
      <c r="A449" s="600"/>
      <c r="B449" s="601"/>
      <c r="C449" s="240"/>
      <c r="D449" s="601" t="s">
        <v>19</v>
      </c>
      <c r="E449" s="601">
        <v>29</v>
      </c>
      <c r="F449" s="601"/>
      <c r="G449" s="241" t="str">
        <f>+'[7]Egresos Programa II General'!B41</f>
        <v>Por incumplimiento de Deberes de los Propietarios BI</v>
      </c>
      <c r="H449" s="241"/>
      <c r="I449" s="457">
        <f>+'[7]Egresos Programa II General'!C41-'Origen y Aplicación'!I110-I540</f>
        <v>18000000.00354214</v>
      </c>
      <c r="J449" s="301"/>
      <c r="K449" s="302"/>
      <c r="L449" s="303"/>
      <c r="M449" s="303"/>
      <c r="N449" s="237"/>
      <c r="O449" s="256"/>
    </row>
    <row r="450" spans="1:17" x14ac:dyDescent="0.2">
      <c r="A450" s="600"/>
      <c r="B450" s="601"/>
      <c r="C450" s="240"/>
      <c r="D450" s="601"/>
      <c r="E450" s="601"/>
      <c r="F450" s="601"/>
      <c r="G450" s="241" t="s">
        <v>9</v>
      </c>
      <c r="H450" s="241"/>
      <c r="I450" s="300">
        <v>18000000</v>
      </c>
      <c r="J450" s="301">
        <f>+I450</f>
        <v>18000000</v>
      </c>
      <c r="K450" s="302"/>
      <c r="L450" s="303"/>
      <c r="M450" s="303"/>
      <c r="N450" s="237"/>
      <c r="O450" s="256"/>
    </row>
    <row r="451" spans="1:17" ht="13.5" thickBot="1" x14ac:dyDescent="0.25">
      <c r="A451" s="600"/>
      <c r="B451" s="601"/>
      <c r="C451" s="240"/>
      <c r="D451" s="601"/>
      <c r="E451" s="601"/>
      <c r="F451" s="601"/>
      <c r="G451" s="241"/>
      <c r="H451" s="241"/>
      <c r="I451" s="300"/>
      <c r="J451" s="301"/>
      <c r="K451" s="302"/>
      <c r="L451" s="303"/>
      <c r="M451" s="303"/>
      <c r="N451" s="237"/>
      <c r="O451" s="256"/>
    </row>
    <row r="452" spans="1:17" s="239" customFormat="1" ht="13.5" thickBot="1" x14ac:dyDescent="0.25">
      <c r="A452" s="323" t="s">
        <v>180</v>
      </c>
      <c r="B452" s="324"/>
      <c r="C452" s="325">
        <f>SUM(C446:C449)</f>
        <v>20000000</v>
      </c>
      <c r="D452" s="326"/>
      <c r="E452" s="326"/>
      <c r="F452" s="326"/>
      <c r="G452" s="327"/>
      <c r="H452" s="327"/>
      <c r="I452" s="341">
        <f>SUM(I446:I450)/2</f>
        <v>20000000.00177107</v>
      </c>
      <c r="J452" s="342"/>
      <c r="K452" s="343"/>
      <c r="L452" s="344"/>
      <c r="M452" s="344"/>
      <c r="N452" s="333">
        <f>+C452-I452</f>
        <v>-1.7710700631141663E-3</v>
      </c>
      <c r="O452" s="256"/>
      <c r="P452" s="800"/>
      <c r="Q452" s="335"/>
    </row>
    <row r="453" spans="1:17" hidden="1" x14ac:dyDescent="0.2">
      <c r="A453" s="432"/>
      <c r="B453" s="395"/>
      <c r="C453" s="394"/>
      <c r="D453" s="601"/>
      <c r="E453" s="601"/>
      <c r="F453" s="601"/>
      <c r="G453" s="241"/>
      <c r="H453" s="241"/>
      <c r="I453" s="300"/>
      <c r="J453" s="301"/>
      <c r="K453" s="302"/>
      <c r="L453" s="303"/>
      <c r="M453" s="303"/>
      <c r="N453" s="300"/>
      <c r="O453" s="256"/>
    </row>
    <row r="454" spans="1:17" hidden="1" x14ac:dyDescent="0.2">
      <c r="A454" s="600" t="str">
        <f>+'[7]Clasific. Económica de Ingresos'!A71</f>
        <v>1.3.1.2.05.09.9.0.000</v>
      </c>
      <c r="B454" s="395" t="str">
        <f>+'[7]Clasific. Económica de Ingresos'!B71</f>
        <v>Venta de otros servicios comunitarios</v>
      </c>
      <c r="C454" s="240">
        <f>+'[7]Clasific. Económica de Ingresos'!C71</f>
        <v>0</v>
      </c>
      <c r="D454" s="601"/>
      <c r="E454" s="601"/>
      <c r="F454" s="601"/>
      <c r="G454" s="241"/>
      <c r="H454" s="241"/>
      <c r="I454" s="300"/>
      <c r="J454" s="301"/>
      <c r="K454" s="302"/>
      <c r="L454" s="303"/>
      <c r="M454" s="303"/>
      <c r="N454" s="300"/>
      <c r="O454" s="256"/>
    </row>
    <row r="455" spans="1:17" hidden="1" x14ac:dyDescent="0.2">
      <c r="A455" s="600"/>
      <c r="B455" s="601"/>
      <c r="C455" s="240"/>
      <c r="D455" s="601" t="s">
        <v>19</v>
      </c>
      <c r="E455" s="601">
        <v>10</v>
      </c>
      <c r="F455" s="601" t="s">
        <v>209</v>
      </c>
      <c r="G455" s="241" t="str">
        <f>+'[7]Egresos Programa II General'!B23</f>
        <v>Servicios Sociales Complementarios</v>
      </c>
      <c r="H455" s="241"/>
      <c r="I455" s="300">
        <v>0</v>
      </c>
      <c r="J455" s="301"/>
      <c r="K455" s="302"/>
      <c r="L455" s="303"/>
      <c r="M455" s="303"/>
      <c r="N455" s="300"/>
      <c r="O455" s="256"/>
    </row>
    <row r="456" spans="1:17" hidden="1" x14ac:dyDescent="0.2">
      <c r="A456" s="600"/>
      <c r="B456" s="601"/>
      <c r="C456" s="240"/>
      <c r="D456" s="601"/>
      <c r="E456" s="601"/>
      <c r="F456" s="601"/>
      <c r="G456" s="241"/>
      <c r="H456" s="241"/>
      <c r="I456" s="300"/>
      <c r="J456" s="301"/>
      <c r="K456" s="302"/>
      <c r="L456" s="303"/>
      <c r="M456" s="303"/>
      <c r="N456" s="300"/>
      <c r="O456" s="256"/>
    </row>
    <row r="457" spans="1:17" ht="13.5" hidden="1" thickBot="1" x14ac:dyDescent="0.25">
      <c r="A457" s="323" t="s">
        <v>180</v>
      </c>
      <c r="B457" s="324"/>
      <c r="C457" s="325">
        <f>SUM(C453:C455)</f>
        <v>0</v>
      </c>
      <c r="D457" s="326"/>
      <c r="E457" s="326"/>
      <c r="F457" s="326"/>
      <c r="G457" s="327"/>
      <c r="H457" s="327"/>
      <c r="I457" s="341">
        <f>SUM(I454:I455)</f>
        <v>0</v>
      </c>
      <c r="J457" s="342"/>
      <c r="K457" s="343"/>
      <c r="L457" s="344"/>
      <c r="M457" s="344"/>
      <c r="N457" s="333">
        <f>+C457-I457</f>
        <v>0</v>
      </c>
      <c r="O457" s="256"/>
    </row>
    <row r="458" spans="1:17" x14ac:dyDescent="0.2">
      <c r="A458" s="600"/>
      <c r="B458" s="601"/>
      <c r="C458" s="240"/>
      <c r="D458" s="601"/>
      <c r="E458" s="601"/>
      <c r="F458" s="601"/>
      <c r="G458" s="241"/>
      <c r="H458" s="241"/>
      <c r="I458" s="242"/>
      <c r="J458" s="243"/>
      <c r="K458" s="244"/>
      <c r="L458" s="245"/>
      <c r="M458" s="245"/>
      <c r="N458" s="242"/>
      <c r="O458" s="256"/>
    </row>
    <row r="459" spans="1:17" s="358" customFormat="1" x14ac:dyDescent="0.2">
      <c r="A459" s="413"/>
      <c r="B459" s="363"/>
      <c r="C459" s="363"/>
      <c r="D459" s="362"/>
      <c r="E459" s="427"/>
      <c r="F459" s="362"/>
      <c r="G459" s="363"/>
      <c r="H459" s="363"/>
      <c r="I459" s="475"/>
      <c r="J459" s="476"/>
      <c r="K459" s="477"/>
      <c r="L459" s="478"/>
      <c r="M459" s="478"/>
      <c r="N459" s="475"/>
      <c r="O459" s="256"/>
      <c r="P459" s="798"/>
      <c r="Q459" s="357"/>
    </row>
    <row r="460" spans="1:17" s="358" customFormat="1" x14ac:dyDescent="0.2">
      <c r="A460" s="359" t="str">
        <f>+'[7]Clasific. Económica de Ingresos'!A73</f>
        <v>1.3.1.2.09.09.0.0.000</v>
      </c>
      <c r="B460" s="363" t="s">
        <v>239</v>
      </c>
      <c r="C460" s="361">
        <f>SUM('[7]Clasific. Económica de Ingresos'!C73)</f>
        <v>10000000</v>
      </c>
      <c r="D460" s="362"/>
      <c r="E460" s="362"/>
      <c r="F460" s="362"/>
      <c r="G460" s="363"/>
      <c r="H460" s="363"/>
      <c r="I460" s="356"/>
      <c r="J460" s="352"/>
      <c r="K460" s="353"/>
      <c r="L460" s="354"/>
      <c r="M460" s="354"/>
      <c r="N460" s="356"/>
      <c r="O460" s="256"/>
      <c r="P460" s="798"/>
      <c r="Q460" s="357"/>
    </row>
    <row r="461" spans="1:17" ht="25.5" hidden="1" customHeight="1" x14ac:dyDescent="0.2">
      <c r="A461" s="600"/>
      <c r="B461" s="363"/>
      <c r="C461" s="361"/>
      <c r="D461" s="362" t="s">
        <v>18</v>
      </c>
      <c r="E461" s="362">
        <v>5</v>
      </c>
      <c r="F461" s="362" t="s">
        <v>189</v>
      </c>
      <c r="G461" s="360" t="str">
        <f>+'[7]Egresos Programa III General'!B79</f>
        <v>Plan Operación Mantenimiento y Des.Sistema de Acueducto 2018-2022</v>
      </c>
      <c r="H461" s="360"/>
      <c r="I461" s="356">
        <v>0</v>
      </c>
      <c r="J461" s="352"/>
      <c r="K461" s="353"/>
      <c r="L461" s="354"/>
      <c r="M461" s="354"/>
      <c r="N461" s="300"/>
      <c r="O461" s="256"/>
    </row>
    <row r="462" spans="1:17" s="358" customFormat="1" x14ac:dyDescent="0.2">
      <c r="A462" s="359"/>
      <c r="B462" s="362"/>
      <c r="C462" s="361"/>
      <c r="D462" s="362" t="s">
        <v>8</v>
      </c>
      <c r="E462" s="362" t="s">
        <v>184</v>
      </c>
      <c r="F462" s="362" t="s">
        <v>209</v>
      </c>
      <c r="G462" s="363" t="s">
        <v>213</v>
      </c>
      <c r="H462" s="363"/>
      <c r="I462" s="364">
        <v>10000000</v>
      </c>
      <c r="J462" s="372"/>
      <c r="K462" s="373"/>
      <c r="L462" s="374"/>
      <c r="M462" s="374"/>
      <c r="N462" s="253"/>
      <c r="O462" s="256"/>
      <c r="P462" s="798"/>
      <c r="Q462" s="357"/>
    </row>
    <row r="463" spans="1:17" s="358" customFormat="1" x14ac:dyDescent="0.2">
      <c r="A463" s="359"/>
      <c r="B463" s="362"/>
      <c r="C463" s="361"/>
      <c r="D463" s="362"/>
      <c r="E463" s="362"/>
      <c r="F463" s="362"/>
      <c r="G463" s="363" t="s">
        <v>9</v>
      </c>
      <c r="H463" s="363"/>
      <c r="I463" s="253">
        <v>10000000</v>
      </c>
      <c r="J463" s="372">
        <f>+I463</f>
        <v>10000000</v>
      </c>
      <c r="K463" s="373"/>
      <c r="L463" s="374"/>
      <c r="M463" s="374"/>
      <c r="N463" s="253"/>
      <c r="O463" s="256"/>
      <c r="P463" s="798"/>
      <c r="Q463" s="357"/>
    </row>
    <row r="464" spans="1:17" s="358" customFormat="1" ht="13.5" thickBot="1" x14ac:dyDescent="0.25">
      <c r="A464" s="359"/>
      <c r="B464" s="362"/>
      <c r="C464" s="361"/>
      <c r="D464" s="362"/>
      <c r="E464" s="362"/>
      <c r="F464" s="362"/>
      <c r="G464" s="363"/>
      <c r="H464" s="363"/>
      <c r="I464" s="253"/>
      <c r="J464" s="372"/>
      <c r="K464" s="373"/>
      <c r="L464" s="374"/>
      <c r="M464" s="374"/>
      <c r="N464" s="253"/>
      <c r="O464" s="256"/>
      <c r="P464" s="798"/>
      <c r="Q464" s="357"/>
    </row>
    <row r="465" spans="1:17" s="386" customFormat="1" ht="13.5" thickBot="1" x14ac:dyDescent="0.25">
      <c r="A465" s="402" t="s">
        <v>180</v>
      </c>
      <c r="B465" s="403"/>
      <c r="C465" s="404">
        <f>SUM(C460:C462)</f>
        <v>10000000</v>
      </c>
      <c r="D465" s="405"/>
      <c r="E465" s="405"/>
      <c r="F465" s="405"/>
      <c r="G465" s="406"/>
      <c r="H465" s="406"/>
      <c r="I465" s="407">
        <f>SUM(I460:I462)</f>
        <v>10000000</v>
      </c>
      <c r="J465" s="480"/>
      <c r="K465" s="481"/>
      <c r="L465" s="482"/>
      <c r="M465" s="482"/>
      <c r="N465" s="484">
        <f>+C465-I465</f>
        <v>0</v>
      </c>
      <c r="O465" s="256"/>
      <c r="P465" s="801"/>
      <c r="Q465" s="385"/>
    </row>
    <row r="466" spans="1:17" x14ac:dyDescent="0.2">
      <c r="A466" s="387"/>
      <c r="B466" s="388"/>
      <c r="C466" s="389"/>
      <c r="D466" s="599"/>
      <c r="E466" s="599"/>
      <c r="F466" s="599"/>
      <c r="G466" s="231"/>
      <c r="H466" s="231"/>
      <c r="I466" s="232"/>
      <c r="J466" s="233"/>
      <c r="K466" s="234"/>
      <c r="L466" s="235"/>
      <c r="M466" s="235"/>
      <c r="N466" s="232"/>
      <c r="O466" s="256"/>
    </row>
    <row r="467" spans="1:17" ht="25.5" x14ac:dyDescent="0.2">
      <c r="A467" s="600" t="str">
        <f>+'[7]Clasific. Económica de Ingresos'!A78</f>
        <v>1.3.1.3.01.01.1.0.000</v>
      </c>
      <c r="B467" s="395" t="s">
        <v>238</v>
      </c>
      <c r="C467" s="240">
        <f>SUM('[7]Clasific. Económica de Ingresos'!C78)</f>
        <v>72000000</v>
      </c>
      <c r="D467" s="601"/>
      <c r="E467" s="601"/>
      <c r="F467" s="601"/>
      <c r="G467" s="241"/>
      <c r="H467" s="241"/>
      <c r="I467" s="300"/>
      <c r="J467" s="301"/>
      <c r="K467" s="302"/>
      <c r="L467" s="303"/>
      <c r="M467" s="303"/>
      <c r="N467" s="300"/>
      <c r="O467" s="256"/>
    </row>
    <row r="468" spans="1:17" x14ac:dyDescent="0.2">
      <c r="A468" s="600"/>
      <c r="B468" s="601"/>
      <c r="C468" s="240"/>
      <c r="D468" s="601" t="s">
        <v>8</v>
      </c>
      <c r="E468" s="601" t="s">
        <v>184</v>
      </c>
      <c r="F468" s="601" t="s">
        <v>209</v>
      </c>
      <c r="G468" s="241" t="s">
        <v>236</v>
      </c>
      <c r="H468" s="241"/>
      <c r="I468" s="312">
        <f>+C467*10%</f>
        <v>7200000</v>
      </c>
      <c r="J468" s="434"/>
      <c r="K468" s="435"/>
      <c r="L468" s="436"/>
      <c r="M468" s="436"/>
      <c r="N468" s="300"/>
      <c r="O468" s="256"/>
    </row>
    <row r="469" spans="1:17" x14ac:dyDescent="0.2">
      <c r="A469" s="600"/>
      <c r="B469" s="601"/>
      <c r="C469" s="240"/>
      <c r="D469" s="601"/>
      <c r="E469" s="601"/>
      <c r="F469" s="601"/>
      <c r="G469" s="241" t="s">
        <v>9</v>
      </c>
      <c r="H469" s="241"/>
      <c r="I469" s="237">
        <v>7200000</v>
      </c>
      <c r="J469" s="434">
        <f>+I469</f>
        <v>7200000</v>
      </c>
      <c r="K469" s="435"/>
      <c r="L469" s="436"/>
      <c r="M469" s="436"/>
      <c r="N469" s="300"/>
      <c r="O469" s="256"/>
    </row>
    <row r="470" spans="1:17" x14ac:dyDescent="0.2">
      <c r="A470" s="600"/>
      <c r="B470" s="601"/>
      <c r="C470" s="240"/>
      <c r="D470" s="601"/>
      <c r="E470" s="601"/>
      <c r="F470" s="601"/>
      <c r="G470" s="241"/>
      <c r="H470" s="241"/>
      <c r="I470" s="237"/>
      <c r="J470" s="434"/>
      <c r="K470" s="435"/>
      <c r="L470" s="436"/>
      <c r="M470" s="436"/>
      <c r="N470" s="300"/>
      <c r="O470" s="256">
        <f>SUM(I472:I476)</f>
        <v>64700000</v>
      </c>
      <c r="P470" s="792">
        <f>+O470-I471</f>
        <v>-99999.995139986277</v>
      </c>
    </row>
    <row r="471" spans="1:17" x14ac:dyDescent="0.2">
      <c r="A471" s="600"/>
      <c r="B471" s="601"/>
      <c r="C471" s="240"/>
      <c r="D471" s="601" t="s">
        <v>19</v>
      </c>
      <c r="E471" s="601">
        <v>11</v>
      </c>
      <c r="F471" s="601"/>
      <c r="G471" s="241" t="str">
        <f>+'[7]Egresos Programa II General'!B25</f>
        <v>Estacionamientos y Terminales</v>
      </c>
      <c r="H471" s="241"/>
      <c r="I471" s="312">
        <f>+'[7]Egresos Programa II General'!C25-'Origen y Aplicación'!I54</f>
        <v>64799999.995139986</v>
      </c>
      <c r="J471" s="313"/>
      <c r="K471" s="314"/>
      <c r="L471" s="315"/>
      <c r="M471" s="315"/>
      <c r="N471" s="242"/>
      <c r="O471" s="256"/>
    </row>
    <row r="472" spans="1:17" x14ac:dyDescent="0.2">
      <c r="A472" s="600"/>
      <c r="B472" s="601"/>
      <c r="C472" s="240"/>
      <c r="D472" s="601"/>
      <c r="E472" s="601"/>
      <c r="F472" s="601"/>
      <c r="G472" s="241" t="s">
        <v>9</v>
      </c>
      <c r="H472" s="241"/>
      <c r="I472" s="247">
        <f>42468008.61+104918.99</f>
        <v>42572927.600000001</v>
      </c>
      <c r="J472" s="313">
        <f>+I472</f>
        <v>42572927.600000001</v>
      </c>
      <c r="K472" s="314"/>
      <c r="L472" s="315"/>
      <c r="M472" s="315"/>
      <c r="N472" s="242"/>
      <c r="O472" s="256"/>
    </row>
    <row r="473" spans="1:17" x14ac:dyDescent="0.2">
      <c r="A473" s="600"/>
      <c r="B473" s="601"/>
      <c r="C473" s="240"/>
      <c r="D473" s="601"/>
      <c r="E473" s="601"/>
      <c r="F473" s="601"/>
      <c r="G473" s="241" t="s">
        <v>10</v>
      </c>
      <c r="H473" s="241"/>
      <c r="I473" s="247">
        <v>9427072.4000000004</v>
      </c>
      <c r="J473" s="313">
        <f>+I473</f>
        <v>9427072.4000000004</v>
      </c>
      <c r="K473" s="314"/>
      <c r="L473" s="315"/>
      <c r="M473" s="315"/>
      <c r="N473" s="242"/>
      <c r="O473" s="256"/>
    </row>
    <row r="474" spans="1:17" x14ac:dyDescent="0.2">
      <c r="A474" s="600"/>
      <c r="B474" s="601"/>
      <c r="C474" s="240"/>
      <c r="D474" s="601"/>
      <c r="E474" s="601"/>
      <c r="F474" s="601"/>
      <c r="G474" s="241" t="s">
        <v>230</v>
      </c>
      <c r="H474" s="241"/>
      <c r="I474" s="247">
        <v>4800000</v>
      </c>
      <c r="J474" s="313">
        <f>+I474</f>
        <v>4800000</v>
      </c>
      <c r="K474" s="314"/>
      <c r="L474" s="315"/>
      <c r="M474" s="315"/>
      <c r="N474" s="242"/>
      <c r="O474" s="256"/>
    </row>
    <row r="475" spans="1:17" x14ac:dyDescent="0.2">
      <c r="A475" s="600"/>
      <c r="B475" s="601"/>
      <c r="C475" s="240"/>
      <c r="D475" s="601"/>
      <c r="E475" s="601"/>
      <c r="F475" s="601"/>
      <c r="G475" s="241" t="s">
        <v>181</v>
      </c>
      <c r="H475" s="241"/>
      <c r="I475" s="247">
        <v>400000</v>
      </c>
      <c r="J475" s="313"/>
      <c r="K475" s="314">
        <f>+I475</f>
        <v>400000</v>
      </c>
      <c r="L475" s="315"/>
      <c r="M475" s="315"/>
      <c r="N475" s="242"/>
      <c r="O475" s="256"/>
    </row>
    <row r="476" spans="1:17" x14ac:dyDescent="0.2">
      <c r="A476" s="600"/>
      <c r="B476" s="601"/>
      <c r="C476" s="240"/>
      <c r="D476" s="601"/>
      <c r="E476" s="601"/>
      <c r="F476" s="601"/>
      <c r="G476" s="241" t="s">
        <v>207</v>
      </c>
      <c r="H476" s="241"/>
      <c r="I476" s="247">
        <v>7500000</v>
      </c>
      <c r="J476" s="313">
        <f>+I476</f>
        <v>7500000</v>
      </c>
      <c r="K476" s="314"/>
      <c r="L476" s="315"/>
      <c r="M476" s="315"/>
      <c r="N476" s="242"/>
      <c r="O476" s="256"/>
    </row>
    <row r="477" spans="1:17" ht="13.5" thickBot="1" x14ac:dyDescent="0.25">
      <c r="A477" s="600"/>
      <c r="B477" s="601"/>
      <c r="C477" s="240"/>
      <c r="D477" s="601"/>
      <c r="E477" s="601"/>
      <c r="F477" s="601"/>
      <c r="G477" s="241" t="s">
        <v>645</v>
      </c>
      <c r="H477" s="241"/>
      <c r="I477" s="247">
        <v>100000</v>
      </c>
      <c r="J477" s="313"/>
      <c r="K477" s="314"/>
      <c r="L477" s="315"/>
      <c r="M477" s="315">
        <v>100000</v>
      </c>
      <c r="N477" s="242"/>
      <c r="O477" s="256"/>
    </row>
    <row r="478" spans="1:17" ht="13.5" thickBot="1" x14ac:dyDescent="0.25">
      <c r="A478" s="323" t="s">
        <v>180</v>
      </c>
      <c r="B478" s="324"/>
      <c r="C478" s="325">
        <f>SUM(C467:C471)</f>
        <v>72000000</v>
      </c>
      <c r="D478" s="326"/>
      <c r="E478" s="326"/>
      <c r="F478" s="326"/>
      <c r="G478" s="327"/>
      <c r="H478" s="327"/>
      <c r="I478" s="341">
        <f>SUM(I468:I477)/2</f>
        <v>71999999.997569993</v>
      </c>
      <c r="J478" s="342"/>
      <c r="K478" s="343"/>
      <c r="L478" s="344"/>
      <c r="M478" s="344"/>
      <c r="N478" s="333">
        <f>+C478-I478</f>
        <v>2.4300068616867065E-3</v>
      </c>
      <c r="O478" s="256"/>
    </row>
    <row r="479" spans="1:17" x14ac:dyDescent="0.2">
      <c r="A479" s="432"/>
      <c r="B479" s="395"/>
      <c r="C479" s="394"/>
      <c r="D479" s="601"/>
      <c r="E479" s="601"/>
      <c r="F479" s="601"/>
      <c r="G479" s="241"/>
      <c r="H479" s="241"/>
      <c r="I479" s="300"/>
      <c r="J479" s="301"/>
      <c r="K479" s="302"/>
      <c r="L479" s="303"/>
      <c r="M479" s="303"/>
      <c r="N479" s="300"/>
      <c r="O479" s="256"/>
    </row>
    <row r="480" spans="1:17" x14ac:dyDescent="0.2">
      <c r="A480" s="600" t="str">
        <f>+'[7]Clasific. Económica de Ingresos'!A81</f>
        <v>1.3.1.3.02.03.1.0.000</v>
      </c>
      <c r="B480" s="395" t="s">
        <v>237</v>
      </c>
      <c r="C480" s="240">
        <f>SUM('[7]Clasific. Económica de Ingresos'!C81)</f>
        <v>5000000</v>
      </c>
      <c r="D480" s="601"/>
      <c r="E480" s="601"/>
      <c r="F480" s="601"/>
      <c r="G480" s="241"/>
      <c r="H480" s="241"/>
      <c r="I480" s="300"/>
      <c r="J480" s="301"/>
      <c r="K480" s="302"/>
      <c r="L480" s="303"/>
      <c r="M480" s="303"/>
      <c r="N480" s="300"/>
      <c r="O480" s="256"/>
    </row>
    <row r="481" spans="1:17" x14ac:dyDescent="0.2">
      <c r="A481" s="600"/>
      <c r="B481" s="601"/>
      <c r="C481" s="240"/>
      <c r="D481" s="601" t="s">
        <v>8</v>
      </c>
      <c r="E481" s="601" t="s">
        <v>184</v>
      </c>
      <c r="F481" s="601" t="s">
        <v>209</v>
      </c>
      <c r="G481" s="241" t="s">
        <v>236</v>
      </c>
      <c r="H481" s="241"/>
      <c r="I481" s="312">
        <f>+C480*10%</f>
        <v>500000</v>
      </c>
      <c r="J481" s="434"/>
      <c r="K481" s="435"/>
      <c r="L481" s="436"/>
      <c r="M481" s="436"/>
      <c r="N481" s="300"/>
      <c r="O481" s="256"/>
    </row>
    <row r="482" spans="1:17" x14ac:dyDescent="0.2">
      <c r="A482" s="600"/>
      <c r="B482" s="601"/>
      <c r="C482" s="240"/>
      <c r="D482" s="601"/>
      <c r="E482" s="601"/>
      <c r="F482" s="601"/>
      <c r="G482" s="241" t="s">
        <v>9</v>
      </c>
      <c r="H482" s="241"/>
      <c r="I482" s="237">
        <v>500000</v>
      </c>
      <c r="J482" s="434">
        <f>+I482</f>
        <v>500000</v>
      </c>
      <c r="K482" s="435"/>
      <c r="L482" s="436"/>
      <c r="M482" s="436"/>
      <c r="N482" s="300"/>
      <c r="O482" s="256"/>
    </row>
    <row r="483" spans="1:17" x14ac:dyDescent="0.2">
      <c r="A483" s="600"/>
      <c r="B483" s="601"/>
      <c r="C483" s="240"/>
      <c r="D483" s="601"/>
      <c r="E483" s="601"/>
      <c r="F483" s="601"/>
      <c r="G483" s="241"/>
      <c r="H483" s="241"/>
      <c r="I483" s="237"/>
      <c r="J483" s="434"/>
      <c r="K483" s="435"/>
      <c r="L483" s="436"/>
      <c r="M483" s="436"/>
      <c r="N483" s="300"/>
      <c r="O483" s="256"/>
    </row>
    <row r="484" spans="1:17" x14ac:dyDescent="0.2">
      <c r="A484" s="600"/>
      <c r="B484" s="601"/>
      <c r="C484" s="240"/>
      <c r="D484" s="601" t="s">
        <v>19</v>
      </c>
      <c r="E484" s="601" t="s">
        <v>189</v>
      </c>
      <c r="F484" s="601"/>
      <c r="G484" s="241" t="str">
        <f>+'[7]Egresos Programa II General'!B19</f>
        <v>Mercados, Plazas y Ferias</v>
      </c>
      <c r="H484" s="241"/>
      <c r="I484" s="312">
        <v>4500000</v>
      </c>
      <c r="J484" s="313"/>
      <c r="K484" s="314"/>
      <c r="L484" s="315"/>
      <c r="M484" s="315"/>
      <c r="N484" s="242"/>
      <c r="O484" s="256"/>
    </row>
    <row r="485" spans="1:17" ht="13.5" thickBot="1" x14ac:dyDescent="0.25">
      <c r="A485" s="600"/>
      <c r="B485" s="601"/>
      <c r="C485" s="240"/>
      <c r="D485" s="601"/>
      <c r="E485" s="601"/>
      <c r="F485" s="601"/>
      <c r="G485" s="241" t="s">
        <v>9</v>
      </c>
      <c r="H485" s="241"/>
      <c r="I485" s="247">
        <v>4500000</v>
      </c>
      <c r="J485" s="313">
        <f>+I485</f>
        <v>4500000</v>
      </c>
      <c r="K485" s="314"/>
      <c r="L485" s="315"/>
      <c r="M485" s="315"/>
      <c r="N485" s="242"/>
      <c r="O485" s="256"/>
    </row>
    <row r="486" spans="1:17" ht="13.5" hidden="1" thickBot="1" x14ac:dyDescent="0.25">
      <c r="A486" s="600"/>
      <c r="B486" s="601"/>
      <c r="C486" s="240"/>
      <c r="D486" s="601"/>
      <c r="E486" s="601"/>
      <c r="F486" s="601"/>
      <c r="G486" s="241"/>
      <c r="H486" s="241"/>
      <c r="I486" s="247"/>
      <c r="J486" s="313"/>
      <c r="K486" s="314"/>
      <c r="L486" s="315"/>
      <c r="M486" s="315"/>
      <c r="N486" s="242"/>
      <c r="O486" s="256"/>
    </row>
    <row r="487" spans="1:17" ht="13.5" hidden="1" thickBot="1" x14ac:dyDescent="0.25">
      <c r="A487" s="600"/>
      <c r="B487" s="601"/>
      <c r="C487" s="240"/>
      <c r="D487" s="601"/>
      <c r="E487" s="601"/>
      <c r="F487" s="601"/>
      <c r="G487" s="241"/>
      <c r="H487" s="241"/>
      <c r="I487" s="247"/>
      <c r="J487" s="313"/>
      <c r="K487" s="314"/>
      <c r="L487" s="315"/>
      <c r="M487" s="315"/>
      <c r="N487" s="242"/>
      <c r="O487" s="256"/>
    </row>
    <row r="488" spans="1:17" ht="13.5" thickBot="1" x14ac:dyDescent="0.25">
      <c r="A488" s="323" t="s">
        <v>180</v>
      </c>
      <c r="B488" s="324"/>
      <c r="C488" s="325">
        <f>SUM(C480:C484)</f>
        <v>5000000</v>
      </c>
      <c r="D488" s="326"/>
      <c r="E488" s="326"/>
      <c r="F488" s="326"/>
      <c r="G488" s="327"/>
      <c r="H488" s="327"/>
      <c r="I488" s="341">
        <f>SUM(I481:I485)/2</f>
        <v>5000000</v>
      </c>
      <c r="J488" s="342"/>
      <c r="K488" s="343"/>
      <c r="L488" s="344"/>
      <c r="M488" s="344"/>
      <c r="N488" s="333">
        <f>+C488-I488</f>
        <v>0</v>
      </c>
      <c r="O488" s="256"/>
    </row>
    <row r="489" spans="1:17" ht="13.5" thickBot="1" x14ac:dyDescent="0.25">
      <c r="A489" s="320"/>
      <c r="B489" s="321"/>
      <c r="C489" s="321"/>
      <c r="D489" s="321"/>
      <c r="E489" s="321"/>
      <c r="F489" s="321"/>
      <c r="G489" s="485"/>
      <c r="H489" s="485"/>
      <c r="I489" s="442"/>
      <c r="J489" s="301"/>
      <c r="K489" s="302"/>
      <c r="L489" s="303"/>
      <c r="M489" s="303"/>
      <c r="N489" s="237"/>
      <c r="O489" s="256"/>
    </row>
    <row r="490" spans="1:17" ht="13.5" thickBot="1" x14ac:dyDescent="0.25">
      <c r="A490" s="271"/>
      <c r="B490" s="272"/>
      <c r="C490" s="273"/>
      <c r="D490" s="272"/>
      <c r="E490" s="321"/>
      <c r="F490" s="272"/>
      <c r="G490" s="274"/>
      <c r="H490" s="274"/>
      <c r="I490" s="486"/>
      <c r="J490" s="469"/>
      <c r="K490" s="470"/>
      <c r="L490" s="471"/>
      <c r="M490" s="471"/>
      <c r="N490" s="468"/>
      <c r="O490" s="256"/>
    </row>
    <row r="491" spans="1:17" s="358" customFormat="1" x14ac:dyDescent="0.2">
      <c r="A491" s="413" t="s">
        <v>15</v>
      </c>
      <c r="B491" s="363"/>
      <c r="C491" s="363"/>
      <c r="D491" s="362"/>
      <c r="E491" s="362"/>
      <c r="F491" s="362"/>
      <c r="G491" s="363"/>
      <c r="H491" s="363"/>
      <c r="I491" s="356"/>
      <c r="J491" s="352"/>
      <c r="K491" s="353"/>
      <c r="L491" s="354"/>
      <c r="M491" s="354"/>
      <c r="N491" s="356"/>
      <c r="O491" s="256"/>
      <c r="P491" s="798"/>
      <c r="Q491" s="357"/>
    </row>
    <row r="492" spans="1:17" s="358" customFormat="1" x14ac:dyDescent="0.2">
      <c r="A492" s="359" t="str">
        <f>+'[7]Clasific. Económica de Ingresos'!A88</f>
        <v>1.3.2.3.01.06.0.0.000</v>
      </c>
      <c r="B492" s="363" t="s">
        <v>235</v>
      </c>
      <c r="C492" s="361">
        <f>SUM('[7]Clasific. Económica de Ingresos'!C88)</f>
        <v>750000000</v>
      </c>
      <c r="D492" s="362"/>
      <c r="E492" s="362"/>
      <c r="F492" s="362"/>
      <c r="G492" s="363"/>
      <c r="H492" s="363"/>
      <c r="I492" s="356"/>
      <c r="J492" s="352"/>
      <c r="K492" s="353"/>
      <c r="L492" s="354"/>
      <c r="M492" s="354"/>
      <c r="N492" s="356"/>
      <c r="O492" s="256"/>
      <c r="P492" s="798"/>
      <c r="Q492" s="357"/>
    </row>
    <row r="493" spans="1:17" s="358" customFormat="1" x14ac:dyDescent="0.2">
      <c r="A493" s="359"/>
      <c r="B493" s="363"/>
      <c r="C493" s="361"/>
      <c r="D493" s="362" t="s">
        <v>8</v>
      </c>
      <c r="E493" s="362" t="s">
        <v>184</v>
      </c>
      <c r="F493" s="362" t="s">
        <v>209</v>
      </c>
      <c r="G493" s="363" t="s">
        <v>213</v>
      </c>
      <c r="H493" s="363"/>
      <c r="I493" s="356">
        <v>750000000</v>
      </c>
      <c r="J493" s="352"/>
      <c r="K493" s="353"/>
      <c r="L493" s="354"/>
      <c r="M493" s="354"/>
      <c r="N493" s="356"/>
      <c r="O493" s="256"/>
      <c r="P493" s="798"/>
      <c r="Q493" s="357"/>
    </row>
    <row r="494" spans="1:17" s="358" customFormat="1" hidden="1" x14ac:dyDescent="0.2">
      <c r="A494" s="359"/>
      <c r="B494" s="363"/>
      <c r="C494" s="361"/>
      <c r="D494" s="362" t="s">
        <v>8</v>
      </c>
      <c r="E494" s="362" t="s">
        <v>191</v>
      </c>
      <c r="F494" s="362"/>
      <c r="G494" s="363" t="str">
        <f>+[7]ProgramaI!B32</f>
        <v xml:space="preserve">Comité Cantonal Deportes y Recreación </v>
      </c>
      <c r="H494" s="363"/>
      <c r="I494" s="356">
        <v>0</v>
      </c>
      <c r="J494" s="352"/>
      <c r="K494" s="353"/>
      <c r="L494" s="354"/>
      <c r="M494" s="354"/>
      <c r="N494" s="356"/>
      <c r="O494" s="256"/>
      <c r="P494" s="798"/>
      <c r="Q494" s="357"/>
    </row>
    <row r="495" spans="1:17" s="358" customFormat="1" ht="28.5" hidden="1" customHeight="1" x14ac:dyDescent="0.2">
      <c r="A495" s="359"/>
      <c r="B495" s="362"/>
      <c r="C495" s="361"/>
      <c r="D495" s="362" t="s">
        <v>18</v>
      </c>
      <c r="E495" s="362" t="s">
        <v>185</v>
      </c>
      <c r="F495" s="362" t="s">
        <v>183</v>
      </c>
      <c r="G495" s="360" t="str">
        <f>+'[7]Egresos Programa III General'!B46</f>
        <v>Carpeta Asfaltica en Urbanización las Melisas</v>
      </c>
      <c r="H495" s="360"/>
      <c r="I495" s="356">
        <v>0</v>
      </c>
      <c r="J495" s="352"/>
      <c r="K495" s="353"/>
      <c r="L495" s="354"/>
      <c r="M495" s="354"/>
      <c r="N495" s="356"/>
      <c r="O495" s="256"/>
      <c r="P495" s="798"/>
      <c r="Q495" s="357"/>
    </row>
    <row r="496" spans="1:17" s="358" customFormat="1" hidden="1" x14ac:dyDescent="0.2">
      <c r="A496" s="359"/>
      <c r="B496" s="362"/>
      <c r="C496" s="361"/>
      <c r="D496" s="362" t="s">
        <v>18</v>
      </c>
      <c r="E496" s="362" t="s">
        <v>183</v>
      </c>
      <c r="F496" s="362" t="s">
        <v>182</v>
      </c>
      <c r="G496" s="363" t="s">
        <v>234</v>
      </c>
      <c r="H496" s="363"/>
      <c r="I496" s="356"/>
      <c r="J496" s="352"/>
      <c r="K496" s="353"/>
      <c r="L496" s="354"/>
      <c r="M496" s="354"/>
      <c r="N496" s="356"/>
      <c r="O496" s="256"/>
      <c r="P496" s="798"/>
      <c r="Q496" s="357"/>
    </row>
    <row r="497" spans="1:17" s="358" customFormat="1" hidden="1" x14ac:dyDescent="0.2">
      <c r="A497" s="359"/>
      <c r="B497" s="362"/>
      <c r="C497" s="361"/>
      <c r="D497" s="362" t="s">
        <v>18</v>
      </c>
      <c r="E497" s="362" t="s">
        <v>183</v>
      </c>
      <c r="F497" s="362" t="s">
        <v>183</v>
      </c>
      <c r="G497" s="363" t="s">
        <v>233</v>
      </c>
      <c r="H497" s="363"/>
      <c r="I497" s="356"/>
      <c r="J497" s="352"/>
      <c r="K497" s="353"/>
      <c r="L497" s="354"/>
      <c r="M497" s="354"/>
      <c r="N497" s="356"/>
      <c r="O497" s="256"/>
      <c r="P497" s="798"/>
      <c r="Q497" s="357"/>
    </row>
    <row r="498" spans="1:17" s="358" customFormat="1" hidden="1" x14ac:dyDescent="0.2">
      <c r="A498" s="359"/>
      <c r="B498" s="362"/>
      <c r="C498" s="361"/>
      <c r="D498" s="362" t="s">
        <v>18</v>
      </c>
      <c r="E498" s="362" t="s">
        <v>183</v>
      </c>
      <c r="F498" s="362" t="s">
        <v>189</v>
      </c>
      <c r="G498" s="363" t="s">
        <v>232</v>
      </c>
      <c r="H498" s="363"/>
      <c r="I498" s="356"/>
      <c r="J498" s="352"/>
      <c r="K498" s="353"/>
      <c r="L498" s="354"/>
      <c r="M498" s="354"/>
      <c r="N498" s="356"/>
      <c r="O498" s="256"/>
      <c r="P498" s="798"/>
      <c r="Q498" s="357"/>
    </row>
    <row r="499" spans="1:17" s="358" customFormat="1" ht="38.25" hidden="1" x14ac:dyDescent="0.2">
      <c r="A499" s="359"/>
      <c r="B499" s="362"/>
      <c r="C499" s="361"/>
      <c r="D499" s="362" t="s">
        <v>18</v>
      </c>
      <c r="E499" s="362" t="s">
        <v>183</v>
      </c>
      <c r="F499" s="362">
        <v>10</v>
      </c>
      <c r="G499" s="360" t="s">
        <v>231</v>
      </c>
      <c r="H499" s="360"/>
      <c r="I499" s="356"/>
      <c r="J499" s="352"/>
      <c r="K499" s="353"/>
      <c r="L499" s="354"/>
      <c r="M499" s="354"/>
      <c r="N499" s="356"/>
      <c r="O499" s="256"/>
      <c r="P499" s="798"/>
      <c r="Q499" s="357"/>
    </row>
    <row r="500" spans="1:17" s="358" customFormat="1" hidden="1" x14ac:dyDescent="0.2">
      <c r="A500" s="359"/>
      <c r="B500" s="362"/>
      <c r="C500" s="361"/>
      <c r="D500" s="362" t="s">
        <v>18</v>
      </c>
      <c r="E500" s="362" t="s">
        <v>189</v>
      </c>
      <c r="F500" s="366"/>
      <c r="G500" s="363" t="s">
        <v>188</v>
      </c>
      <c r="H500" s="363"/>
      <c r="I500" s="356">
        <v>0</v>
      </c>
      <c r="J500" s="352"/>
      <c r="K500" s="353"/>
      <c r="L500" s="354"/>
      <c r="M500" s="354"/>
      <c r="N500" s="356"/>
      <c r="O500" s="256"/>
      <c r="P500" s="798"/>
      <c r="Q500" s="357"/>
    </row>
    <row r="501" spans="1:17" s="358" customFormat="1" hidden="1" x14ac:dyDescent="0.2">
      <c r="A501" s="359"/>
      <c r="B501" s="362"/>
      <c r="C501" s="361"/>
      <c r="D501" s="362" t="s">
        <v>18</v>
      </c>
      <c r="E501" s="362" t="s">
        <v>187</v>
      </c>
      <c r="F501" s="366"/>
      <c r="G501" s="363" t="s">
        <v>220</v>
      </c>
      <c r="H501" s="363"/>
      <c r="I501" s="356">
        <v>0</v>
      </c>
      <c r="J501" s="352"/>
      <c r="K501" s="353"/>
      <c r="L501" s="354"/>
      <c r="M501" s="354"/>
      <c r="N501" s="356"/>
      <c r="O501" s="256"/>
      <c r="P501" s="798"/>
      <c r="Q501" s="357"/>
    </row>
    <row r="502" spans="1:17" s="358" customFormat="1" x14ac:dyDescent="0.2">
      <c r="A502" s="359"/>
      <c r="B502" s="362"/>
      <c r="C502" s="361"/>
      <c r="D502" s="362"/>
      <c r="E502" s="362"/>
      <c r="F502" s="366"/>
      <c r="G502" s="363" t="s">
        <v>9</v>
      </c>
      <c r="H502" s="363"/>
      <c r="I502" s="356">
        <f>187817076.73</f>
        <v>187817076.72999999</v>
      </c>
      <c r="J502" s="352">
        <f>+I502</f>
        <v>187817076.72999999</v>
      </c>
      <c r="K502" s="353"/>
      <c r="L502" s="354"/>
      <c r="M502" s="354"/>
      <c r="N502" s="356"/>
      <c r="O502" s="256">
        <f>SUM(I502:I504)</f>
        <v>750000000</v>
      </c>
      <c r="P502" s="798">
        <f>+I493-O502</f>
        <v>0</v>
      </c>
      <c r="Q502" s="357"/>
    </row>
    <row r="503" spans="1:17" s="358" customFormat="1" x14ac:dyDescent="0.2">
      <c r="A503" s="359"/>
      <c r="B503" s="362"/>
      <c r="C503" s="361"/>
      <c r="D503" s="362"/>
      <c r="E503" s="362"/>
      <c r="F503" s="366"/>
      <c r="G503" s="363" t="s">
        <v>230</v>
      </c>
      <c r="H503" s="363"/>
      <c r="I503" s="356">
        <v>174462400</v>
      </c>
      <c r="J503" s="352">
        <f>+I503</f>
        <v>174462400</v>
      </c>
      <c r="K503" s="353"/>
      <c r="L503" s="354"/>
      <c r="M503" s="354"/>
      <c r="N503" s="356"/>
      <c r="O503" s="256"/>
      <c r="P503" s="798"/>
      <c r="Q503" s="357"/>
    </row>
    <row r="504" spans="1:17" s="358" customFormat="1" ht="13.5" thickBot="1" x14ac:dyDescent="0.25">
      <c r="A504" s="359"/>
      <c r="B504" s="362"/>
      <c r="C504" s="361"/>
      <c r="D504" s="362"/>
      <c r="E504" s="362"/>
      <c r="F504" s="366"/>
      <c r="G504" s="363" t="s">
        <v>229</v>
      </c>
      <c r="H504" s="363"/>
      <c r="I504" s="356">
        <v>387720523.26999998</v>
      </c>
      <c r="J504" s="352">
        <f>+I504</f>
        <v>387720523.26999998</v>
      </c>
      <c r="K504" s="353"/>
      <c r="L504" s="354"/>
      <c r="M504" s="354"/>
      <c r="N504" s="356"/>
      <c r="O504" s="256"/>
      <c r="P504" s="798"/>
      <c r="Q504" s="357"/>
    </row>
    <row r="505" spans="1:17" s="386" customFormat="1" ht="13.5" thickBot="1" x14ac:dyDescent="0.25">
      <c r="A505" s="402" t="s">
        <v>180</v>
      </c>
      <c r="B505" s="403"/>
      <c r="C505" s="404">
        <f>SUM(C492:C501)</f>
        <v>750000000</v>
      </c>
      <c r="D505" s="405"/>
      <c r="E505" s="405"/>
      <c r="F505" s="405"/>
      <c r="G505" s="406"/>
      <c r="H505" s="406"/>
      <c r="I505" s="407">
        <f>SUM(I493:I504)/2</f>
        <v>750000000</v>
      </c>
      <c r="J505" s="379"/>
      <c r="K505" s="380"/>
      <c r="L505" s="381"/>
      <c r="M505" s="381"/>
      <c r="N505" s="383">
        <f>+C505-I505</f>
        <v>0</v>
      </c>
      <c r="O505" s="256"/>
      <c r="P505" s="801">
        <f>+C505-I505</f>
        <v>0</v>
      </c>
      <c r="Q505" s="385"/>
    </row>
    <row r="506" spans="1:17" s="358" customFormat="1" ht="12" customHeight="1" x14ac:dyDescent="0.2">
      <c r="A506" s="487"/>
      <c r="B506" s="365"/>
      <c r="C506" s="488"/>
      <c r="D506" s="362"/>
      <c r="E506" s="362"/>
      <c r="F506" s="362"/>
      <c r="G506" s="363"/>
      <c r="H506" s="363"/>
      <c r="I506" s="356"/>
      <c r="J506" s="352"/>
      <c r="K506" s="353"/>
      <c r="L506" s="354"/>
      <c r="M506" s="354"/>
      <c r="N506" s="356"/>
      <c r="O506" s="256"/>
      <c r="P506" s="798"/>
      <c r="Q506" s="357"/>
    </row>
    <row r="507" spans="1:17" s="386" customFormat="1" x14ac:dyDescent="0.2">
      <c r="A507" s="359" t="str">
        <f>+'[7]Clasific. Económica de Ingresos'!A95</f>
        <v>1.3.3.1.01.01.0.0.000</v>
      </c>
      <c r="B507" s="365" t="s">
        <v>228</v>
      </c>
      <c r="C507" s="361">
        <f>SUM('[7]Clasific. Económica de Ingresos'!C95)</f>
        <v>127000000</v>
      </c>
      <c r="D507" s="362"/>
      <c r="E507" s="362"/>
      <c r="F507" s="362"/>
      <c r="G507" s="363"/>
      <c r="H507" s="363"/>
      <c r="I507" s="356"/>
      <c r="J507" s="352"/>
      <c r="K507" s="353"/>
      <c r="L507" s="354"/>
      <c r="M507" s="354"/>
      <c r="N507" s="356"/>
      <c r="O507" s="256"/>
      <c r="P507" s="801"/>
      <c r="Q507" s="385"/>
    </row>
    <row r="508" spans="1:17" s="386" customFormat="1" hidden="1" x14ac:dyDescent="0.2">
      <c r="A508" s="359"/>
      <c r="B508" s="365"/>
      <c r="C508" s="361"/>
      <c r="D508" s="362" t="s">
        <v>8</v>
      </c>
      <c r="E508" s="362" t="s">
        <v>184</v>
      </c>
      <c r="F508" s="362" t="s">
        <v>209</v>
      </c>
      <c r="G508" s="363" t="s">
        <v>213</v>
      </c>
      <c r="H508" s="363"/>
      <c r="I508" s="356">
        <v>0</v>
      </c>
      <c r="J508" s="352"/>
      <c r="K508" s="353"/>
      <c r="L508" s="354"/>
      <c r="M508" s="354"/>
      <c r="N508" s="356"/>
      <c r="O508" s="256"/>
      <c r="P508" s="801"/>
      <c r="Q508" s="385"/>
    </row>
    <row r="509" spans="1:17" s="358" customFormat="1" hidden="1" x14ac:dyDescent="0.2">
      <c r="A509" s="359"/>
      <c r="B509" s="362"/>
      <c r="C509" s="361"/>
      <c r="D509" s="362" t="s">
        <v>8</v>
      </c>
      <c r="E509" s="362" t="s">
        <v>191</v>
      </c>
      <c r="F509" s="362"/>
      <c r="G509" s="363" t="str">
        <f>+[7]ProgramaI!B32</f>
        <v xml:space="preserve">Comité Cantonal Deportes y Recreación </v>
      </c>
      <c r="H509" s="363"/>
      <c r="I509" s="356"/>
      <c r="J509" s="352"/>
      <c r="K509" s="353"/>
      <c r="L509" s="354"/>
      <c r="M509" s="354"/>
      <c r="N509" s="356"/>
      <c r="O509" s="256"/>
      <c r="P509" s="798"/>
      <c r="Q509" s="357"/>
    </row>
    <row r="510" spans="1:17" s="358" customFormat="1" x14ac:dyDescent="0.2">
      <c r="A510" s="359"/>
      <c r="B510" s="362"/>
      <c r="C510" s="361"/>
      <c r="D510" s="362" t="s">
        <v>19</v>
      </c>
      <c r="E510" s="362">
        <v>23</v>
      </c>
      <c r="F510" s="362"/>
      <c r="G510" s="363" t="str">
        <f>+'[7]Egresos Programa II General'!B33</f>
        <v>Seguridad y Vigilancia en la Comunidad</v>
      </c>
      <c r="H510" s="363"/>
      <c r="I510" s="356">
        <v>127000000</v>
      </c>
      <c r="J510" s="352"/>
      <c r="K510" s="353"/>
      <c r="L510" s="354"/>
      <c r="M510" s="354"/>
      <c r="N510" s="356"/>
      <c r="O510" s="256">
        <f>+I511+I70</f>
        <v>351223361.67000002</v>
      </c>
      <c r="P510" s="798"/>
      <c r="Q510" s="357"/>
    </row>
    <row r="511" spans="1:17" s="358" customFormat="1" x14ac:dyDescent="0.2">
      <c r="A511" s="359"/>
      <c r="B511" s="362"/>
      <c r="C511" s="361"/>
      <c r="D511" s="362"/>
      <c r="E511" s="362"/>
      <c r="F511" s="362"/>
      <c r="G511" s="363" t="s">
        <v>9</v>
      </c>
      <c r="H511" s="363"/>
      <c r="I511" s="356">
        <f>3423253.42000002+194472.93</f>
        <v>3617726.3500000201</v>
      </c>
      <c r="J511" s="352">
        <f>+I511</f>
        <v>3617726.3500000201</v>
      </c>
      <c r="K511" s="353"/>
      <c r="L511" s="354"/>
      <c r="M511" s="354"/>
      <c r="N511" s="356"/>
      <c r="O511" s="256"/>
      <c r="P511" s="798"/>
      <c r="Q511" s="357"/>
    </row>
    <row r="512" spans="1:17" s="358" customFormat="1" x14ac:dyDescent="0.2">
      <c r="A512" s="359"/>
      <c r="B512" s="362"/>
      <c r="C512" s="361"/>
      <c r="D512" s="362"/>
      <c r="E512" s="362"/>
      <c r="F512" s="362"/>
      <c r="G512" s="363" t="s">
        <v>10</v>
      </c>
      <c r="H512" s="363"/>
      <c r="I512" s="356">
        <v>64082273.649999999</v>
      </c>
      <c r="J512" s="352">
        <f>+I512</f>
        <v>64082273.649999999</v>
      </c>
      <c r="K512" s="353"/>
      <c r="L512" s="354"/>
      <c r="M512" s="354"/>
      <c r="N512" s="356"/>
      <c r="O512" s="256"/>
      <c r="P512" s="798"/>
      <c r="Q512" s="357"/>
    </row>
    <row r="513" spans="1:17" s="358" customFormat="1" x14ac:dyDescent="0.2">
      <c r="A513" s="359"/>
      <c r="B513" s="362"/>
      <c r="C513" s="361"/>
      <c r="D513" s="362"/>
      <c r="E513" s="362"/>
      <c r="F513" s="362"/>
      <c r="G513" s="363" t="s">
        <v>11</v>
      </c>
      <c r="H513" s="363"/>
      <c r="I513" s="356">
        <v>18300000</v>
      </c>
      <c r="J513" s="352">
        <f>+I513</f>
        <v>18300000</v>
      </c>
      <c r="K513" s="353"/>
      <c r="L513" s="354"/>
      <c r="M513" s="354"/>
      <c r="N513" s="356"/>
      <c r="O513" s="256"/>
      <c r="P513" s="798"/>
      <c r="Q513" s="357"/>
    </row>
    <row r="514" spans="1:17" s="358" customFormat="1" x14ac:dyDescent="0.2">
      <c r="A514" s="359"/>
      <c r="B514" s="362"/>
      <c r="C514" s="361"/>
      <c r="D514" s="362"/>
      <c r="E514" s="362"/>
      <c r="F514" s="362"/>
      <c r="G514" s="363" t="s">
        <v>13</v>
      </c>
      <c r="H514" s="363"/>
      <c r="I514" s="356">
        <v>18000000</v>
      </c>
      <c r="J514" s="352"/>
      <c r="K514" s="353">
        <f>+I514</f>
        <v>18000000</v>
      </c>
      <c r="L514" s="354"/>
      <c r="M514" s="354"/>
      <c r="N514" s="356"/>
      <c r="O514" s="256"/>
      <c r="P514" s="798"/>
      <c r="Q514" s="357"/>
    </row>
    <row r="515" spans="1:17" s="358" customFormat="1" ht="13.5" thickBot="1" x14ac:dyDescent="0.25">
      <c r="A515" s="359"/>
      <c r="B515" s="362"/>
      <c r="C515" s="361"/>
      <c r="D515" s="362"/>
      <c r="E515" s="362"/>
      <c r="F515" s="362"/>
      <c r="G515" s="363" t="s">
        <v>14</v>
      </c>
      <c r="H515" s="363"/>
      <c r="I515" s="356">
        <v>23000000</v>
      </c>
      <c r="J515" s="352">
        <f>+I515</f>
        <v>23000000</v>
      </c>
      <c r="K515" s="353"/>
      <c r="L515" s="354"/>
      <c r="M515" s="354"/>
      <c r="N515" s="356"/>
      <c r="O515" s="256"/>
      <c r="P515" s="798"/>
      <c r="Q515" s="357"/>
    </row>
    <row r="516" spans="1:17" s="358" customFormat="1" ht="13.5" hidden="1" thickBot="1" x14ac:dyDescent="0.25">
      <c r="A516" s="413"/>
      <c r="B516" s="363"/>
      <c r="C516" s="361"/>
      <c r="D516" s="362" t="s">
        <v>18</v>
      </c>
      <c r="E516" s="362" t="s">
        <v>189</v>
      </c>
      <c r="F516" s="362"/>
      <c r="G516" s="363" t="s">
        <v>188</v>
      </c>
      <c r="H516" s="363"/>
      <c r="I516" s="356">
        <v>0</v>
      </c>
      <c r="J516" s="352"/>
      <c r="K516" s="353"/>
      <c r="L516" s="354"/>
      <c r="M516" s="354"/>
      <c r="N516" s="356"/>
      <c r="O516" s="256"/>
      <c r="P516" s="798"/>
      <c r="Q516" s="357"/>
    </row>
    <row r="517" spans="1:17" s="358" customFormat="1" ht="13.5" thickBot="1" x14ac:dyDescent="0.25">
      <c r="A517" s="402" t="s">
        <v>180</v>
      </c>
      <c r="B517" s="403"/>
      <c r="C517" s="404">
        <f>SUM(C507:C510)</f>
        <v>127000000</v>
      </c>
      <c r="D517" s="405"/>
      <c r="E517" s="405"/>
      <c r="F517" s="405"/>
      <c r="G517" s="406"/>
      <c r="H517" s="406"/>
      <c r="I517" s="407">
        <f>SUM(I508:I515)/2</f>
        <v>127000000.00000001</v>
      </c>
      <c r="J517" s="379"/>
      <c r="K517" s="380"/>
      <c r="L517" s="381"/>
      <c r="M517" s="381"/>
      <c r="N517" s="383">
        <f>+C517-I517</f>
        <v>0</v>
      </c>
      <c r="O517" s="256"/>
      <c r="P517" s="798">
        <f>+C517-I517</f>
        <v>0</v>
      </c>
      <c r="Q517" s="357"/>
    </row>
    <row r="518" spans="1:17" s="358" customFormat="1" x14ac:dyDescent="0.2">
      <c r="A518" s="359"/>
      <c r="B518" s="362"/>
      <c r="C518" s="361"/>
      <c r="D518" s="366"/>
      <c r="E518" s="366"/>
      <c r="F518" s="366"/>
      <c r="G518" s="489"/>
      <c r="H518" s="489"/>
      <c r="I518" s="475"/>
      <c r="J518" s="476"/>
      <c r="K518" s="477"/>
      <c r="L518" s="478"/>
      <c r="M518" s="478"/>
      <c r="N518" s="475"/>
      <c r="O518" s="256"/>
      <c r="P518" s="798"/>
      <c r="Q518" s="357"/>
    </row>
    <row r="519" spans="1:17" s="358" customFormat="1" ht="25.5" x14ac:dyDescent="0.2">
      <c r="A519" s="359" t="str">
        <f>+'[7]Clasific. Económica de Ingresos'!A97</f>
        <v>1.3.3.1.02.01.0.0.000</v>
      </c>
      <c r="B519" s="360" t="s">
        <v>227</v>
      </c>
      <c r="C519" s="361">
        <f>SUM('[7]Clasific. Económica de Ingresos'!C97)</f>
        <v>191100000</v>
      </c>
      <c r="D519" s="362"/>
      <c r="E519" s="362"/>
      <c r="F519" s="362"/>
      <c r="G519" s="363"/>
      <c r="H519" s="363"/>
      <c r="I519" s="356"/>
      <c r="J519" s="352"/>
      <c r="K519" s="353"/>
      <c r="L519" s="354"/>
      <c r="M519" s="354"/>
      <c r="N519" s="356"/>
      <c r="O519" s="256"/>
      <c r="P519" s="798"/>
      <c r="Q519" s="357"/>
    </row>
    <row r="520" spans="1:17" s="358" customFormat="1" x14ac:dyDescent="0.2">
      <c r="A520" s="359"/>
      <c r="B520" s="362"/>
      <c r="C520" s="361"/>
      <c r="D520" s="362" t="s">
        <v>8</v>
      </c>
      <c r="E520" s="362" t="s">
        <v>191</v>
      </c>
      <c r="F520" s="362"/>
      <c r="G520" s="363" t="str">
        <f>+[7]ProgramaI!B32</f>
        <v xml:space="preserve">Comité Cantonal Deportes y Recreación </v>
      </c>
      <c r="H520" s="363"/>
      <c r="I520" s="253">
        <v>156100000</v>
      </c>
      <c r="J520" s="372"/>
      <c r="K520" s="373"/>
      <c r="L520" s="374"/>
      <c r="M520" s="374"/>
      <c r="N520" s="253"/>
      <c r="O520" s="256"/>
      <c r="P520" s="798"/>
      <c r="Q520" s="357"/>
    </row>
    <row r="521" spans="1:17" s="358" customFormat="1" x14ac:dyDescent="0.2">
      <c r="A521" s="359"/>
      <c r="B521" s="362"/>
      <c r="C521" s="361"/>
      <c r="D521" s="362"/>
      <c r="E521" s="362"/>
      <c r="F521" s="362"/>
      <c r="G521" s="363" t="s">
        <v>14</v>
      </c>
      <c r="H521" s="363"/>
      <c r="I521" s="253">
        <v>156100000</v>
      </c>
      <c r="J521" s="372">
        <f>+I521</f>
        <v>156100000</v>
      </c>
      <c r="K521" s="373"/>
      <c r="L521" s="374"/>
      <c r="M521" s="374"/>
      <c r="N521" s="253"/>
      <c r="O521" s="256"/>
      <c r="P521" s="798"/>
      <c r="Q521" s="357"/>
    </row>
    <row r="522" spans="1:17" s="358" customFormat="1" x14ac:dyDescent="0.2">
      <c r="A522" s="359"/>
      <c r="B522" s="362"/>
      <c r="C522" s="361"/>
      <c r="D522" s="362"/>
      <c r="E522" s="362"/>
      <c r="F522" s="362"/>
      <c r="G522" s="363"/>
      <c r="H522" s="363"/>
      <c r="I522" s="253"/>
      <c r="J522" s="372"/>
      <c r="K522" s="373"/>
      <c r="L522" s="374"/>
      <c r="M522" s="374"/>
      <c r="N522" s="253"/>
      <c r="O522" s="256"/>
      <c r="P522" s="798"/>
      <c r="Q522" s="357"/>
    </row>
    <row r="523" spans="1:17" s="358" customFormat="1" x14ac:dyDescent="0.2">
      <c r="A523" s="359"/>
      <c r="B523" s="362"/>
      <c r="C523" s="361"/>
      <c r="D523" s="362" t="s">
        <v>8</v>
      </c>
      <c r="E523" s="362" t="s">
        <v>191</v>
      </c>
      <c r="F523" s="362"/>
      <c r="G523" s="363" t="str">
        <f>+[7]ProgramaI!B34</f>
        <v>Unión Nacional de Gobiernos Locales</v>
      </c>
      <c r="H523" s="363"/>
      <c r="I523" s="253">
        <f>+[7]ProgramaI!E34</f>
        <v>35000000</v>
      </c>
      <c r="J523" s="372"/>
      <c r="K523" s="373"/>
      <c r="L523" s="374"/>
      <c r="M523" s="374"/>
      <c r="N523" s="253"/>
      <c r="O523" s="256"/>
      <c r="P523" s="798"/>
      <c r="Q523" s="357"/>
    </row>
    <row r="524" spans="1:17" s="358" customFormat="1" x14ac:dyDescent="0.2">
      <c r="A524" s="359"/>
      <c r="B524" s="362"/>
      <c r="C524" s="361"/>
      <c r="D524" s="362"/>
      <c r="E524" s="362"/>
      <c r="F524" s="362"/>
      <c r="G524" s="363" t="s">
        <v>14</v>
      </c>
      <c r="H524" s="363"/>
      <c r="I524" s="253">
        <v>35000000</v>
      </c>
      <c r="J524" s="372">
        <f>+I524</f>
        <v>35000000</v>
      </c>
      <c r="K524" s="373"/>
      <c r="L524" s="374"/>
      <c r="M524" s="374"/>
      <c r="N524" s="253"/>
      <c r="O524" s="256"/>
      <c r="P524" s="798"/>
      <c r="Q524" s="357"/>
    </row>
    <row r="525" spans="1:17" s="358" customFormat="1" ht="13.5" thickBot="1" x14ac:dyDescent="0.25">
      <c r="A525" s="359"/>
      <c r="B525" s="362"/>
      <c r="C525" s="361"/>
      <c r="D525" s="362"/>
      <c r="E525" s="362"/>
      <c r="F525" s="362"/>
      <c r="G525" s="363"/>
      <c r="H525" s="363"/>
      <c r="I525" s="253"/>
      <c r="J525" s="372"/>
      <c r="K525" s="373"/>
      <c r="L525" s="374"/>
      <c r="M525" s="374"/>
      <c r="N525" s="253"/>
      <c r="O525" s="256"/>
      <c r="P525" s="798"/>
      <c r="Q525" s="357"/>
    </row>
    <row r="526" spans="1:17" s="358" customFormat="1" ht="13.5" hidden="1" thickBot="1" x14ac:dyDescent="0.25">
      <c r="A526" s="359"/>
      <c r="B526" s="362"/>
      <c r="C526" s="361"/>
      <c r="D526" s="362" t="s">
        <v>8</v>
      </c>
      <c r="E526" s="362" t="s">
        <v>191</v>
      </c>
      <c r="F526" s="362"/>
      <c r="G526" s="363" t="str">
        <f>+[7]ProgramaI!B49</f>
        <v>Reintegros o devoluciones</v>
      </c>
      <c r="H526" s="363"/>
      <c r="I526" s="253">
        <v>0</v>
      </c>
      <c r="J526" s="372"/>
      <c r="K526" s="373"/>
      <c r="L526" s="374"/>
      <c r="M526" s="374"/>
      <c r="N526" s="253"/>
      <c r="O526" s="256"/>
      <c r="P526" s="798"/>
      <c r="Q526" s="357"/>
    </row>
    <row r="527" spans="1:17" s="358" customFormat="1" ht="26.25" hidden="1" thickBot="1" x14ac:dyDescent="0.25">
      <c r="A527" s="359"/>
      <c r="B527" s="362"/>
      <c r="C527" s="361"/>
      <c r="D527" s="362" t="s">
        <v>18</v>
      </c>
      <c r="E527" s="362" t="s">
        <v>185</v>
      </c>
      <c r="F527" s="362" t="s">
        <v>184</v>
      </c>
      <c r="G527" s="360" t="s">
        <v>226</v>
      </c>
      <c r="H527" s="360"/>
      <c r="I527" s="253">
        <v>0</v>
      </c>
      <c r="J527" s="372"/>
      <c r="K527" s="373"/>
      <c r="L527" s="374"/>
      <c r="M527" s="374"/>
      <c r="N527" s="253"/>
      <c r="O527" s="256"/>
      <c r="P527" s="798"/>
      <c r="Q527" s="357"/>
    </row>
    <row r="528" spans="1:17" s="358" customFormat="1" ht="13.5" hidden="1" thickBot="1" x14ac:dyDescent="0.25">
      <c r="A528" s="426"/>
      <c r="B528" s="427"/>
      <c r="C528" s="361"/>
      <c r="D528" s="362" t="s">
        <v>18</v>
      </c>
      <c r="E528" s="362" t="s">
        <v>183</v>
      </c>
      <c r="F528" s="362" t="s">
        <v>184</v>
      </c>
      <c r="G528" s="363" t="s">
        <v>199</v>
      </c>
      <c r="H528" s="363"/>
      <c r="I528" s="356">
        <v>0</v>
      </c>
      <c r="J528" s="352"/>
      <c r="K528" s="353"/>
      <c r="L528" s="354"/>
      <c r="M528" s="354"/>
      <c r="N528" s="253"/>
      <c r="O528" s="256"/>
      <c r="P528" s="490"/>
      <c r="Q528" s="357"/>
    </row>
    <row r="529" spans="1:17" s="358" customFormat="1" ht="13.5" hidden="1" thickBot="1" x14ac:dyDescent="0.25">
      <c r="A529" s="359"/>
      <c r="B529" s="362"/>
      <c r="C529" s="361"/>
      <c r="D529" s="362" t="s">
        <v>18</v>
      </c>
      <c r="E529" s="362" t="s">
        <v>183</v>
      </c>
      <c r="F529" s="362" t="s">
        <v>187</v>
      </c>
      <c r="G529" s="363" t="s">
        <v>225</v>
      </c>
      <c r="H529" s="363"/>
      <c r="I529" s="253">
        <v>0</v>
      </c>
      <c r="J529" s="372"/>
      <c r="K529" s="373"/>
      <c r="L529" s="374"/>
      <c r="M529" s="374"/>
      <c r="N529" s="253"/>
      <c r="O529" s="256"/>
      <c r="P529" s="798"/>
      <c r="Q529" s="357"/>
    </row>
    <row r="530" spans="1:17" s="358" customFormat="1" ht="26.25" hidden="1" thickBot="1" x14ac:dyDescent="0.25">
      <c r="A530" s="359"/>
      <c r="B530" s="362"/>
      <c r="C530" s="361"/>
      <c r="D530" s="362" t="s">
        <v>18</v>
      </c>
      <c r="E530" s="362" t="s">
        <v>183</v>
      </c>
      <c r="F530" s="362">
        <v>13</v>
      </c>
      <c r="G530" s="360" t="s">
        <v>224</v>
      </c>
      <c r="H530" s="360"/>
      <c r="I530" s="253">
        <v>0</v>
      </c>
      <c r="J530" s="372"/>
      <c r="K530" s="373"/>
      <c r="L530" s="374"/>
      <c r="M530" s="374"/>
      <c r="N530" s="253"/>
      <c r="O530" s="256"/>
      <c r="P530" s="798"/>
      <c r="Q530" s="357"/>
    </row>
    <row r="531" spans="1:17" s="358" customFormat="1" ht="13.5" hidden="1" thickBot="1" x14ac:dyDescent="0.25">
      <c r="A531" s="359"/>
      <c r="B531" s="362"/>
      <c r="C531" s="361"/>
      <c r="D531" s="362" t="s">
        <v>18</v>
      </c>
      <c r="E531" s="362" t="s">
        <v>185</v>
      </c>
      <c r="F531" s="430" t="s">
        <v>185</v>
      </c>
      <c r="G531" s="363" t="s">
        <v>221</v>
      </c>
      <c r="H531" s="363"/>
      <c r="I531" s="253">
        <v>0</v>
      </c>
      <c r="J531" s="372"/>
      <c r="K531" s="373"/>
      <c r="L531" s="374"/>
      <c r="M531" s="374"/>
      <c r="N531" s="253"/>
      <c r="O531" s="256"/>
      <c r="P531" s="798"/>
      <c r="Q531" s="357"/>
    </row>
    <row r="532" spans="1:17" s="358" customFormat="1" ht="13.5" hidden="1" thickBot="1" x14ac:dyDescent="0.25">
      <c r="A532" s="359"/>
      <c r="B532" s="362"/>
      <c r="C532" s="361"/>
      <c r="D532" s="362" t="s">
        <v>18</v>
      </c>
      <c r="E532" s="362" t="s">
        <v>189</v>
      </c>
      <c r="F532" s="362"/>
      <c r="G532" s="363" t="s">
        <v>188</v>
      </c>
      <c r="H532" s="363"/>
      <c r="I532" s="253">
        <v>0</v>
      </c>
      <c r="J532" s="372"/>
      <c r="K532" s="373"/>
      <c r="L532" s="374"/>
      <c r="M532" s="374"/>
      <c r="N532" s="253"/>
      <c r="O532" s="256"/>
      <c r="P532" s="798"/>
      <c r="Q532" s="357"/>
    </row>
    <row r="533" spans="1:17" s="358" customFormat="1" ht="13.5" thickBot="1" x14ac:dyDescent="0.25">
      <c r="A533" s="402" t="s">
        <v>180</v>
      </c>
      <c r="B533" s="403"/>
      <c r="C533" s="404">
        <f>SUM(C519:C526)</f>
        <v>191100000</v>
      </c>
      <c r="D533" s="405"/>
      <c r="E533" s="405"/>
      <c r="F533" s="405"/>
      <c r="G533" s="406"/>
      <c r="H533" s="406"/>
      <c r="I533" s="407">
        <f>SUM(I520:I532)/2</f>
        <v>191100000</v>
      </c>
      <c r="J533" s="379"/>
      <c r="K533" s="380"/>
      <c r="L533" s="381"/>
      <c r="M533" s="381"/>
      <c r="N533" s="383">
        <f>+C533-I533</f>
        <v>0</v>
      </c>
      <c r="O533" s="256"/>
      <c r="P533" s="798">
        <f>+C533-I533</f>
        <v>0</v>
      </c>
      <c r="Q533" s="357"/>
    </row>
    <row r="534" spans="1:17" s="358" customFormat="1" x14ac:dyDescent="0.2">
      <c r="A534" s="413" t="s">
        <v>15</v>
      </c>
      <c r="B534" s="363"/>
      <c r="C534" s="363"/>
      <c r="D534" s="362"/>
      <c r="E534" s="362"/>
      <c r="F534" s="362"/>
      <c r="G534" s="363"/>
      <c r="H534" s="363"/>
      <c r="I534" s="356"/>
      <c r="J534" s="352"/>
      <c r="K534" s="353"/>
      <c r="L534" s="354"/>
      <c r="M534" s="354"/>
      <c r="N534" s="356"/>
      <c r="O534" s="256"/>
      <c r="P534" s="798"/>
      <c r="Q534" s="357"/>
    </row>
    <row r="535" spans="1:17" s="358" customFormat="1" x14ac:dyDescent="0.2">
      <c r="A535" s="359" t="str">
        <f>+'[7]Clasific. Económica de Ingresos'!A98</f>
        <v>1.3.3.1.09.00.0.0.000</v>
      </c>
      <c r="B535" s="363" t="s">
        <v>223</v>
      </c>
      <c r="C535" s="361">
        <f>SUM('[7]Clasific. Económica de Ingresos'!C98)</f>
        <v>141812576.22</v>
      </c>
      <c r="D535" s="362"/>
      <c r="E535" s="362"/>
      <c r="F535" s="362"/>
      <c r="G535" s="363"/>
      <c r="H535" s="363"/>
      <c r="I535" s="356"/>
      <c r="J535" s="352"/>
      <c r="K535" s="353"/>
      <c r="L535" s="354"/>
      <c r="M535" s="354"/>
      <c r="N535" s="356"/>
      <c r="O535" s="256"/>
      <c r="P535" s="798"/>
      <c r="Q535" s="357"/>
    </row>
    <row r="536" spans="1:17" s="358" customFormat="1" x14ac:dyDescent="0.2">
      <c r="A536" s="426"/>
      <c r="B536" s="427"/>
      <c r="C536" s="361"/>
      <c r="D536" s="362" t="s">
        <v>8</v>
      </c>
      <c r="E536" s="362" t="s">
        <v>184</v>
      </c>
      <c r="F536" s="362" t="s">
        <v>209</v>
      </c>
      <c r="G536" s="363" t="s">
        <v>213</v>
      </c>
      <c r="H536" s="363"/>
      <c r="I536" s="364">
        <v>50487523.670000002</v>
      </c>
      <c r="J536" s="352"/>
      <c r="K536" s="353"/>
      <c r="L536" s="354"/>
      <c r="M536" s="354"/>
      <c r="N536" s="253"/>
      <c r="O536" s="256"/>
      <c r="P536" s="798">
        <f>+'[7]INGRESOS LIBRES DETALLE Nº17'!H285</f>
        <v>0</v>
      </c>
      <c r="Q536" s="357">
        <f>+I536-P536</f>
        <v>50487523.670000002</v>
      </c>
    </row>
    <row r="537" spans="1:17" s="358" customFormat="1" x14ac:dyDescent="0.2">
      <c r="A537" s="426"/>
      <c r="B537" s="427"/>
      <c r="C537" s="361"/>
      <c r="D537" s="362"/>
      <c r="E537" s="362"/>
      <c r="F537" s="362"/>
      <c r="G537" s="363" t="s">
        <v>9</v>
      </c>
      <c r="H537" s="363"/>
      <c r="I537" s="356">
        <v>50487523.670000002</v>
      </c>
      <c r="J537" s="352">
        <f>+I537</f>
        <v>50487523.670000002</v>
      </c>
      <c r="K537" s="353"/>
      <c r="L537" s="354"/>
      <c r="M537" s="354"/>
      <c r="N537" s="253"/>
      <c r="O537" s="256"/>
      <c r="P537" s="798"/>
      <c r="Q537" s="357"/>
    </row>
    <row r="538" spans="1:17" s="358" customFormat="1" x14ac:dyDescent="0.2">
      <c r="A538" s="426"/>
      <c r="B538" s="427"/>
      <c r="C538" s="361"/>
      <c r="D538" s="362"/>
      <c r="E538" s="362"/>
      <c r="F538" s="362"/>
      <c r="G538" s="363"/>
      <c r="H538" s="363"/>
      <c r="I538" s="356"/>
      <c r="J538" s="352"/>
      <c r="K538" s="353"/>
      <c r="L538" s="354"/>
      <c r="M538" s="354"/>
      <c r="N538" s="253"/>
      <c r="O538" s="256"/>
      <c r="P538" s="798"/>
      <c r="Q538" s="357"/>
    </row>
    <row r="539" spans="1:17" s="358" customFormat="1" x14ac:dyDescent="0.2">
      <c r="A539" s="426"/>
      <c r="B539" s="427"/>
      <c r="C539" s="361"/>
      <c r="D539" s="362"/>
      <c r="E539" s="362"/>
      <c r="F539" s="362"/>
      <c r="G539" s="363"/>
      <c r="H539" s="363"/>
      <c r="I539" s="356"/>
      <c r="J539" s="352"/>
      <c r="K539" s="353"/>
      <c r="L539" s="354"/>
      <c r="M539" s="354"/>
      <c r="N539" s="253"/>
      <c r="O539" s="256"/>
      <c r="P539" s="798"/>
      <c r="Q539" s="357"/>
    </row>
    <row r="540" spans="1:17" s="358" customFormat="1" ht="14.25" customHeight="1" x14ac:dyDescent="0.2">
      <c r="A540" s="359"/>
      <c r="B540" s="362"/>
      <c r="C540" s="361"/>
      <c r="D540" s="362" t="s">
        <v>19</v>
      </c>
      <c r="E540" s="362">
        <v>29</v>
      </c>
      <c r="F540" s="362"/>
      <c r="G540" s="363" t="str">
        <f>+'[7]Egresos Programa II General'!B41</f>
        <v>Por incumplimiento de Deberes de los Propietarios BI</v>
      </c>
      <c r="H540" s="363"/>
      <c r="I540" s="364">
        <v>91325052.549999997</v>
      </c>
      <c r="J540" s="352"/>
      <c r="K540" s="353"/>
      <c r="L540" s="354"/>
      <c r="M540" s="354"/>
      <c r="N540" s="253"/>
      <c r="O540" s="256"/>
      <c r="P540" s="798"/>
      <c r="Q540" s="357"/>
    </row>
    <row r="541" spans="1:17" s="358" customFormat="1" hidden="1" x14ac:dyDescent="0.2">
      <c r="A541" s="359"/>
      <c r="B541" s="362"/>
      <c r="C541" s="361"/>
      <c r="D541" s="362" t="s">
        <v>18</v>
      </c>
      <c r="E541" s="362">
        <v>7</v>
      </c>
      <c r="F541" s="362"/>
      <c r="G541" s="363" t="s">
        <v>188</v>
      </c>
      <c r="H541" s="363"/>
      <c r="I541" s="253">
        <v>0</v>
      </c>
      <c r="J541" s="372"/>
      <c r="K541" s="373"/>
      <c r="L541" s="374"/>
      <c r="M541" s="374"/>
      <c r="N541" s="253"/>
      <c r="O541" s="256"/>
      <c r="P541" s="798"/>
      <c r="Q541" s="357"/>
    </row>
    <row r="542" spans="1:17" s="358" customFormat="1" x14ac:dyDescent="0.2">
      <c r="A542" s="359"/>
      <c r="B542" s="362"/>
      <c r="C542" s="361"/>
      <c r="D542" s="362"/>
      <c r="E542" s="362"/>
      <c r="F542" s="362"/>
      <c r="G542" s="363" t="s">
        <v>9</v>
      </c>
      <c r="H542" s="363"/>
      <c r="I542" s="253">
        <f>-19780000-18000000+99409909.73+54074.1</f>
        <v>61683983.830000006</v>
      </c>
      <c r="J542" s="372">
        <f>+I542</f>
        <v>61683983.830000006</v>
      </c>
      <c r="K542" s="373"/>
      <c r="L542" s="374"/>
      <c r="M542" s="374"/>
      <c r="N542" s="253"/>
      <c r="O542" s="256"/>
      <c r="P542" s="798"/>
      <c r="Q542" s="357"/>
    </row>
    <row r="543" spans="1:17" s="358" customFormat="1" x14ac:dyDescent="0.2">
      <c r="A543" s="359"/>
      <c r="B543" s="362"/>
      <c r="C543" s="361"/>
      <c r="D543" s="362"/>
      <c r="E543" s="362"/>
      <c r="F543" s="362"/>
      <c r="G543" s="363" t="s">
        <v>10</v>
      </c>
      <c r="H543" s="363"/>
      <c r="I543" s="253">
        <v>12184568.710000001</v>
      </c>
      <c r="J543" s="372">
        <f>+I543</f>
        <v>12184568.710000001</v>
      </c>
      <c r="K543" s="373"/>
      <c r="L543" s="374"/>
      <c r="M543" s="374"/>
      <c r="N543" s="253"/>
      <c r="O543" s="256"/>
      <c r="P543" s="798"/>
      <c r="Q543" s="357"/>
    </row>
    <row r="544" spans="1:17" s="358" customFormat="1" x14ac:dyDescent="0.2">
      <c r="A544" s="359"/>
      <c r="B544" s="362"/>
      <c r="C544" s="361"/>
      <c r="D544" s="362"/>
      <c r="E544" s="362"/>
      <c r="F544" s="362"/>
      <c r="G544" s="363" t="s">
        <v>11</v>
      </c>
      <c r="H544" s="363"/>
      <c r="I544" s="253">
        <v>2416500</v>
      </c>
      <c r="J544" s="372">
        <f>+I544</f>
        <v>2416500</v>
      </c>
      <c r="K544" s="373"/>
      <c r="L544" s="374"/>
      <c r="M544" s="374"/>
      <c r="N544" s="253"/>
      <c r="O544" s="256"/>
      <c r="P544" s="798"/>
      <c r="Q544" s="357"/>
    </row>
    <row r="545" spans="1:17" s="358" customFormat="1" x14ac:dyDescent="0.2">
      <c r="A545" s="359"/>
      <c r="B545" s="362"/>
      <c r="C545" s="361"/>
      <c r="D545" s="362"/>
      <c r="E545" s="362"/>
      <c r="F545" s="362"/>
      <c r="G545" s="363" t="s">
        <v>13</v>
      </c>
      <c r="H545" s="363"/>
      <c r="I545" s="253">
        <v>12540000</v>
      </c>
      <c r="J545" s="372"/>
      <c r="K545" s="373">
        <f>+I545</f>
        <v>12540000</v>
      </c>
      <c r="L545" s="374"/>
      <c r="M545" s="374"/>
      <c r="N545" s="253"/>
      <c r="O545" s="256"/>
      <c r="P545" s="798"/>
      <c r="Q545" s="357"/>
    </row>
    <row r="546" spans="1:17" s="358" customFormat="1" x14ac:dyDescent="0.2">
      <c r="A546" s="359"/>
      <c r="B546" s="362"/>
      <c r="C546" s="361"/>
      <c r="D546" s="362"/>
      <c r="E546" s="362"/>
      <c r="F546" s="362"/>
      <c r="G546" s="363" t="s">
        <v>14</v>
      </c>
      <c r="H546" s="363"/>
      <c r="I546" s="253">
        <v>2500000</v>
      </c>
      <c r="J546" s="372">
        <f>+I546</f>
        <v>2500000</v>
      </c>
      <c r="K546" s="373"/>
      <c r="L546" s="374"/>
      <c r="M546" s="374"/>
      <c r="N546" s="253"/>
      <c r="O546" s="256"/>
      <c r="P546" s="798"/>
      <c r="Q546" s="357"/>
    </row>
    <row r="547" spans="1:17" s="358" customFormat="1" ht="13.5" thickBot="1" x14ac:dyDescent="0.25">
      <c r="A547" s="359"/>
      <c r="B547" s="362"/>
      <c r="C547" s="361"/>
      <c r="D547" s="362"/>
      <c r="E547" s="362"/>
      <c r="F547" s="362"/>
      <c r="G547" s="363"/>
      <c r="H547" s="363"/>
      <c r="I547" s="253"/>
      <c r="J547" s="372"/>
      <c r="K547" s="373"/>
      <c r="L547" s="374"/>
      <c r="M547" s="374"/>
      <c r="N547" s="253"/>
      <c r="O547" s="256"/>
      <c r="P547" s="798"/>
      <c r="Q547" s="357"/>
    </row>
    <row r="548" spans="1:17" s="386" customFormat="1" ht="13.5" thickBot="1" x14ac:dyDescent="0.25">
      <c r="A548" s="402" t="s">
        <v>180</v>
      </c>
      <c r="B548" s="403"/>
      <c r="C548" s="404">
        <f>SUM(C535:C540)</f>
        <v>141812576.22</v>
      </c>
      <c r="D548" s="405"/>
      <c r="E548" s="405"/>
      <c r="F548" s="405"/>
      <c r="G548" s="406"/>
      <c r="H548" s="406"/>
      <c r="I548" s="407">
        <f>SUM(I536:I547)/2</f>
        <v>141812576.215</v>
      </c>
      <c r="J548" s="480"/>
      <c r="K548" s="481"/>
      <c r="L548" s="482"/>
      <c r="M548" s="482"/>
      <c r="N548" s="484">
        <f>+C548-I548</f>
        <v>4.999995231628418E-3</v>
      </c>
      <c r="O548" s="382"/>
      <c r="P548" s="801">
        <f>+C548-I548</f>
        <v>4.999995231628418E-3</v>
      </c>
      <c r="Q548" s="385"/>
    </row>
    <row r="549" spans="1:17" s="358" customFormat="1" x14ac:dyDescent="0.2">
      <c r="A549" s="409"/>
      <c r="B549" s="410"/>
      <c r="C549" s="411"/>
      <c r="D549" s="376"/>
      <c r="E549" s="376"/>
      <c r="F549" s="376"/>
      <c r="G549" s="350"/>
      <c r="H549" s="350"/>
      <c r="I549" s="491"/>
      <c r="J549" s="492"/>
      <c r="K549" s="493"/>
      <c r="L549" s="494"/>
      <c r="M549" s="494"/>
      <c r="N549" s="491"/>
      <c r="O549" s="496"/>
      <c r="P549" s="798"/>
      <c r="Q549" s="357"/>
    </row>
    <row r="550" spans="1:17" s="358" customFormat="1" x14ac:dyDescent="0.2">
      <c r="A550" s="359" t="str">
        <f>+'[7]Clasific. Económica de Ingresos'!A103</f>
        <v>1.3.4.1.00.00.0.0.000</v>
      </c>
      <c r="B550" s="365" t="s">
        <v>222</v>
      </c>
      <c r="C550" s="361">
        <f>SUM('[7]Clasific. Económica de Ingresos'!C103)</f>
        <v>475000000</v>
      </c>
      <c r="D550" s="362"/>
      <c r="E550" s="362"/>
      <c r="F550" s="362"/>
      <c r="G550" s="363"/>
      <c r="H550" s="363"/>
      <c r="I550" s="356"/>
      <c r="J550" s="352"/>
      <c r="K550" s="353"/>
      <c r="L550" s="354"/>
      <c r="M550" s="354"/>
      <c r="N550" s="356"/>
      <c r="O550" s="355"/>
      <c r="P550" s="798"/>
      <c r="Q550" s="357"/>
    </row>
    <row r="551" spans="1:17" s="358" customFormat="1" hidden="1" x14ac:dyDescent="0.2">
      <c r="A551" s="359"/>
      <c r="B551" s="365"/>
      <c r="C551" s="361"/>
      <c r="D551" s="362" t="s">
        <v>8</v>
      </c>
      <c r="E551" s="362" t="s">
        <v>184</v>
      </c>
      <c r="F551" s="362" t="s">
        <v>209</v>
      </c>
      <c r="G551" s="363" t="s">
        <v>213</v>
      </c>
      <c r="H551" s="363"/>
      <c r="I551" s="356"/>
      <c r="J551" s="352"/>
      <c r="K551" s="353"/>
      <c r="L551" s="354"/>
      <c r="M551" s="354"/>
      <c r="N551" s="356"/>
      <c r="O551" s="355"/>
      <c r="P551" s="798"/>
      <c r="Q551" s="357"/>
    </row>
    <row r="552" spans="1:17" s="358" customFormat="1" x14ac:dyDescent="0.2">
      <c r="A552" s="359"/>
      <c r="B552" s="362"/>
      <c r="C552" s="361"/>
      <c r="D552" s="362" t="s">
        <v>8</v>
      </c>
      <c r="E552" s="362" t="s">
        <v>191</v>
      </c>
      <c r="F552" s="362"/>
      <c r="G552" s="363" t="str">
        <f>+[7]ProgramaI!B27</f>
        <v>Consejo Nacionala de Personas con Discapacidad</v>
      </c>
      <c r="H552" s="363"/>
      <c r="I552" s="356">
        <f>+[7]ProgramaI!E27</f>
        <v>129395179.31314999</v>
      </c>
      <c r="J552" s="352"/>
      <c r="K552" s="353"/>
      <c r="L552" s="354"/>
      <c r="M552" s="354"/>
      <c r="N552" s="253"/>
      <c r="O552" s="256"/>
      <c r="P552" s="798"/>
      <c r="Q552" s="357"/>
    </row>
    <row r="553" spans="1:17" s="358" customFormat="1" x14ac:dyDescent="0.2">
      <c r="A553" s="359"/>
      <c r="B553" s="362"/>
      <c r="C553" s="361"/>
      <c r="D553" s="362"/>
      <c r="E553" s="362"/>
      <c r="F553" s="362"/>
      <c r="G553" s="363" t="s">
        <v>14</v>
      </c>
      <c r="H553" s="363"/>
      <c r="I553" s="356">
        <v>129395179.31</v>
      </c>
      <c r="J553" s="352">
        <f>+I553</f>
        <v>129395179.31</v>
      </c>
      <c r="K553" s="353"/>
      <c r="L553" s="354"/>
      <c r="M553" s="354"/>
      <c r="N553" s="253"/>
      <c r="O553" s="256"/>
      <c r="P553" s="798"/>
      <c r="Q553" s="357"/>
    </row>
    <row r="554" spans="1:17" s="358" customFormat="1" x14ac:dyDescent="0.2">
      <c r="A554" s="359"/>
      <c r="B554" s="362"/>
      <c r="C554" s="361"/>
      <c r="D554" s="362"/>
      <c r="E554" s="362"/>
      <c r="F554" s="362"/>
      <c r="G554" s="363"/>
      <c r="H554" s="363"/>
      <c r="I554" s="356"/>
      <c r="J554" s="352"/>
      <c r="K554" s="353"/>
      <c r="L554" s="354"/>
      <c r="M554" s="354"/>
      <c r="N554" s="253"/>
      <c r="O554" s="256"/>
      <c r="P554" s="798"/>
      <c r="Q554" s="357"/>
    </row>
    <row r="555" spans="1:17" s="358" customFormat="1" x14ac:dyDescent="0.2">
      <c r="A555" s="359"/>
      <c r="B555" s="362"/>
      <c r="C555" s="361"/>
      <c r="D555" s="362" t="s">
        <v>8</v>
      </c>
      <c r="E555" s="362" t="s">
        <v>191</v>
      </c>
      <c r="F555" s="362"/>
      <c r="G555" s="363" t="str">
        <f>+[7]ProgramaI!B32</f>
        <v xml:space="preserve">Comité Cantonal Deportes y Recreación </v>
      </c>
      <c r="H555" s="363"/>
      <c r="I555" s="356">
        <f>+[7]ProgramaI!E32-I520-I509-I222-I494-I245+0.01-I23</f>
        <v>345604820.68889993</v>
      </c>
      <c r="J555" s="352"/>
      <c r="K555" s="353"/>
      <c r="L555" s="354"/>
      <c r="M555" s="354"/>
      <c r="N555" s="253"/>
      <c r="O555" s="256"/>
      <c r="P555" s="798"/>
      <c r="Q555" s="357"/>
    </row>
    <row r="556" spans="1:17" s="358" customFormat="1" ht="13.5" thickBot="1" x14ac:dyDescent="0.25">
      <c r="A556" s="359"/>
      <c r="B556" s="362"/>
      <c r="C556" s="361"/>
      <c r="D556" s="362"/>
      <c r="E556" s="362"/>
      <c r="F556" s="362"/>
      <c r="G556" s="363" t="s">
        <v>14</v>
      </c>
      <c r="H556" s="363"/>
      <c r="I556" s="356">
        <v>345604820.69</v>
      </c>
      <c r="J556" s="352">
        <f>+I556</f>
        <v>345604820.69</v>
      </c>
      <c r="K556" s="353"/>
      <c r="L556" s="354"/>
      <c r="M556" s="354"/>
      <c r="N556" s="253"/>
      <c r="O556" s="256"/>
      <c r="P556" s="798"/>
      <c r="Q556" s="357"/>
    </row>
    <row r="557" spans="1:17" s="358" customFormat="1" ht="13.5" hidden="1" thickBot="1" x14ac:dyDescent="0.25">
      <c r="A557" s="359"/>
      <c r="B557" s="362"/>
      <c r="C557" s="361"/>
      <c r="D557" s="362"/>
      <c r="E557" s="362"/>
      <c r="F557" s="362"/>
      <c r="G557" s="363"/>
      <c r="H557" s="363"/>
      <c r="I557" s="356"/>
      <c r="J557" s="352"/>
      <c r="K557" s="353"/>
      <c r="L557" s="354"/>
      <c r="M557" s="354"/>
      <c r="N557" s="253"/>
      <c r="O557" s="256"/>
      <c r="P557" s="798"/>
      <c r="Q557" s="357"/>
    </row>
    <row r="558" spans="1:17" s="358" customFormat="1" ht="13.5" hidden="1" thickBot="1" x14ac:dyDescent="0.25">
      <c r="A558" s="359"/>
      <c r="B558" s="362"/>
      <c r="C558" s="361"/>
      <c r="D558" s="362" t="s">
        <v>8</v>
      </c>
      <c r="E558" s="362" t="s">
        <v>191</v>
      </c>
      <c r="F558" s="362"/>
      <c r="G558" s="363" t="str">
        <f>+[7]ProgramaI!B49</f>
        <v>Reintegros o devoluciones</v>
      </c>
      <c r="H558" s="363"/>
      <c r="I558" s="356">
        <v>0</v>
      </c>
      <c r="J558" s="352"/>
      <c r="K558" s="353"/>
      <c r="L558" s="354"/>
      <c r="M558" s="354"/>
      <c r="N558" s="253"/>
      <c r="O558" s="256"/>
      <c r="P558" s="798"/>
      <c r="Q558" s="357"/>
    </row>
    <row r="559" spans="1:17" s="358" customFormat="1" ht="13.5" hidden="1" thickBot="1" x14ac:dyDescent="0.25">
      <c r="A559" s="359"/>
      <c r="B559" s="363"/>
      <c r="C559" s="361"/>
      <c r="D559" s="362" t="s">
        <v>18</v>
      </c>
      <c r="E559" s="362" t="s">
        <v>185</v>
      </c>
      <c r="F559" s="362" t="s">
        <v>185</v>
      </c>
      <c r="G559" s="363" t="s">
        <v>221</v>
      </c>
      <c r="H559" s="363"/>
      <c r="I559" s="253"/>
      <c r="J559" s="372"/>
      <c r="K559" s="373"/>
      <c r="L559" s="374"/>
      <c r="M559" s="374"/>
      <c r="N559" s="356"/>
      <c r="O559" s="355"/>
      <c r="P559" s="798"/>
      <c r="Q559" s="357"/>
    </row>
    <row r="560" spans="1:17" s="358" customFormat="1" ht="13.5" hidden="1" thickBot="1" x14ac:dyDescent="0.25">
      <c r="A560" s="359"/>
      <c r="B560" s="362"/>
      <c r="C560" s="361"/>
      <c r="D560" s="362" t="s">
        <v>18</v>
      </c>
      <c r="E560" s="362" t="s">
        <v>183</v>
      </c>
      <c r="F560" s="362" t="s">
        <v>184</v>
      </c>
      <c r="G560" s="360" t="s">
        <v>199</v>
      </c>
      <c r="H560" s="360"/>
      <c r="I560" s="253"/>
      <c r="J560" s="372"/>
      <c r="K560" s="373"/>
      <c r="L560" s="374"/>
      <c r="M560" s="374"/>
      <c r="N560" s="253"/>
      <c r="O560" s="256"/>
      <c r="P560" s="798">
        <f>+I560+I761</f>
        <v>0</v>
      </c>
      <c r="Q560" s="357"/>
    </row>
    <row r="561" spans="1:17" s="358" customFormat="1" ht="13.5" hidden="1" thickBot="1" x14ac:dyDescent="0.25">
      <c r="A561" s="359"/>
      <c r="B561" s="362"/>
      <c r="C561" s="361"/>
      <c r="D561" s="362" t="s">
        <v>18</v>
      </c>
      <c r="E561" s="362" t="s">
        <v>189</v>
      </c>
      <c r="F561" s="362"/>
      <c r="G561" s="363" t="s">
        <v>188</v>
      </c>
      <c r="H561" s="363"/>
      <c r="I561" s="253">
        <v>0</v>
      </c>
      <c r="J561" s="372"/>
      <c r="K561" s="373"/>
      <c r="L561" s="374"/>
      <c r="M561" s="374"/>
      <c r="N561" s="253"/>
      <c r="O561" s="256"/>
      <c r="P561" s="798"/>
      <c r="Q561" s="357"/>
    </row>
    <row r="562" spans="1:17" s="358" customFormat="1" ht="13.5" hidden="1" thickBot="1" x14ac:dyDescent="0.25">
      <c r="A562" s="359"/>
      <c r="B562" s="362"/>
      <c r="C562" s="361"/>
      <c r="D562" s="362" t="s">
        <v>18</v>
      </c>
      <c r="E562" s="362" t="s">
        <v>187</v>
      </c>
      <c r="F562" s="366"/>
      <c r="G562" s="363" t="s">
        <v>220</v>
      </c>
      <c r="H562" s="363"/>
      <c r="I562" s="253">
        <v>0</v>
      </c>
      <c r="J562" s="372"/>
      <c r="K562" s="373"/>
      <c r="L562" s="374"/>
      <c r="M562" s="374"/>
      <c r="N562" s="253"/>
      <c r="O562" s="256"/>
      <c r="P562" s="798"/>
      <c r="Q562" s="357"/>
    </row>
    <row r="563" spans="1:17" s="358" customFormat="1" ht="13.5" thickBot="1" x14ac:dyDescent="0.25">
      <c r="A563" s="402" t="s">
        <v>180</v>
      </c>
      <c r="B563" s="403"/>
      <c r="C563" s="404">
        <f>SUM(C550:C552)</f>
        <v>475000000</v>
      </c>
      <c r="D563" s="405"/>
      <c r="E563" s="405"/>
      <c r="F563" s="405"/>
      <c r="G563" s="406"/>
      <c r="H563" s="406"/>
      <c r="I563" s="407">
        <f>SUM(I550:I562)/2</f>
        <v>475000000.00102496</v>
      </c>
      <c r="J563" s="379"/>
      <c r="K563" s="380"/>
      <c r="L563" s="381"/>
      <c r="M563" s="381"/>
      <c r="N563" s="383">
        <f>+C563-I563</f>
        <v>-1.0249614715576172E-3</v>
      </c>
      <c r="O563" s="382"/>
      <c r="P563" s="798"/>
      <c r="Q563" s="357"/>
    </row>
    <row r="564" spans="1:17" x14ac:dyDescent="0.2">
      <c r="A564" s="387"/>
      <c r="B564" s="388"/>
      <c r="C564" s="389"/>
      <c r="D564" s="599"/>
      <c r="E564" s="599"/>
      <c r="F564" s="599"/>
      <c r="G564" s="231"/>
      <c r="H564" s="231"/>
      <c r="I564" s="232"/>
      <c r="J564" s="301"/>
      <c r="K564" s="302"/>
      <c r="L564" s="303"/>
      <c r="M564" s="303"/>
      <c r="N564" s="300"/>
      <c r="O564" s="236"/>
    </row>
    <row r="565" spans="1:17" ht="25.5" x14ac:dyDescent="0.2">
      <c r="A565" s="600" t="str">
        <f>+'[7]Clasific. Económica de Ingresos'!A110</f>
        <v>1.4.1.2.01.00.0.0.000</v>
      </c>
      <c r="B565" s="395" t="s">
        <v>219</v>
      </c>
      <c r="C565" s="240">
        <f>SUM('[7]Clasific. Económica de Ingresos'!C110)</f>
        <v>103200000</v>
      </c>
      <c r="D565" s="601"/>
      <c r="E565" s="601"/>
      <c r="F565" s="601"/>
      <c r="G565" s="241"/>
      <c r="H565" s="241"/>
      <c r="I565" s="300"/>
      <c r="J565" s="301"/>
      <c r="K565" s="302"/>
      <c r="L565" s="303"/>
      <c r="M565" s="303"/>
      <c r="N565" s="300"/>
      <c r="O565" s="236"/>
    </row>
    <row r="566" spans="1:17" x14ac:dyDescent="0.2">
      <c r="A566" s="600"/>
      <c r="B566" s="601"/>
      <c r="C566" s="240"/>
      <c r="D566" s="601" t="s">
        <v>195</v>
      </c>
      <c r="E566" s="601">
        <v>22</v>
      </c>
      <c r="F566" s="601"/>
      <c r="G566" s="241" t="str">
        <f>+'[7]Egresos Programa II General'!B31</f>
        <v>Seguridad Vial</v>
      </c>
      <c r="H566" s="241"/>
      <c r="I566" s="247">
        <v>103200000</v>
      </c>
      <c r="J566" s="313"/>
      <c r="K566" s="314"/>
      <c r="L566" s="315"/>
      <c r="M566" s="315"/>
      <c r="N566" s="242"/>
      <c r="O566" s="246">
        <f>+N566-I566</f>
        <v>-103200000</v>
      </c>
    </row>
    <row r="567" spans="1:17" ht="25.5" hidden="1" x14ac:dyDescent="0.2">
      <c r="A567" s="600"/>
      <c r="B567" s="309"/>
      <c r="C567" s="240"/>
      <c r="D567" s="601" t="s">
        <v>18</v>
      </c>
      <c r="E567" s="601" t="s">
        <v>187</v>
      </c>
      <c r="F567" s="601"/>
      <c r="G567" s="597" t="s">
        <v>198</v>
      </c>
      <c r="H567" s="597"/>
      <c r="I567" s="300">
        <v>0</v>
      </c>
      <c r="J567" s="301"/>
      <c r="K567" s="302"/>
      <c r="L567" s="303"/>
      <c r="M567" s="303"/>
      <c r="N567" s="300"/>
      <c r="O567" s="236"/>
    </row>
    <row r="568" spans="1:17" x14ac:dyDescent="0.2">
      <c r="A568" s="600"/>
      <c r="B568" s="309"/>
      <c r="C568" s="240"/>
      <c r="D568" s="601"/>
      <c r="E568" s="601"/>
      <c r="F568" s="601"/>
      <c r="G568" s="597" t="s">
        <v>9</v>
      </c>
      <c r="H568" s="597"/>
      <c r="I568" s="300">
        <f>81751780.67+160646.41</f>
        <v>81912427.079999998</v>
      </c>
      <c r="J568" s="301">
        <f>+I568</f>
        <v>81912427.079999998</v>
      </c>
      <c r="K568" s="302"/>
      <c r="L568" s="303"/>
      <c r="M568" s="303"/>
      <c r="N568" s="300"/>
      <c r="O568" s="236"/>
    </row>
    <row r="569" spans="1:17" x14ac:dyDescent="0.2">
      <c r="A569" s="600"/>
      <c r="B569" s="309"/>
      <c r="C569" s="240"/>
      <c r="D569" s="601"/>
      <c r="E569" s="601"/>
      <c r="F569" s="601"/>
      <c r="G569" s="597" t="s">
        <v>218</v>
      </c>
      <c r="H569" s="597"/>
      <c r="I569" s="300">
        <v>6287572.9199999999</v>
      </c>
      <c r="J569" s="301">
        <f>+I569</f>
        <v>6287572.9199999999</v>
      </c>
      <c r="K569" s="302"/>
      <c r="L569" s="303"/>
      <c r="M569" s="303"/>
      <c r="N569" s="300"/>
      <c r="O569" s="236"/>
    </row>
    <row r="570" spans="1:17" ht="13.5" thickBot="1" x14ac:dyDescent="0.25">
      <c r="A570" s="600"/>
      <c r="B570" s="309"/>
      <c r="C570" s="240"/>
      <c r="D570" s="601"/>
      <c r="E570" s="601"/>
      <c r="F570" s="601"/>
      <c r="G570" s="597" t="s">
        <v>207</v>
      </c>
      <c r="H570" s="597"/>
      <c r="I570" s="300">
        <v>15000000</v>
      </c>
      <c r="J570" s="301">
        <f>+I570</f>
        <v>15000000</v>
      </c>
      <c r="K570" s="302"/>
      <c r="L570" s="303"/>
      <c r="M570" s="303"/>
      <c r="N570" s="300"/>
      <c r="O570" s="236"/>
    </row>
    <row r="571" spans="1:17" s="239" customFormat="1" ht="13.5" thickBot="1" x14ac:dyDescent="0.25">
      <c r="A571" s="323" t="s">
        <v>180</v>
      </c>
      <c r="B571" s="324"/>
      <c r="C571" s="325">
        <f>SUM(C565:C566)</f>
        <v>103200000</v>
      </c>
      <c r="D571" s="326"/>
      <c r="E571" s="326"/>
      <c r="F571" s="326"/>
      <c r="G571" s="327"/>
      <c r="H571" s="327"/>
      <c r="I571" s="341">
        <f>SUM(I566:I570)/2</f>
        <v>103199999.99999999</v>
      </c>
      <c r="J571" s="342"/>
      <c r="K571" s="343"/>
      <c r="L571" s="344"/>
      <c r="M571" s="344"/>
      <c r="N571" s="333">
        <f>+C571-I571</f>
        <v>0</v>
      </c>
      <c r="O571" s="345"/>
      <c r="P571" s="800"/>
      <c r="Q571" s="335"/>
    </row>
    <row r="572" spans="1:17" ht="10.5" customHeight="1" x14ac:dyDescent="0.2">
      <c r="A572" s="600"/>
      <c r="B572" s="601"/>
      <c r="C572" s="240"/>
      <c r="D572" s="601"/>
      <c r="E572" s="601"/>
      <c r="F572" s="601"/>
      <c r="G572" s="241"/>
      <c r="H572" s="241"/>
      <c r="I572" s="242"/>
      <c r="J572" s="243"/>
      <c r="K572" s="244"/>
      <c r="L572" s="245"/>
      <c r="M572" s="245"/>
      <c r="N572" s="242"/>
      <c r="O572" s="246"/>
    </row>
    <row r="573" spans="1:17" ht="13.5" customHeight="1" thickBot="1" x14ac:dyDescent="0.25">
      <c r="A573" s="600"/>
      <c r="B573" s="601"/>
      <c r="D573" s="239"/>
      <c r="E573" s="239"/>
      <c r="F573" s="239"/>
      <c r="G573" s="241"/>
      <c r="H573" s="241"/>
      <c r="I573" s="497"/>
      <c r="J573" s="498"/>
      <c r="K573" s="499"/>
      <c r="L573" s="500"/>
      <c r="M573" s="500"/>
      <c r="N573" s="497"/>
      <c r="O573" s="501"/>
    </row>
    <row r="574" spans="1:17" ht="26.25" hidden="1" thickBot="1" x14ac:dyDescent="0.25">
      <c r="A574" s="598" t="str">
        <f>+'[7]Clasific. Económica de Ingresos'!A111</f>
        <v>1.4.1.2.02,00.0.0.000</v>
      </c>
      <c r="B574" s="464" t="str">
        <f>+'[7]Clasific. Económica de Ingresos'!B111</f>
        <v>Programas comites cantonales de la Persona Joven</v>
      </c>
      <c r="C574" s="287">
        <f>SUM('[7]Clasific. Económica de Ingresos'!C111)</f>
        <v>0</v>
      </c>
      <c r="D574" s="599"/>
      <c r="E574" s="599"/>
      <c r="F574" s="599"/>
      <c r="G574" s="231"/>
      <c r="H574" s="231"/>
      <c r="I574" s="232"/>
      <c r="J574" s="301"/>
      <c r="K574" s="302"/>
      <c r="L574" s="303"/>
      <c r="M574" s="303"/>
      <c r="N574" s="300"/>
      <c r="O574" s="236"/>
    </row>
    <row r="575" spans="1:17" ht="13.5" hidden="1" thickBot="1" x14ac:dyDescent="0.25">
      <c r="A575" s="600"/>
      <c r="B575" s="601"/>
      <c r="C575" s="240"/>
      <c r="D575" s="601" t="s">
        <v>19</v>
      </c>
      <c r="E575" s="601">
        <v>10</v>
      </c>
      <c r="F575" s="601"/>
      <c r="G575" s="241" t="s">
        <v>217</v>
      </c>
      <c r="H575" s="241"/>
      <c r="I575" s="242"/>
      <c r="J575" s="243"/>
      <c r="K575" s="244"/>
      <c r="L575" s="245"/>
      <c r="M575" s="245"/>
      <c r="N575" s="242"/>
      <c r="O575" s="246"/>
    </row>
    <row r="576" spans="1:17" ht="28.5" hidden="1" customHeight="1" thickBot="1" x14ac:dyDescent="0.25">
      <c r="A576" s="271"/>
      <c r="B576" s="459"/>
      <c r="C576" s="273"/>
      <c r="D576" s="272" t="s">
        <v>19</v>
      </c>
      <c r="E576" s="272">
        <v>10</v>
      </c>
      <c r="F576" s="272"/>
      <c r="G576" s="502" t="s">
        <v>198</v>
      </c>
      <c r="H576" s="502"/>
      <c r="I576" s="442">
        <v>0</v>
      </c>
      <c r="J576" s="301"/>
      <c r="K576" s="302"/>
      <c r="L576" s="303"/>
      <c r="M576" s="303"/>
      <c r="N576" s="300"/>
      <c r="O576" s="236"/>
    </row>
    <row r="577" spans="1:17" ht="13.5" hidden="1" thickBot="1" x14ac:dyDescent="0.25">
      <c r="A577" s="323" t="s">
        <v>180</v>
      </c>
      <c r="B577" s="324"/>
      <c r="C577" s="325">
        <f>SUM(C574:C575)</f>
        <v>0</v>
      </c>
      <c r="D577" s="326"/>
      <c r="E577" s="326"/>
      <c r="F577" s="326"/>
      <c r="G577" s="327"/>
      <c r="H577" s="327"/>
      <c r="I577" s="341">
        <f>SUM(I575:I576)</f>
        <v>0</v>
      </c>
      <c r="J577" s="342"/>
      <c r="K577" s="343"/>
      <c r="L577" s="344"/>
      <c r="M577" s="344"/>
      <c r="N577" s="333">
        <f>+C577-I577</f>
        <v>0</v>
      </c>
      <c r="O577" s="345"/>
      <c r="P577" s="802"/>
    </row>
    <row r="578" spans="1:17" s="516" customFormat="1" x14ac:dyDescent="0.2">
      <c r="A578" s="504" t="s">
        <v>15</v>
      </c>
      <c r="B578" s="505"/>
      <c r="C578" s="506"/>
      <c r="D578" s="507"/>
      <c r="E578" s="507"/>
      <c r="F578" s="507"/>
      <c r="G578" s="508"/>
      <c r="H578" s="508"/>
      <c r="I578" s="509"/>
      <c r="J578" s="510"/>
      <c r="K578" s="511"/>
      <c r="L578" s="512"/>
      <c r="M578" s="512"/>
      <c r="N578" s="514"/>
      <c r="O578" s="513"/>
      <c r="P578" s="803"/>
      <c r="Q578" s="513"/>
    </row>
    <row r="579" spans="1:17" s="516" customFormat="1" ht="33.75" customHeight="1" x14ac:dyDescent="0.2">
      <c r="A579" s="517" t="str">
        <f>+'[7]Clasific. Económica de Ingresos'!A113</f>
        <v>1.4.1.3.01.00.0.0.000</v>
      </c>
      <c r="B579" s="518" t="s">
        <v>216</v>
      </c>
      <c r="C579" s="519">
        <f>SUM('[7]Clasific. Económica de Ingresos'!C113)</f>
        <v>68564775.730000004</v>
      </c>
      <c r="D579" s="520"/>
      <c r="E579" s="520"/>
      <c r="F579" s="520"/>
      <c r="G579" s="521"/>
      <c r="H579" s="521"/>
      <c r="I579" s="514"/>
      <c r="J579" s="510"/>
      <c r="K579" s="511"/>
      <c r="L579" s="512"/>
      <c r="M579" s="512"/>
      <c r="N579" s="514"/>
      <c r="O579" s="513"/>
      <c r="P579" s="803"/>
      <c r="Q579" s="513"/>
    </row>
    <row r="580" spans="1:17" s="516" customFormat="1" x14ac:dyDescent="0.2">
      <c r="A580" s="517"/>
      <c r="B580" s="520"/>
      <c r="C580" s="519"/>
      <c r="D580" s="520" t="s">
        <v>8</v>
      </c>
      <c r="E580" s="520" t="s">
        <v>184</v>
      </c>
      <c r="F580" s="520" t="s">
        <v>209</v>
      </c>
      <c r="G580" s="521" t="s">
        <v>213</v>
      </c>
      <c r="H580" s="521"/>
      <c r="I580" s="522">
        <v>68564775.730000004</v>
      </c>
      <c r="J580" s="523"/>
      <c r="K580" s="524"/>
      <c r="L580" s="525"/>
      <c r="M580" s="525"/>
      <c r="N580" s="527">
        <v>0</v>
      </c>
      <c r="O580" s="526"/>
      <c r="P580" s="803"/>
      <c r="Q580" s="513"/>
    </row>
    <row r="581" spans="1:17" s="516" customFormat="1" hidden="1" x14ac:dyDescent="0.2">
      <c r="A581" s="517"/>
      <c r="B581" s="520"/>
      <c r="C581" s="519"/>
      <c r="D581" s="520" t="s">
        <v>19</v>
      </c>
      <c r="E581" s="520">
        <v>31</v>
      </c>
      <c r="F581" s="520"/>
      <c r="G581" s="521" t="str">
        <f>+'[7]Egresos Programa II General'!B45</f>
        <v>Aporte en Especie para Servicios Y Proyectos Comunitarios</v>
      </c>
      <c r="H581" s="521"/>
      <c r="I581" s="527"/>
      <c r="J581" s="523"/>
      <c r="K581" s="524"/>
      <c r="L581" s="525"/>
      <c r="M581" s="525"/>
      <c r="N581" s="527"/>
      <c r="O581" s="526"/>
      <c r="P581" s="803">
        <f>I581+I592</f>
        <v>0</v>
      </c>
      <c r="Q581" s="513"/>
    </row>
    <row r="582" spans="1:17" s="516" customFormat="1" hidden="1" x14ac:dyDescent="0.2">
      <c r="A582" s="517"/>
      <c r="B582" s="520"/>
      <c r="C582" s="519"/>
      <c r="D582" s="520" t="s">
        <v>18</v>
      </c>
      <c r="E582" s="520" t="s">
        <v>189</v>
      </c>
      <c r="F582" s="519"/>
      <c r="G582" s="528" t="s">
        <v>211</v>
      </c>
      <c r="H582" s="528"/>
      <c r="I582" s="527"/>
      <c r="J582" s="523"/>
      <c r="K582" s="524"/>
      <c r="L582" s="525"/>
      <c r="M582" s="525"/>
      <c r="N582" s="527"/>
      <c r="O582" s="526"/>
      <c r="P582" s="803"/>
      <c r="Q582" s="513"/>
    </row>
    <row r="583" spans="1:17" s="516" customFormat="1" hidden="1" x14ac:dyDescent="0.2">
      <c r="A583" s="517"/>
      <c r="B583" s="520"/>
      <c r="C583" s="519"/>
      <c r="D583" s="520" t="s">
        <v>18</v>
      </c>
      <c r="E583" s="520" t="s">
        <v>189</v>
      </c>
      <c r="F583" s="519"/>
      <c r="G583" s="521" t="s">
        <v>188</v>
      </c>
      <c r="H583" s="521"/>
      <c r="I583" s="527"/>
      <c r="J583" s="523"/>
      <c r="K583" s="524"/>
      <c r="L583" s="525"/>
      <c r="M583" s="525"/>
      <c r="N583" s="527"/>
      <c r="O583" s="526"/>
      <c r="P583" s="803"/>
      <c r="Q583" s="513"/>
    </row>
    <row r="584" spans="1:17" s="516" customFormat="1" x14ac:dyDescent="0.2">
      <c r="A584" s="517"/>
      <c r="B584" s="520"/>
      <c r="C584" s="519"/>
      <c r="D584" s="520"/>
      <c r="E584" s="520"/>
      <c r="F584" s="519"/>
      <c r="G584" s="521" t="s">
        <v>9</v>
      </c>
      <c r="H584" s="521"/>
      <c r="I584" s="527">
        <v>68564775.730000004</v>
      </c>
      <c r="J584" s="523">
        <f>+I584</f>
        <v>68564775.730000004</v>
      </c>
      <c r="K584" s="524"/>
      <c r="L584" s="525"/>
      <c r="M584" s="525"/>
      <c r="N584" s="527"/>
      <c r="O584" s="526"/>
      <c r="P584" s="803"/>
      <c r="Q584" s="513"/>
    </row>
    <row r="585" spans="1:17" s="516" customFormat="1" x14ac:dyDescent="0.2">
      <c r="A585" s="517"/>
      <c r="B585" s="520"/>
      <c r="C585" s="519"/>
      <c r="D585" s="520"/>
      <c r="E585" s="520"/>
      <c r="F585" s="519"/>
      <c r="G585" s="521"/>
      <c r="H585" s="521"/>
      <c r="I585" s="527"/>
      <c r="J585" s="523"/>
      <c r="K585" s="524"/>
      <c r="L585" s="525"/>
      <c r="M585" s="525"/>
      <c r="N585" s="527"/>
      <c r="O585" s="526"/>
      <c r="P585" s="803"/>
      <c r="Q585" s="513"/>
    </row>
    <row r="586" spans="1:17" s="516" customFormat="1" ht="13.5" thickBot="1" x14ac:dyDescent="0.25">
      <c r="A586" s="517"/>
      <c r="B586" s="520"/>
      <c r="C586" s="519"/>
      <c r="D586" s="520"/>
      <c r="E586" s="520"/>
      <c r="F586" s="519"/>
      <c r="G586" s="521"/>
      <c r="H586" s="521"/>
      <c r="I586" s="527"/>
      <c r="J586" s="523"/>
      <c r="K586" s="524"/>
      <c r="L586" s="525"/>
      <c r="M586" s="525"/>
      <c r="N586" s="527"/>
      <c r="O586" s="526"/>
      <c r="P586" s="803"/>
      <c r="Q586" s="513"/>
    </row>
    <row r="587" spans="1:17" s="516" customFormat="1" ht="13.5" hidden="1" thickBot="1" x14ac:dyDescent="0.25">
      <c r="A587" s="529"/>
      <c r="B587" s="520"/>
      <c r="C587" s="519"/>
      <c r="D587" s="520" t="s">
        <v>18</v>
      </c>
      <c r="E587" s="520">
        <v>6</v>
      </c>
      <c r="F587" s="520">
        <v>1</v>
      </c>
      <c r="G587" s="521" t="s">
        <v>215</v>
      </c>
      <c r="H587" s="521"/>
      <c r="I587" s="527">
        <v>0</v>
      </c>
      <c r="J587" s="523"/>
      <c r="K587" s="524"/>
      <c r="L587" s="525"/>
      <c r="M587" s="525"/>
      <c r="N587" s="527"/>
      <c r="O587" s="526"/>
      <c r="P587" s="803"/>
      <c r="Q587" s="513"/>
    </row>
    <row r="588" spans="1:17" s="516" customFormat="1" ht="26.25" hidden="1" thickBot="1" x14ac:dyDescent="0.25">
      <c r="A588" s="517"/>
      <c r="B588" s="520"/>
      <c r="C588" s="519"/>
      <c r="D588" s="520" t="s">
        <v>18</v>
      </c>
      <c r="E588" s="520" t="s">
        <v>185</v>
      </c>
      <c r="F588" s="520" t="s">
        <v>183</v>
      </c>
      <c r="G588" s="530" t="str">
        <f>+'[7]Egresos Programa III General'!B46</f>
        <v>Carpeta Asfaltica en Urbanización las Melisas</v>
      </c>
      <c r="H588" s="530"/>
      <c r="I588" s="527">
        <v>0</v>
      </c>
      <c r="J588" s="523"/>
      <c r="K588" s="524"/>
      <c r="L588" s="525"/>
      <c r="M588" s="525"/>
      <c r="N588" s="527"/>
      <c r="O588" s="526"/>
      <c r="P588" s="803">
        <f>+C579*50.5%</f>
        <v>34625211.743650004</v>
      </c>
      <c r="Q588" s="513"/>
    </row>
    <row r="589" spans="1:17" s="543" customFormat="1" ht="13.5" thickBot="1" x14ac:dyDescent="0.25">
      <c r="A589" s="531" t="s">
        <v>180</v>
      </c>
      <c r="B589" s="532"/>
      <c r="C589" s="533">
        <f>SUM(C579:C583)</f>
        <v>68564775.730000004</v>
      </c>
      <c r="D589" s="534"/>
      <c r="E589" s="534"/>
      <c r="F589" s="534"/>
      <c r="G589" s="535"/>
      <c r="H589" s="535"/>
      <c r="I589" s="536">
        <f>SUM(I580:I588)/2</f>
        <v>68564775.730000004</v>
      </c>
      <c r="J589" s="537"/>
      <c r="K589" s="538"/>
      <c r="L589" s="539"/>
      <c r="M589" s="539"/>
      <c r="N589" s="541">
        <f>+C589-I589</f>
        <v>0</v>
      </c>
      <c r="O589" s="540"/>
      <c r="P589" s="803">
        <f>+C589*49.5%</f>
        <v>33939563.98635</v>
      </c>
      <c r="Q589" s="542"/>
    </row>
    <row r="590" spans="1:17" s="358" customFormat="1" hidden="1" x14ac:dyDescent="0.2">
      <c r="A590" s="487"/>
      <c r="B590" s="365"/>
      <c r="C590" s="488"/>
      <c r="D590" s="544"/>
      <c r="E590" s="544"/>
      <c r="F590" s="544"/>
      <c r="G590" s="363"/>
      <c r="H590" s="363"/>
      <c r="I590" s="545"/>
      <c r="J590" s="546"/>
      <c r="K590" s="547"/>
      <c r="L590" s="548"/>
      <c r="M590" s="548"/>
      <c r="N590" s="545"/>
      <c r="O590" s="496"/>
      <c r="P590" s="798"/>
      <c r="Q590" s="357"/>
    </row>
    <row r="591" spans="1:17" s="358" customFormat="1" hidden="1" x14ac:dyDescent="0.2">
      <c r="A591" s="413" t="str">
        <f>+'[7]Clasific. Económica de Ingresos'!A121</f>
        <v>2.1.2.1.01.00.0.0.000</v>
      </c>
      <c r="B591" s="363" t="s">
        <v>214</v>
      </c>
      <c r="C591" s="361">
        <f>SUM('[7]Clasific. Económica de Ingresos'!C121)</f>
        <v>0</v>
      </c>
      <c r="D591" s="362" t="s">
        <v>8</v>
      </c>
      <c r="E591" s="362" t="s">
        <v>184</v>
      </c>
      <c r="F591" s="362" t="s">
        <v>209</v>
      </c>
      <c r="G591" s="363" t="s">
        <v>213</v>
      </c>
      <c r="H591" s="363"/>
      <c r="I591" s="356">
        <v>0</v>
      </c>
      <c r="J591" s="352"/>
      <c r="K591" s="353"/>
      <c r="L591" s="354"/>
      <c r="M591" s="354"/>
      <c r="N591" s="356"/>
      <c r="O591" s="355"/>
      <c r="P591" s="798"/>
      <c r="Q591" s="357"/>
    </row>
    <row r="592" spans="1:17" s="516" customFormat="1" hidden="1" x14ac:dyDescent="0.2">
      <c r="A592" s="517"/>
      <c r="B592" s="520"/>
      <c r="C592" s="519"/>
      <c r="D592" s="520" t="s">
        <v>18</v>
      </c>
      <c r="E592" s="520" t="s">
        <v>189</v>
      </c>
      <c r="F592" s="520"/>
      <c r="G592" s="521" t="s">
        <v>212</v>
      </c>
      <c r="H592" s="521"/>
      <c r="I592" s="527">
        <v>0</v>
      </c>
      <c r="J592" s="523"/>
      <c r="K592" s="524"/>
      <c r="L592" s="525"/>
      <c r="M592" s="525"/>
      <c r="N592" s="527"/>
      <c r="O592" s="526"/>
      <c r="P592" s="803"/>
      <c r="Q592" s="513"/>
    </row>
    <row r="593" spans="1:17" s="358" customFormat="1" hidden="1" x14ac:dyDescent="0.2">
      <c r="A593" s="359"/>
      <c r="B593" s="362"/>
      <c r="C593" s="361"/>
      <c r="D593" s="362" t="s">
        <v>18</v>
      </c>
      <c r="E593" s="362" t="s">
        <v>189</v>
      </c>
      <c r="F593" s="366"/>
      <c r="G593" s="363" t="s">
        <v>188</v>
      </c>
      <c r="H593" s="363"/>
      <c r="I593" s="356">
        <v>0</v>
      </c>
      <c r="J593" s="352"/>
      <c r="K593" s="353"/>
      <c r="L593" s="354"/>
      <c r="M593" s="354"/>
      <c r="N593" s="356"/>
      <c r="O593" s="355"/>
      <c r="P593" s="798"/>
      <c r="Q593" s="357"/>
    </row>
    <row r="594" spans="1:17" s="516" customFormat="1" hidden="1" x14ac:dyDescent="0.2">
      <c r="A594" s="517"/>
      <c r="B594" s="520"/>
      <c r="C594" s="519"/>
      <c r="D594" s="520" t="s">
        <v>18</v>
      </c>
      <c r="E594" s="520" t="s">
        <v>189</v>
      </c>
      <c r="F594" s="520" t="s">
        <v>209</v>
      </c>
      <c r="G594" s="528" t="s">
        <v>211</v>
      </c>
      <c r="H594" s="528"/>
      <c r="I594" s="527"/>
      <c r="J594" s="523"/>
      <c r="K594" s="524"/>
      <c r="L594" s="525"/>
      <c r="M594" s="525"/>
      <c r="N594" s="527"/>
      <c r="O594" s="526"/>
      <c r="P594" s="803"/>
      <c r="Q594" s="513"/>
    </row>
    <row r="595" spans="1:17" s="516" customFormat="1" ht="13.5" hidden="1" thickBot="1" x14ac:dyDescent="0.25">
      <c r="A595" s="531" t="s">
        <v>180</v>
      </c>
      <c r="B595" s="532"/>
      <c r="C595" s="533">
        <f>SUM(C591:C592)</f>
        <v>0</v>
      </c>
      <c r="D595" s="534"/>
      <c r="E595" s="534"/>
      <c r="F595" s="534"/>
      <c r="G595" s="535"/>
      <c r="H595" s="535"/>
      <c r="I595" s="536">
        <f>SUM(I591:I594)</f>
        <v>0</v>
      </c>
      <c r="J595" s="537"/>
      <c r="K595" s="538"/>
      <c r="L595" s="539"/>
      <c r="M595" s="539"/>
      <c r="N595" s="541">
        <f>+C595-I595</f>
        <v>0</v>
      </c>
      <c r="O595" s="540"/>
      <c r="P595" s="803">
        <f>+C595-I595</f>
        <v>0</v>
      </c>
      <c r="Q595" s="513"/>
    </row>
    <row r="596" spans="1:17" x14ac:dyDescent="0.2">
      <c r="A596" s="600"/>
      <c r="B596" s="601"/>
      <c r="C596" s="240"/>
      <c r="D596" s="340"/>
      <c r="E596" s="340"/>
      <c r="F596" s="340"/>
      <c r="G596" s="467"/>
      <c r="H596" s="467"/>
      <c r="I596" s="549"/>
      <c r="J596" s="550"/>
      <c r="K596" s="551"/>
      <c r="L596" s="552"/>
      <c r="M596" s="552"/>
      <c r="N596" s="549"/>
      <c r="O596" s="553"/>
      <c r="P596" s="792">
        <f>SUM(P588:P589)</f>
        <v>68564775.730000004</v>
      </c>
    </row>
    <row r="597" spans="1:17" x14ac:dyDescent="0.2">
      <c r="A597" s="600" t="str">
        <f>+'[7]Clasific. Económica de Ingresos'!A126</f>
        <v>2.2.1.1.00.00.0.0.000</v>
      </c>
      <c r="B597" s="395" t="s">
        <v>210</v>
      </c>
      <c r="C597" s="240">
        <f>+'[7]Clasific. Económica de Ingresos'!C126</f>
        <v>3000000</v>
      </c>
      <c r="D597" s="601"/>
      <c r="E597" s="601"/>
      <c r="F597" s="601"/>
      <c r="G597" s="241"/>
      <c r="H597" s="241"/>
      <c r="I597" s="300"/>
      <c r="J597" s="301"/>
      <c r="K597" s="302"/>
      <c r="L597" s="303"/>
      <c r="M597" s="303"/>
      <c r="N597" s="300"/>
      <c r="O597" s="236"/>
    </row>
    <row r="598" spans="1:17" x14ac:dyDescent="0.2">
      <c r="A598" s="600"/>
      <c r="B598" s="601"/>
      <c r="C598" s="240"/>
      <c r="D598" s="601" t="s">
        <v>19</v>
      </c>
      <c r="E598" s="601" t="s">
        <v>183</v>
      </c>
      <c r="F598" s="601" t="s">
        <v>209</v>
      </c>
      <c r="G598" s="241" t="s">
        <v>208</v>
      </c>
      <c r="H598" s="241"/>
      <c r="I598" s="300">
        <v>3000000</v>
      </c>
      <c r="J598" s="301"/>
      <c r="K598" s="302"/>
      <c r="L598" s="303"/>
      <c r="M598" s="303"/>
      <c r="N598" s="300"/>
      <c r="O598" s="236"/>
    </row>
    <row r="599" spans="1:17" x14ac:dyDescent="0.2">
      <c r="A599" s="600"/>
      <c r="B599" s="601"/>
      <c r="C599" s="240"/>
      <c r="D599" s="601"/>
      <c r="E599" s="601"/>
      <c r="F599" s="601"/>
      <c r="G599" s="597" t="s">
        <v>207</v>
      </c>
      <c r="H599" s="241"/>
      <c r="I599" s="300">
        <v>3000000</v>
      </c>
      <c r="J599" s="301">
        <f>+I599</f>
        <v>3000000</v>
      </c>
      <c r="K599" s="302"/>
      <c r="L599" s="303"/>
      <c r="M599" s="303"/>
      <c r="N599" s="300"/>
      <c r="O599" s="236"/>
    </row>
    <row r="600" spans="1:17" ht="13.5" thickBot="1" x14ac:dyDescent="0.25">
      <c r="A600" s="600"/>
      <c r="B600" s="601"/>
      <c r="C600" s="240"/>
      <c r="D600" s="601"/>
      <c r="E600" s="601"/>
      <c r="F600" s="601"/>
      <c r="G600" s="241"/>
      <c r="H600" s="241"/>
      <c r="I600" s="300"/>
      <c r="J600" s="301"/>
      <c r="K600" s="302"/>
      <c r="L600" s="303"/>
      <c r="M600" s="303"/>
      <c r="N600" s="300"/>
      <c r="O600" s="236"/>
    </row>
    <row r="601" spans="1:17" ht="13.5" thickBot="1" x14ac:dyDescent="0.25">
      <c r="A601" s="323" t="s">
        <v>180</v>
      </c>
      <c r="B601" s="324"/>
      <c r="C601" s="325">
        <f>SUM(C597:C598)</f>
        <v>3000000</v>
      </c>
      <c r="D601" s="326"/>
      <c r="E601" s="326"/>
      <c r="F601" s="326"/>
      <c r="G601" s="327"/>
      <c r="H601" s="327"/>
      <c r="I601" s="341">
        <f>SUM(I598:I598)</f>
        <v>3000000</v>
      </c>
      <c r="J601" s="342"/>
      <c r="K601" s="343"/>
      <c r="L601" s="344"/>
      <c r="M601" s="344"/>
      <c r="N601" s="333">
        <f>+C601-I601</f>
        <v>0</v>
      </c>
      <c r="O601" s="345"/>
    </row>
    <row r="602" spans="1:17" x14ac:dyDescent="0.2">
      <c r="A602" s="600"/>
      <c r="B602" s="601"/>
      <c r="C602" s="240"/>
      <c r="D602" s="601"/>
      <c r="E602" s="601"/>
      <c r="F602" s="601"/>
      <c r="G602" s="241"/>
      <c r="H602" s="241"/>
      <c r="I602" s="242"/>
      <c r="J602" s="243"/>
      <c r="K602" s="244"/>
      <c r="L602" s="245"/>
      <c r="M602" s="245"/>
      <c r="N602" s="242"/>
      <c r="O602" s="246"/>
    </row>
    <row r="603" spans="1:17" ht="25.5" x14ac:dyDescent="0.2">
      <c r="A603" s="600" t="str">
        <f>+'[7]Clasific. Económica de Ingresos'!A133</f>
        <v>2.4.1.1.01.00.0.0.000</v>
      </c>
      <c r="B603" s="309" t="s">
        <v>206</v>
      </c>
      <c r="C603" s="211">
        <f>SUM('[7]Clasific. Económica de Ingresos'!C133)</f>
        <v>1073302108</v>
      </c>
      <c r="D603" s="601"/>
      <c r="E603" s="601"/>
      <c r="F603" s="601"/>
      <c r="G603" s="241"/>
      <c r="H603" s="241"/>
      <c r="I603" s="300"/>
      <c r="J603" s="301"/>
      <c r="K603" s="302"/>
      <c r="L603" s="303"/>
      <c r="M603" s="303"/>
      <c r="N603" s="300"/>
      <c r="O603" s="236"/>
      <c r="P603" s="602"/>
      <c r="Q603" s="602"/>
    </row>
    <row r="604" spans="1:17" hidden="1" x14ac:dyDescent="0.2">
      <c r="A604" s="600"/>
      <c r="B604" s="309"/>
      <c r="C604" s="211"/>
      <c r="D604" s="601" t="s">
        <v>18</v>
      </c>
      <c r="E604" s="601" t="s">
        <v>185</v>
      </c>
      <c r="F604" s="601" t="s">
        <v>184</v>
      </c>
      <c r="G604" s="241" t="s">
        <v>205</v>
      </c>
      <c r="H604" s="241"/>
      <c r="I604" s="237">
        <f>+[10]Remuneraciones!$AB$38+'[10]III-02-01'!$D$180</f>
        <v>0</v>
      </c>
      <c r="J604" s="434"/>
      <c r="K604" s="435"/>
      <c r="L604" s="436"/>
      <c r="M604" s="436"/>
      <c r="N604" s="300"/>
      <c r="O604" s="236"/>
      <c r="P604" s="602"/>
      <c r="Q604" s="602"/>
    </row>
    <row r="605" spans="1:17" hidden="1" x14ac:dyDescent="0.2">
      <c r="A605" s="600"/>
      <c r="B605" s="309"/>
      <c r="C605" s="211"/>
      <c r="D605" s="601" t="s">
        <v>18</v>
      </c>
      <c r="E605" s="601" t="s">
        <v>185</v>
      </c>
      <c r="F605" s="601" t="s">
        <v>185</v>
      </c>
      <c r="G605" s="258" t="str">
        <f>+'[7]Egresos Programa III General'!B42</f>
        <v>Mantenimeiento Rutinario de la Red Vial Cantonal</v>
      </c>
      <c r="H605" s="258"/>
      <c r="I605" s="237">
        <v>0</v>
      </c>
      <c r="J605" s="434"/>
      <c r="K605" s="435"/>
      <c r="L605" s="436"/>
      <c r="M605" s="436"/>
      <c r="N605" s="300"/>
      <c r="O605" s="236"/>
      <c r="P605" s="602"/>
      <c r="Q605" s="602"/>
    </row>
    <row r="606" spans="1:17" x14ac:dyDescent="0.2">
      <c r="A606" s="600"/>
      <c r="B606" s="309"/>
      <c r="C606" s="211"/>
      <c r="D606" s="601" t="s">
        <v>18</v>
      </c>
      <c r="E606" s="601" t="s">
        <v>185</v>
      </c>
      <c r="F606" s="601" t="s">
        <v>193</v>
      </c>
      <c r="G606" s="241" t="s">
        <v>192</v>
      </c>
      <c r="H606" s="241"/>
      <c r="I606" s="237">
        <f>831706587.9+241595520.1</f>
        <v>1073302108</v>
      </c>
      <c r="J606" s="434"/>
      <c r="K606" s="435"/>
      <c r="L606" s="436"/>
      <c r="M606" s="436"/>
      <c r="N606" s="300"/>
      <c r="O606" s="236"/>
      <c r="P606" s="602"/>
      <c r="Q606" s="602"/>
    </row>
    <row r="607" spans="1:17" x14ac:dyDescent="0.2">
      <c r="A607" s="600"/>
      <c r="B607" s="309"/>
      <c r="C607" s="211"/>
      <c r="D607" s="601"/>
      <c r="E607" s="601"/>
      <c r="F607" s="601"/>
      <c r="G607" s="241" t="s">
        <v>181</v>
      </c>
      <c r="H607" s="241"/>
      <c r="I607" s="237">
        <v>1073302108</v>
      </c>
      <c r="J607" s="434"/>
      <c r="K607" s="435">
        <f>+I607</f>
        <v>1073302108</v>
      </c>
      <c r="L607" s="436"/>
      <c r="M607" s="436"/>
      <c r="N607" s="300"/>
      <c r="O607" s="236"/>
      <c r="P607" s="602"/>
      <c r="Q607" s="602"/>
    </row>
    <row r="608" spans="1:17" ht="13.5" thickBot="1" x14ac:dyDescent="0.25">
      <c r="A608" s="600"/>
      <c r="B608" s="309"/>
      <c r="C608" s="211"/>
      <c r="D608" s="601"/>
      <c r="E608" s="601"/>
      <c r="F608" s="601"/>
      <c r="G608" s="241"/>
      <c r="H608" s="241"/>
      <c r="I608" s="237"/>
      <c r="J608" s="434"/>
      <c r="K608" s="435"/>
      <c r="L608" s="436"/>
      <c r="M608" s="436"/>
      <c r="N608" s="300"/>
      <c r="O608" s="236"/>
      <c r="P608" s="602"/>
      <c r="Q608" s="602"/>
    </row>
    <row r="609" spans="1:17" ht="13.5" hidden="1" customHeight="1" x14ac:dyDescent="0.2">
      <c r="A609" s="600"/>
      <c r="B609" s="309"/>
      <c r="C609" s="211"/>
      <c r="D609" s="601" t="s">
        <v>18</v>
      </c>
      <c r="E609" s="601" t="s">
        <v>185</v>
      </c>
      <c r="F609" s="601" t="s">
        <v>191</v>
      </c>
      <c r="G609" s="241" t="s">
        <v>204</v>
      </c>
      <c r="H609" s="241"/>
      <c r="I609" s="237">
        <v>0</v>
      </c>
      <c r="J609" s="434"/>
      <c r="K609" s="435"/>
      <c r="L609" s="436"/>
      <c r="M609" s="436"/>
      <c r="N609" s="300"/>
      <c r="O609" s="236"/>
      <c r="P609" s="602"/>
      <c r="Q609" s="602"/>
    </row>
    <row r="610" spans="1:17" ht="13.5" hidden="1" customHeight="1" thickBot="1" x14ac:dyDescent="0.25">
      <c r="A610" s="600"/>
      <c r="B610" s="601"/>
      <c r="C610" s="240"/>
      <c r="D610" s="601" t="s">
        <v>18</v>
      </c>
      <c r="E610" s="601">
        <v>7</v>
      </c>
      <c r="F610" s="601"/>
      <c r="G610" s="241" t="s">
        <v>203</v>
      </c>
      <c r="H610" s="241"/>
      <c r="I610" s="247">
        <v>0</v>
      </c>
      <c r="J610" s="313"/>
      <c r="K610" s="314"/>
      <c r="L610" s="315"/>
      <c r="M610" s="315"/>
      <c r="N610" s="242"/>
      <c r="O610" s="246"/>
      <c r="P610" s="602"/>
      <c r="Q610" s="602"/>
    </row>
    <row r="611" spans="1:17" ht="13.5" thickBot="1" x14ac:dyDescent="0.25">
      <c r="A611" s="323" t="s">
        <v>180</v>
      </c>
      <c r="B611" s="324"/>
      <c r="C611" s="325">
        <f>SUM(C603:C610)</f>
        <v>1073302108</v>
      </c>
      <c r="D611" s="326"/>
      <c r="E611" s="326"/>
      <c r="F611" s="326"/>
      <c r="G611" s="327"/>
      <c r="H611" s="327"/>
      <c r="I611" s="396">
        <f>SUM(I604:I610)/2</f>
        <v>1073302108</v>
      </c>
      <c r="J611" s="397"/>
      <c r="K611" s="398"/>
      <c r="L611" s="399"/>
      <c r="M611" s="399"/>
      <c r="N611" s="333">
        <f>+C611-I611</f>
        <v>0</v>
      </c>
      <c r="O611" s="345"/>
      <c r="P611" s="602"/>
      <c r="Q611" s="602"/>
    </row>
    <row r="612" spans="1:17" x14ac:dyDescent="0.2">
      <c r="A612" s="600"/>
      <c r="B612" s="601"/>
      <c r="D612" s="239"/>
      <c r="E612" s="239"/>
      <c r="F612" s="239"/>
      <c r="G612" s="241"/>
      <c r="H612" s="241"/>
      <c r="I612" s="554"/>
      <c r="J612" s="555"/>
      <c r="K612" s="556"/>
      <c r="L612" s="557"/>
      <c r="M612" s="557"/>
      <c r="N612" s="497"/>
      <c r="O612" s="501"/>
      <c r="P612" s="602"/>
      <c r="Q612" s="602"/>
    </row>
    <row r="613" spans="1:17" x14ac:dyDescent="0.2">
      <c r="A613" s="600" t="str">
        <f>+'[7]Clasific. Económica de Ingresos'!A134</f>
        <v>2.4.1.1.02.00.0.0.000</v>
      </c>
      <c r="B613" s="309" t="str">
        <f>+'[7]Clasific. Económica de Ingresos'!B134</f>
        <v>Ley 8316 Fondo de Alcantarillados</v>
      </c>
      <c r="C613" s="240">
        <f>SUM('[7]Clasific. Económica de Ingresos'!C134)</f>
        <v>300000000</v>
      </c>
      <c r="D613" s="601"/>
      <c r="E613" s="601"/>
      <c r="F613" s="601"/>
      <c r="G613" s="241"/>
      <c r="H613" s="241"/>
      <c r="I613" s="237"/>
      <c r="J613" s="434"/>
      <c r="K613" s="435"/>
      <c r="L613" s="436"/>
      <c r="M613" s="436"/>
      <c r="N613" s="300"/>
      <c r="O613" s="236"/>
      <c r="P613" s="602"/>
      <c r="Q613" s="602"/>
    </row>
    <row r="614" spans="1:17" hidden="1" x14ac:dyDescent="0.2">
      <c r="A614" s="600"/>
      <c r="B614" s="309"/>
      <c r="C614" s="240"/>
      <c r="D614" s="601" t="s">
        <v>19</v>
      </c>
      <c r="E614" s="601">
        <v>13</v>
      </c>
      <c r="F614" s="601"/>
      <c r="G614" s="310" t="s">
        <v>202</v>
      </c>
      <c r="H614" s="310"/>
      <c r="I614" s="237">
        <v>0</v>
      </c>
      <c r="J614" s="434"/>
      <c r="K614" s="435"/>
      <c r="L614" s="436"/>
      <c r="M614" s="436"/>
      <c r="N614" s="300"/>
      <c r="O614" s="236"/>
      <c r="P614" s="602"/>
      <c r="Q614" s="602"/>
    </row>
    <row r="615" spans="1:17" x14ac:dyDescent="0.2">
      <c r="A615" s="600"/>
      <c r="B615" s="601"/>
      <c r="C615" s="240"/>
      <c r="D615" s="601" t="s">
        <v>19</v>
      </c>
      <c r="E615" s="601">
        <v>30</v>
      </c>
      <c r="F615" s="601" t="s">
        <v>15</v>
      </c>
      <c r="G615" s="310" t="str">
        <f>+'[7]Egresos Programa II General'!B43</f>
        <v>Alcantarillado Pluvial</v>
      </c>
      <c r="H615" s="310"/>
      <c r="I615" s="247">
        <f>+'[10]II-30'!$D$180</f>
        <v>300000000</v>
      </c>
      <c r="J615" s="313"/>
      <c r="K615" s="314"/>
      <c r="L615" s="315"/>
      <c r="M615" s="315"/>
      <c r="N615" s="242"/>
      <c r="O615" s="246"/>
      <c r="P615" s="602"/>
      <c r="Q615" s="602"/>
    </row>
    <row r="616" spans="1:17" x14ac:dyDescent="0.2">
      <c r="A616" s="600"/>
      <c r="B616" s="601"/>
      <c r="C616" s="240"/>
      <c r="D616" s="601"/>
      <c r="E616" s="601"/>
      <c r="F616" s="601"/>
      <c r="G616" s="310" t="s">
        <v>201</v>
      </c>
      <c r="H616" s="310"/>
      <c r="I616" s="313">
        <v>243372319.75</v>
      </c>
      <c r="J616" s="313">
        <v>243372319.75</v>
      </c>
      <c r="K616" s="314"/>
      <c r="L616" s="315"/>
      <c r="M616" s="315"/>
      <c r="N616" s="242"/>
      <c r="O616" s="246"/>
      <c r="P616" s="602"/>
      <c r="Q616" s="602"/>
    </row>
    <row r="617" spans="1:17" x14ac:dyDescent="0.2">
      <c r="A617" s="600"/>
      <c r="B617" s="601"/>
      <c r="C617" s="240"/>
      <c r="D617" s="601"/>
      <c r="E617" s="601"/>
      <c r="F617" s="601"/>
      <c r="G617" s="310" t="s">
        <v>200</v>
      </c>
      <c r="H617" s="310"/>
      <c r="I617" s="315">
        <v>56627680.25</v>
      </c>
      <c r="J617" s="313"/>
      <c r="K617" s="314"/>
      <c r="L617" s="315">
        <v>56627680.25</v>
      </c>
      <c r="M617" s="315"/>
      <c r="N617" s="242"/>
      <c r="O617" s="246"/>
      <c r="P617" s="602"/>
      <c r="Q617" s="602"/>
    </row>
    <row r="618" spans="1:17" ht="13.5" thickBot="1" x14ac:dyDescent="0.25">
      <c r="A618" s="600"/>
      <c r="B618" s="601"/>
      <c r="C618" s="240"/>
      <c r="D618" s="601"/>
      <c r="E618" s="601"/>
      <c r="F618" s="601"/>
      <c r="G618" s="310"/>
      <c r="H618" s="310"/>
      <c r="I618" s="247"/>
      <c r="J618" s="313"/>
      <c r="K618" s="314"/>
      <c r="L618" s="315"/>
      <c r="M618" s="315"/>
      <c r="N618" s="242"/>
      <c r="O618" s="246"/>
      <c r="P618" s="602"/>
      <c r="Q618" s="602"/>
    </row>
    <row r="619" spans="1:17" ht="13.5" hidden="1" thickBot="1" x14ac:dyDescent="0.25">
      <c r="A619" s="600"/>
      <c r="B619" s="601"/>
      <c r="C619" s="240"/>
      <c r="D619" s="601"/>
      <c r="E619" s="601"/>
      <c r="F619" s="601"/>
      <c r="G619" s="310"/>
      <c r="H619" s="310"/>
      <c r="I619" s="247"/>
      <c r="J619" s="313"/>
      <c r="K619" s="314"/>
      <c r="L619" s="315"/>
      <c r="M619" s="315"/>
      <c r="N619" s="242"/>
      <c r="O619" s="246"/>
      <c r="P619" s="602"/>
      <c r="Q619" s="602"/>
    </row>
    <row r="620" spans="1:17" ht="24.75" hidden="1" customHeight="1" x14ac:dyDescent="0.2">
      <c r="A620" s="600"/>
      <c r="B620" s="309"/>
      <c r="C620" s="240"/>
      <c r="D620" s="601" t="s">
        <v>18</v>
      </c>
      <c r="E620" s="601" t="s">
        <v>182</v>
      </c>
      <c r="F620" s="601" t="s">
        <v>184</v>
      </c>
      <c r="G620" s="597" t="str">
        <f>+'[7]Egresos Programa III General'!B69</f>
        <v>Ley 8316 Mejoras Pluviales Las Vueltas, Guacima</v>
      </c>
      <c r="H620" s="597"/>
      <c r="I620" s="300">
        <f>+'[7]Egresos Programa III General'!C69</f>
        <v>0</v>
      </c>
      <c r="J620" s="301"/>
      <c r="K620" s="302"/>
      <c r="L620" s="303"/>
      <c r="M620" s="303"/>
      <c r="N620" s="300"/>
      <c r="O620" s="236"/>
    </row>
    <row r="621" spans="1:17" ht="24.75" hidden="1" customHeight="1" x14ac:dyDescent="0.2">
      <c r="A621" s="600"/>
      <c r="B621" s="309"/>
      <c r="C621" s="240"/>
      <c r="D621" s="601" t="s">
        <v>18</v>
      </c>
      <c r="E621" s="601">
        <v>6</v>
      </c>
      <c r="F621" s="601">
        <v>1</v>
      </c>
      <c r="G621" s="310" t="s">
        <v>199</v>
      </c>
      <c r="H621" s="310"/>
      <c r="I621" s="300">
        <v>0</v>
      </c>
      <c r="J621" s="301"/>
      <c r="K621" s="302"/>
      <c r="L621" s="303"/>
      <c r="M621" s="303"/>
      <c r="N621" s="300"/>
      <c r="O621" s="236"/>
      <c r="Q621" s="602"/>
    </row>
    <row r="622" spans="1:17" ht="36" hidden="1" customHeight="1" thickBot="1" x14ac:dyDescent="0.25">
      <c r="A622" s="600"/>
      <c r="B622" s="309"/>
      <c r="C622" s="240"/>
      <c r="D622" s="601" t="s">
        <v>18</v>
      </c>
      <c r="E622" s="601" t="s">
        <v>187</v>
      </c>
      <c r="F622" s="601"/>
      <c r="G622" s="597" t="s">
        <v>198</v>
      </c>
      <c r="H622" s="597"/>
      <c r="I622" s="300">
        <v>0</v>
      </c>
      <c r="J622" s="301"/>
      <c r="K622" s="302"/>
      <c r="L622" s="303"/>
      <c r="M622" s="303"/>
      <c r="N622" s="300"/>
      <c r="O622" s="236"/>
      <c r="Q622" s="602"/>
    </row>
    <row r="623" spans="1:17" ht="13.5" thickBot="1" x14ac:dyDescent="0.25">
      <c r="A623" s="323" t="s">
        <v>180</v>
      </c>
      <c r="B623" s="324"/>
      <c r="C623" s="325">
        <f>SUM(C613:C622)</f>
        <v>300000000</v>
      </c>
      <c r="D623" s="326"/>
      <c r="E623" s="326"/>
      <c r="F623" s="326"/>
      <c r="G623" s="327"/>
      <c r="H623" s="327"/>
      <c r="I623" s="341">
        <f>SUM(I614:I622)/2</f>
        <v>300000000</v>
      </c>
      <c r="J623" s="342"/>
      <c r="K623" s="343"/>
      <c r="L623" s="344"/>
      <c r="M623" s="344"/>
      <c r="N623" s="333">
        <f>+C623-I623</f>
        <v>0</v>
      </c>
      <c r="O623" s="345"/>
      <c r="P623" s="802"/>
      <c r="Q623" s="602"/>
    </row>
    <row r="624" spans="1:17" x14ac:dyDescent="0.2">
      <c r="A624" s="600"/>
      <c r="B624" s="601"/>
      <c r="D624" s="239"/>
      <c r="E624" s="239"/>
      <c r="F624" s="239"/>
      <c r="G624" s="241"/>
      <c r="H624" s="241"/>
      <c r="I624" s="497"/>
      <c r="J624" s="498"/>
      <c r="K624" s="499"/>
      <c r="L624" s="500"/>
      <c r="M624" s="500"/>
      <c r="N624" s="497"/>
      <c r="O624" s="501"/>
      <c r="Q624" s="602"/>
    </row>
    <row r="625" spans="1:17" ht="25.5" x14ac:dyDescent="0.2">
      <c r="A625" s="600" t="str">
        <f>+'[7]Clasific. Económica de Ingresos'!A141</f>
        <v>2.4.1.3.01.00.0.0.001</v>
      </c>
      <c r="B625" s="395" t="s">
        <v>197</v>
      </c>
      <c r="C625" s="240">
        <f>SUM('[7]Clasific. Económica de Ingresos'!C141)</f>
        <v>23979905.52</v>
      </c>
      <c r="D625" s="601"/>
      <c r="E625" s="601"/>
      <c r="F625" s="601"/>
      <c r="G625" s="241"/>
      <c r="H625" s="241"/>
      <c r="I625" s="300"/>
      <c r="J625" s="301"/>
      <c r="K625" s="302"/>
      <c r="L625" s="303"/>
      <c r="M625" s="303"/>
      <c r="N625" s="300"/>
      <c r="O625" s="236"/>
      <c r="Q625" s="602"/>
    </row>
    <row r="626" spans="1:17" x14ac:dyDescent="0.2">
      <c r="A626" s="600"/>
      <c r="B626" s="601"/>
      <c r="C626" s="240"/>
      <c r="D626" s="601" t="s">
        <v>18</v>
      </c>
      <c r="E626" s="601" t="s">
        <v>185</v>
      </c>
      <c r="F626" s="601" t="s">
        <v>184</v>
      </c>
      <c r="G626" s="241" t="s">
        <v>196</v>
      </c>
      <c r="H626" s="241"/>
      <c r="I626" s="457">
        <v>23979905.52</v>
      </c>
      <c r="J626" s="243"/>
      <c r="K626" s="244"/>
      <c r="L626" s="245"/>
      <c r="M626" s="245"/>
      <c r="N626" s="242"/>
      <c r="O626" s="246"/>
      <c r="Q626" s="602"/>
    </row>
    <row r="627" spans="1:17" x14ac:dyDescent="0.2">
      <c r="A627" s="600"/>
      <c r="B627" s="601"/>
      <c r="C627" s="240"/>
      <c r="D627" s="601"/>
      <c r="E627" s="601"/>
      <c r="F627" s="601"/>
      <c r="G627" s="241" t="s">
        <v>181</v>
      </c>
      <c r="H627" s="241"/>
      <c r="I627" s="242">
        <f>+I626</f>
        <v>23979905.52</v>
      </c>
      <c r="J627" s="243"/>
      <c r="K627" s="244">
        <f>+I627</f>
        <v>23979905.52</v>
      </c>
      <c r="L627" s="245"/>
      <c r="M627" s="245"/>
      <c r="N627" s="242"/>
      <c r="O627" s="246"/>
      <c r="Q627" s="602"/>
    </row>
    <row r="628" spans="1:17" ht="13.5" thickBot="1" x14ac:dyDescent="0.25">
      <c r="A628" s="600"/>
      <c r="B628" s="601"/>
      <c r="C628" s="240"/>
      <c r="D628" s="601"/>
      <c r="E628" s="601"/>
      <c r="F628" s="601"/>
      <c r="G628" s="241"/>
      <c r="H628" s="241"/>
      <c r="I628" s="242"/>
      <c r="J628" s="243"/>
      <c r="K628" s="244"/>
      <c r="L628" s="245"/>
      <c r="M628" s="245"/>
      <c r="N628" s="242"/>
      <c r="O628" s="246"/>
      <c r="Q628" s="602"/>
    </row>
    <row r="629" spans="1:17" ht="13.5" thickBot="1" x14ac:dyDescent="0.25">
      <c r="A629" s="323" t="s">
        <v>180</v>
      </c>
      <c r="B629" s="324"/>
      <c r="C629" s="325">
        <f>SUM(C625:C626)</f>
        <v>23979905.52</v>
      </c>
      <c r="D629" s="326"/>
      <c r="E629" s="326"/>
      <c r="F629" s="326"/>
      <c r="G629" s="327"/>
      <c r="H629" s="327"/>
      <c r="I629" s="341">
        <f>SUM(I626:I628)/2</f>
        <v>23979905.52</v>
      </c>
      <c r="J629" s="342"/>
      <c r="K629" s="343"/>
      <c r="L629" s="344"/>
      <c r="M629" s="344"/>
      <c r="N629" s="333">
        <f>+C629-I629</f>
        <v>0</v>
      </c>
      <c r="O629" s="345"/>
      <c r="P629" s="802"/>
      <c r="Q629" s="602"/>
    </row>
    <row r="630" spans="1:17" hidden="1" x14ac:dyDescent="0.2">
      <c r="A630" s="600"/>
      <c r="B630" s="601"/>
      <c r="C630" s="240"/>
      <c r="D630" s="340"/>
      <c r="E630" s="340"/>
      <c r="F630" s="340"/>
      <c r="G630" s="467"/>
      <c r="H630" s="467"/>
      <c r="I630" s="549"/>
      <c r="J630" s="550"/>
      <c r="K630" s="551"/>
      <c r="L630" s="552"/>
      <c r="M630" s="552"/>
      <c r="N630" s="549"/>
      <c r="O630" s="553"/>
      <c r="Q630" s="602"/>
    </row>
    <row r="631" spans="1:17" hidden="1" x14ac:dyDescent="0.2">
      <c r="A631" s="600" t="str">
        <f>+'[7]Clasific. Económica de Ingresos'!A147</f>
        <v>2,4.3,1,00,00,0,0,001</v>
      </c>
      <c r="B631" s="395" t="str">
        <f>+'[7]Clasific. Económica de Ingresos'!B147</f>
        <v>Aporte de Cooperación Alemana</v>
      </c>
      <c r="C631" s="559">
        <f>+'[7]Clasific. Económica de Ingresos'!C147</f>
        <v>0</v>
      </c>
      <c r="D631" s="601"/>
      <c r="E631" s="601"/>
      <c r="F631" s="601"/>
      <c r="G631" s="241"/>
      <c r="H631" s="241"/>
      <c r="I631" s="300"/>
      <c r="J631" s="301"/>
      <c r="K631" s="302"/>
      <c r="L631" s="303"/>
      <c r="M631" s="303"/>
      <c r="N631" s="300"/>
      <c r="O631" s="236"/>
      <c r="Q631" s="602"/>
    </row>
    <row r="632" spans="1:17" ht="24.75" hidden="1" customHeight="1" thickBot="1" x14ac:dyDescent="0.25">
      <c r="A632" s="600"/>
      <c r="B632" s="309"/>
      <c r="C632" s="240"/>
      <c r="D632" s="601" t="s">
        <v>18</v>
      </c>
      <c r="E632" s="601">
        <v>6</v>
      </c>
      <c r="F632" s="601">
        <v>18</v>
      </c>
      <c r="G632" s="311" t="str">
        <f>+'[7]Egresos Programa III General'!B114</f>
        <v>III-06-18</v>
      </c>
      <c r="H632" s="311"/>
      <c r="I632" s="300">
        <v>0</v>
      </c>
      <c r="J632" s="301"/>
      <c r="K632" s="302"/>
      <c r="L632" s="303"/>
      <c r="M632" s="303"/>
      <c r="N632" s="300"/>
      <c r="O632" s="236"/>
      <c r="Q632" s="602"/>
    </row>
    <row r="633" spans="1:17" ht="13.5" hidden="1" thickBot="1" x14ac:dyDescent="0.25">
      <c r="A633" s="323" t="s">
        <v>180</v>
      </c>
      <c r="B633" s="324"/>
      <c r="C633" s="325">
        <f>SUM(C631:C632)</f>
        <v>0</v>
      </c>
      <c r="D633" s="326"/>
      <c r="E633" s="326"/>
      <c r="F633" s="326"/>
      <c r="G633" s="327"/>
      <c r="H633" s="327"/>
      <c r="I633" s="341">
        <f>+I632</f>
        <v>0</v>
      </c>
      <c r="J633" s="342"/>
      <c r="K633" s="343"/>
      <c r="L633" s="344"/>
      <c r="M633" s="344"/>
      <c r="N633" s="333">
        <f>+C633-I633</f>
        <v>0</v>
      </c>
      <c r="O633" s="345"/>
      <c r="Q633" s="602"/>
    </row>
    <row r="634" spans="1:17" hidden="1" x14ac:dyDescent="0.2">
      <c r="A634" s="600"/>
      <c r="B634" s="601"/>
      <c r="C634" s="240"/>
      <c r="D634" s="601"/>
      <c r="E634" s="601"/>
      <c r="F634" s="601"/>
      <c r="G634" s="241"/>
      <c r="H634" s="241"/>
      <c r="I634" s="242"/>
      <c r="J634" s="243"/>
      <c r="K634" s="244"/>
      <c r="L634" s="245"/>
      <c r="M634" s="245"/>
      <c r="N634" s="242"/>
      <c r="O634" s="246"/>
    </row>
    <row r="635" spans="1:17" ht="25.5" hidden="1" x14ac:dyDescent="0.2">
      <c r="A635" s="600" t="str">
        <f>+'[7]Clasific. Económica de Ingresos'!A137</f>
        <v>2.4.1.2.01.00.0.0.001</v>
      </c>
      <c r="B635" s="309" t="str">
        <f>+'[7]Clasific. Económica de Ingresos'!B137</f>
        <v>Fondo de Desarrollo Social y Asignaciones Familiares</v>
      </c>
      <c r="C635" s="211">
        <f>+'[7]Clasific. Económica de Ingresos'!C137</f>
        <v>0</v>
      </c>
      <c r="D635" s="601"/>
      <c r="E635" s="601"/>
      <c r="F635" s="601"/>
      <c r="G635" s="241"/>
      <c r="H635" s="241"/>
      <c r="I635" s="300"/>
      <c r="J635" s="301"/>
      <c r="K635" s="302"/>
      <c r="L635" s="303"/>
      <c r="M635" s="303"/>
      <c r="N635" s="300"/>
      <c r="O635" s="236"/>
    </row>
    <row r="636" spans="1:17" hidden="1" x14ac:dyDescent="0.2">
      <c r="A636" s="600"/>
      <c r="B636" s="309"/>
      <c r="C636" s="211"/>
      <c r="D636" s="601" t="s">
        <v>195</v>
      </c>
      <c r="E636" s="601">
        <v>10</v>
      </c>
      <c r="F636" s="601"/>
      <c r="G636" s="241" t="str">
        <f>+'[7]Egresos Programa II General'!B23</f>
        <v>Servicios Sociales Complementarios</v>
      </c>
      <c r="H636" s="241"/>
      <c r="I636" s="300">
        <v>0</v>
      </c>
      <c r="J636" s="301"/>
      <c r="K636" s="302"/>
      <c r="L636" s="303"/>
      <c r="M636" s="303"/>
      <c r="N636" s="300"/>
      <c r="O636" s="236"/>
    </row>
    <row r="637" spans="1:17" ht="13.5" hidden="1" thickBot="1" x14ac:dyDescent="0.25">
      <c r="A637" s="323" t="s">
        <v>180</v>
      </c>
      <c r="B637" s="324"/>
      <c r="C637" s="325">
        <f>SUM(C635:C636)</f>
        <v>0</v>
      </c>
      <c r="D637" s="326"/>
      <c r="E637" s="326"/>
      <c r="F637" s="326"/>
      <c r="G637" s="327"/>
      <c r="H637" s="327"/>
      <c r="I637" s="341">
        <f>SUM(I636:I636)</f>
        <v>0</v>
      </c>
      <c r="J637" s="342"/>
      <c r="K637" s="343"/>
      <c r="L637" s="344"/>
      <c r="M637" s="344"/>
      <c r="N637" s="333">
        <f>+C637-I637</f>
        <v>0</v>
      </c>
      <c r="O637" s="345"/>
    </row>
    <row r="638" spans="1:17" s="427" customFormat="1" x14ac:dyDescent="0.2">
      <c r="A638" s="413"/>
      <c r="B638" s="362"/>
      <c r="C638" s="361"/>
      <c r="D638" s="362"/>
      <c r="E638" s="362"/>
      <c r="F638" s="362"/>
      <c r="G638" s="363"/>
      <c r="H638" s="363"/>
      <c r="I638" s="560"/>
      <c r="J638" s="379"/>
      <c r="K638" s="380"/>
      <c r="L638" s="381"/>
      <c r="M638" s="381"/>
      <c r="N638" s="560"/>
      <c r="O638" s="382"/>
      <c r="P638" s="793"/>
      <c r="Q638" s="355"/>
    </row>
    <row r="639" spans="1:17" s="427" customFormat="1" x14ac:dyDescent="0.2">
      <c r="A639" s="413" t="str">
        <f>+'[7]Clasific. Económica de Ingresos'!A156</f>
        <v>3.3.1.0.00.00.0.0.000</v>
      </c>
      <c r="B639" s="362" t="str">
        <f>+'[7]Clasific. Económica de Ingresos'!B156</f>
        <v>Superavit Libre</v>
      </c>
      <c r="C639" s="361">
        <f>+'[7]Clasific. Económica de Ingresos'!C156</f>
        <v>1672200626.6700001</v>
      </c>
      <c r="D639" s="362"/>
      <c r="E639" s="362"/>
      <c r="F639" s="362"/>
      <c r="G639" s="363"/>
      <c r="H639" s="363"/>
      <c r="I639" s="560"/>
      <c r="J639" s="379"/>
      <c r="K639" s="380"/>
      <c r="L639" s="381"/>
      <c r="M639" s="381"/>
      <c r="N639" s="560"/>
      <c r="O639" s="382"/>
      <c r="P639" s="793"/>
      <c r="Q639" s="355"/>
    </row>
    <row r="640" spans="1:17" s="427" customFormat="1" hidden="1" x14ac:dyDescent="0.2">
      <c r="A640" s="413"/>
      <c r="B640" s="362"/>
      <c r="C640" s="361"/>
      <c r="D640" s="362" t="s">
        <v>19</v>
      </c>
      <c r="E640" s="362">
        <v>10</v>
      </c>
      <c r="F640" s="362"/>
      <c r="G640" s="363" t="str">
        <f>+'[7]Egresos Programa II General'!B23</f>
        <v>Servicios Sociales Complementarios</v>
      </c>
      <c r="H640" s="363"/>
      <c r="I640" s="560">
        <v>0</v>
      </c>
      <c r="J640" s="379"/>
      <c r="K640" s="380"/>
      <c r="L640" s="381"/>
      <c r="M640" s="381"/>
      <c r="N640" s="560"/>
      <c r="O640" s="382"/>
      <c r="P640" s="793"/>
      <c r="Q640" s="355"/>
    </row>
    <row r="641" spans="1:17" s="427" customFormat="1" x14ac:dyDescent="0.2">
      <c r="A641" s="413"/>
      <c r="B641" s="362"/>
      <c r="C641" s="361"/>
      <c r="D641" s="362" t="s">
        <v>18</v>
      </c>
      <c r="E641" s="362" t="s">
        <v>184</v>
      </c>
      <c r="F641" s="362" t="s">
        <v>184</v>
      </c>
      <c r="G641" s="363" t="str">
        <f>+'[7]Egresos Programa III General'!B13</f>
        <v>Terminal FECOSA</v>
      </c>
      <c r="H641" s="363"/>
      <c r="I641" s="560">
        <v>235407026.66999999</v>
      </c>
      <c r="J641" s="379"/>
      <c r="K641" s="380"/>
      <c r="L641" s="381"/>
      <c r="M641" s="381"/>
      <c r="N641" s="560"/>
      <c r="O641" s="382"/>
      <c r="P641" s="793"/>
      <c r="Q641" s="355"/>
    </row>
    <row r="642" spans="1:17" s="427" customFormat="1" x14ac:dyDescent="0.2">
      <c r="A642" s="413"/>
      <c r="B642" s="362"/>
      <c r="C642" s="361"/>
      <c r="D642" s="362"/>
      <c r="E642" s="362"/>
      <c r="F642" s="362"/>
      <c r="G642" s="363" t="s">
        <v>194</v>
      </c>
      <c r="H642" s="363"/>
      <c r="I642" s="560">
        <v>95000000</v>
      </c>
      <c r="J642" s="379"/>
      <c r="K642" s="380">
        <v>95000000</v>
      </c>
      <c r="L642" s="381"/>
      <c r="M642" s="381"/>
      <c r="N642" s="560"/>
      <c r="O642" s="382"/>
      <c r="P642" s="793"/>
      <c r="Q642" s="355"/>
    </row>
    <row r="643" spans="1:17" s="427" customFormat="1" x14ac:dyDescent="0.2">
      <c r="A643" s="413"/>
      <c r="B643" s="362"/>
      <c r="C643" s="361"/>
      <c r="D643" s="362"/>
      <c r="E643" s="362"/>
      <c r="F643" s="362"/>
      <c r="G643" s="363" t="s">
        <v>181</v>
      </c>
      <c r="H643" s="363"/>
      <c r="I643" s="560">
        <v>140407026.66999999</v>
      </c>
      <c r="J643" s="379"/>
      <c r="K643" s="380">
        <f>+I643</f>
        <v>140407026.66999999</v>
      </c>
      <c r="L643" s="381"/>
      <c r="M643" s="381"/>
      <c r="N643" s="560"/>
      <c r="O643" s="382"/>
      <c r="P643" s="793"/>
      <c r="Q643" s="355"/>
    </row>
    <row r="644" spans="1:17" s="427" customFormat="1" x14ac:dyDescent="0.2">
      <c r="A644" s="413"/>
      <c r="B644" s="362"/>
      <c r="C644" s="361"/>
      <c r="D644" s="362"/>
      <c r="E644" s="362"/>
      <c r="F644" s="362"/>
      <c r="G644" s="363"/>
      <c r="H644" s="363"/>
      <c r="I644" s="560"/>
      <c r="J644" s="379"/>
      <c r="K644" s="380"/>
      <c r="L644" s="381"/>
      <c r="M644" s="381"/>
      <c r="N644" s="560"/>
      <c r="O644" s="382"/>
      <c r="P644" s="793"/>
      <c r="Q644" s="355"/>
    </row>
    <row r="645" spans="1:17" s="427" customFormat="1" hidden="1" x14ac:dyDescent="0.2">
      <c r="A645" s="413"/>
      <c r="B645" s="362"/>
      <c r="C645" s="361"/>
      <c r="D645" s="362" t="s">
        <v>18</v>
      </c>
      <c r="E645" s="362" t="s">
        <v>184</v>
      </c>
      <c r="F645" s="362" t="s">
        <v>185</v>
      </c>
      <c r="G645" s="363" t="str">
        <f>+'[7]Egresos Programa III General'!B14</f>
        <v>Construcción de comedor Escuela Rafael Alberto Luna Herrera</v>
      </c>
      <c r="H645" s="363"/>
      <c r="I645" s="560">
        <v>0</v>
      </c>
      <c r="J645" s="379"/>
      <c r="K645" s="380"/>
      <c r="L645" s="381"/>
      <c r="M645" s="381"/>
      <c r="N645" s="560"/>
      <c r="O645" s="382"/>
      <c r="P645" s="793"/>
      <c r="Q645" s="355"/>
    </row>
    <row r="646" spans="1:17" s="427" customFormat="1" hidden="1" x14ac:dyDescent="0.2">
      <c r="A646" s="413"/>
      <c r="B646" s="362"/>
      <c r="C646" s="361"/>
      <c r="D646" s="362" t="s">
        <v>18</v>
      </c>
      <c r="E646" s="362" t="s">
        <v>185</v>
      </c>
      <c r="F646" s="362" t="s">
        <v>193</v>
      </c>
      <c r="G646" s="363" t="s">
        <v>192</v>
      </c>
      <c r="H646" s="363"/>
      <c r="I646" s="560">
        <v>0</v>
      </c>
      <c r="J646" s="379"/>
      <c r="K646" s="380"/>
      <c r="L646" s="381"/>
      <c r="M646" s="381"/>
      <c r="N646" s="560"/>
      <c r="O646" s="382"/>
      <c r="P646" s="793"/>
      <c r="Q646" s="355"/>
    </row>
    <row r="647" spans="1:17" s="427" customFormat="1" x14ac:dyDescent="0.2">
      <c r="A647" s="413"/>
      <c r="B647" s="362"/>
      <c r="C647" s="361"/>
      <c r="D647" s="362" t="s">
        <v>18</v>
      </c>
      <c r="E647" s="362" t="s">
        <v>182</v>
      </c>
      <c r="F647" s="362" t="s">
        <v>184</v>
      </c>
      <c r="G647" s="431" t="str">
        <f>+'[7]Egresos Programa III General'!B71</f>
        <v>Mejoramiento Pluvial en San Rafael</v>
      </c>
      <c r="H647" s="431"/>
      <c r="I647" s="560">
        <f>+'[7]Egresos Programa III General'!C71</f>
        <v>1200000000</v>
      </c>
      <c r="J647" s="379"/>
      <c r="K647" s="380"/>
      <c r="L647" s="381"/>
      <c r="M647" s="381"/>
      <c r="N647" s="560"/>
      <c r="O647" s="382"/>
      <c r="P647" s="793"/>
      <c r="Q647" s="355"/>
    </row>
    <row r="648" spans="1:17" s="427" customFormat="1" x14ac:dyDescent="0.2">
      <c r="A648" s="413"/>
      <c r="B648" s="362"/>
      <c r="C648" s="361"/>
      <c r="D648" s="362"/>
      <c r="E648" s="362"/>
      <c r="F648" s="362"/>
      <c r="G648" s="431" t="s">
        <v>181</v>
      </c>
      <c r="H648" s="431"/>
      <c r="I648" s="560">
        <v>1200000000</v>
      </c>
      <c r="J648" s="379"/>
      <c r="K648" s="380">
        <f>+I648</f>
        <v>1200000000</v>
      </c>
      <c r="L648" s="381"/>
      <c r="M648" s="381"/>
      <c r="N648" s="560"/>
      <c r="O648" s="382"/>
      <c r="P648" s="793"/>
      <c r="Q648" s="355"/>
    </row>
    <row r="649" spans="1:17" s="427" customFormat="1" ht="13.5" thickBot="1" x14ac:dyDescent="0.25">
      <c r="A649" s="561"/>
      <c r="B649" s="368"/>
      <c r="C649" s="369"/>
      <c r="D649" s="368"/>
      <c r="E649" s="368"/>
      <c r="F649" s="368"/>
      <c r="G649" s="562"/>
      <c r="H649" s="562"/>
      <c r="I649" s="563"/>
      <c r="J649" s="480"/>
      <c r="K649" s="481"/>
      <c r="L649" s="482"/>
      <c r="M649" s="482"/>
      <c r="N649" s="563"/>
      <c r="O649" s="382"/>
      <c r="P649" s="793"/>
      <c r="Q649" s="355"/>
    </row>
    <row r="650" spans="1:17" s="427" customFormat="1" ht="13.5" hidden="1" thickBot="1" x14ac:dyDescent="0.25">
      <c r="A650" s="413"/>
      <c r="B650" s="362"/>
      <c r="C650" s="361"/>
      <c r="D650" s="362" t="s">
        <v>18</v>
      </c>
      <c r="E650" s="362" t="s">
        <v>183</v>
      </c>
      <c r="F650" s="362" t="s">
        <v>184</v>
      </c>
      <c r="G650" s="431" t="str">
        <f>+'[7]Egresos Programa III General'!B97</f>
        <v>Dierección Técnica y Estudio</v>
      </c>
      <c r="H650" s="431"/>
      <c r="I650" s="560">
        <v>0</v>
      </c>
      <c r="J650" s="564"/>
      <c r="K650" s="565"/>
      <c r="L650" s="566"/>
      <c r="M650" s="566"/>
      <c r="N650" s="560"/>
      <c r="O650" s="382"/>
      <c r="P650" s="793"/>
      <c r="Q650" s="355"/>
    </row>
    <row r="651" spans="1:17" s="427" customFormat="1" x14ac:dyDescent="0.2">
      <c r="A651" s="408"/>
      <c r="B651" s="349"/>
      <c r="C651" s="348"/>
      <c r="D651" s="349" t="s">
        <v>18</v>
      </c>
      <c r="E651" s="349" t="s">
        <v>183</v>
      </c>
      <c r="F651" s="349" t="s">
        <v>191</v>
      </c>
      <c r="G651" s="350" t="str">
        <f>+'[7]Egresos Programa III General'!B101</f>
        <v>Alajuela Ciudad Segura</v>
      </c>
      <c r="H651" s="350"/>
      <c r="I651" s="567">
        <f>+'[7]Egresos Programa III General'!C101</f>
        <v>236793600</v>
      </c>
      <c r="J651" s="568"/>
      <c r="K651" s="569"/>
      <c r="L651" s="570"/>
      <c r="M651" s="570"/>
      <c r="N651" s="567"/>
      <c r="O651" s="382"/>
      <c r="P651" s="793"/>
      <c r="Q651" s="355"/>
    </row>
    <row r="652" spans="1:17" s="427" customFormat="1" hidden="1" x14ac:dyDescent="0.2">
      <c r="A652" s="413"/>
      <c r="B652" s="362"/>
      <c r="C652" s="361"/>
      <c r="D652" s="362" t="s">
        <v>18</v>
      </c>
      <c r="E652" s="362" t="s">
        <v>183</v>
      </c>
      <c r="F652" s="362" t="s">
        <v>187</v>
      </c>
      <c r="G652" s="431" t="str">
        <f>+'[7]Egresos Programa III General'!B105</f>
        <v xml:space="preserve">Techado Areas de Juegos de la Escuela Luis Demetrio Tinoco </v>
      </c>
      <c r="H652" s="431"/>
      <c r="I652" s="560">
        <v>0</v>
      </c>
      <c r="J652" s="379"/>
      <c r="K652" s="380"/>
      <c r="L652" s="381"/>
      <c r="M652" s="381"/>
      <c r="N652" s="560"/>
      <c r="O652" s="382"/>
      <c r="P652" s="793"/>
      <c r="Q652" s="355"/>
    </row>
    <row r="653" spans="1:17" s="427" customFormat="1" x14ac:dyDescent="0.2">
      <c r="A653" s="413"/>
      <c r="B653" s="362"/>
      <c r="C653" s="361"/>
      <c r="D653" s="362"/>
      <c r="E653" s="362"/>
      <c r="F653" s="362"/>
      <c r="G653" s="431" t="s">
        <v>10</v>
      </c>
      <c r="H653" s="431"/>
      <c r="I653" s="560">
        <v>236793600</v>
      </c>
      <c r="J653" s="379">
        <f>+I653</f>
        <v>236793600</v>
      </c>
      <c r="K653" s="380"/>
      <c r="L653" s="381"/>
      <c r="M653" s="381"/>
      <c r="N653" s="560"/>
      <c r="O653" s="382"/>
      <c r="P653" s="793"/>
      <c r="Q653" s="355"/>
    </row>
    <row r="654" spans="1:17" s="427" customFormat="1" ht="13.5" thickBot="1" x14ac:dyDescent="0.25">
      <c r="A654" s="413"/>
      <c r="B654" s="362"/>
      <c r="C654" s="361"/>
      <c r="D654" s="362"/>
      <c r="E654" s="362"/>
      <c r="F654" s="362"/>
      <c r="G654" s="431"/>
      <c r="H654" s="431"/>
      <c r="I654" s="560"/>
      <c r="J654" s="379"/>
      <c r="K654" s="380"/>
      <c r="L654" s="381"/>
      <c r="M654" s="381"/>
      <c r="N654" s="560"/>
      <c r="O654" s="382"/>
      <c r="P654" s="793"/>
      <c r="Q654" s="355"/>
    </row>
    <row r="655" spans="1:17" s="427" customFormat="1" ht="13.5" hidden="1" thickBot="1" x14ac:dyDescent="0.25">
      <c r="A655" s="413"/>
      <c r="B655" s="362"/>
      <c r="C655" s="361"/>
      <c r="D655" s="362" t="s">
        <v>18</v>
      </c>
      <c r="E655" s="362" t="s">
        <v>183</v>
      </c>
      <c r="F655" s="362">
        <v>11</v>
      </c>
      <c r="G655" s="431" t="str">
        <f>+'[7]Egresos Programa III General'!B107</f>
        <v>Compra de Terreno para Salón Comunal Río Segundo</v>
      </c>
      <c r="H655" s="431"/>
      <c r="I655" s="560">
        <v>0</v>
      </c>
      <c r="J655" s="379"/>
      <c r="K655" s="380"/>
      <c r="L655" s="381"/>
      <c r="M655" s="381"/>
      <c r="N655" s="560"/>
      <c r="O655" s="382"/>
      <c r="P655" s="793"/>
      <c r="Q655" s="355"/>
    </row>
    <row r="656" spans="1:17" s="427" customFormat="1" ht="13.5" hidden="1" thickBot="1" x14ac:dyDescent="0.25">
      <c r="A656" s="413"/>
      <c r="B656" s="362"/>
      <c r="C656" s="361"/>
      <c r="D656" s="362" t="s">
        <v>18</v>
      </c>
      <c r="E656" s="362" t="s">
        <v>189</v>
      </c>
      <c r="F656" s="362"/>
      <c r="G656" s="363" t="s">
        <v>190</v>
      </c>
      <c r="H656" s="363"/>
      <c r="I656" s="560">
        <v>0</v>
      </c>
      <c r="J656" s="379"/>
      <c r="K656" s="380"/>
      <c r="L656" s="381"/>
      <c r="M656" s="381"/>
      <c r="N656" s="560"/>
      <c r="O656" s="382"/>
      <c r="P656" s="793"/>
      <c r="Q656" s="355"/>
    </row>
    <row r="657" spans="1:17" s="427" customFormat="1" ht="13.5" hidden="1" thickBot="1" x14ac:dyDescent="0.25">
      <c r="A657" s="413"/>
      <c r="B657" s="362"/>
      <c r="C657" s="361"/>
      <c r="D657" s="362" t="s">
        <v>18</v>
      </c>
      <c r="E657" s="362" t="s">
        <v>189</v>
      </c>
      <c r="F657" s="362"/>
      <c r="G657" s="363" t="s">
        <v>188</v>
      </c>
      <c r="H657" s="363"/>
      <c r="I657" s="560">
        <v>0</v>
      </c>
      <c r="J657" s="379"/>
      <c r="K657" s="380"/>
      <c r="L657" s="381"/>
      <c r="M657" s="381"/>
      <c r="N657" s="560"/>
      <c r="O657" s="382"/>
      <c r="P657" s="793">
        <f>+I657+I656+I658+I729+I904+I918+I690+I730</f>
        <v>0</v>
      </c>
      <c r="Q657" s="355"/>
    </row>
    <row r="658" spans="1:17" s="427" customFormat="1" ht="13.5" hidden="1" thickBot="1" x14ac:dyDescent="0.25">
      <c r="A658" s="413"/>
      <c r="B658" s="362"/>
      <c r="C658" s="361"/>
      <c r="D658" s="362" t="s">
        <v>18</v>
      </c>
      <c r="E658" s="362" t="s">
        <v>187</v>
      </c>
      <c r="F658" s="362"/>
      <c r="G658" s="363" t="s">
        <v>186</v>
      </c>
      <c r="H658" s="363"/>
      <c r="I658" s="560">
        <v>0</v>
      </c>
      <c r="J658" s="379"/>
      <c r="K658" s="380"/>
      <c r="L658" s="381"/>
      <c r="M658" s="381"/>
      <c r="N658" s="560"/>
      <c r="O658" s="382"/>
      <c r="P658" s="793"/>
      <c r="Q658" s="355"/>
    </row>
    <row r="659" spans="1:17" s="427" customFormat="1" ht="13.5" thickBot="1" x14ac:dyDescent="0.25">
      <c r="A659" s="571" t="s">
        <v>180</v>
      </c>
      <c r="B659" s="405"/>
      <c r="C659" s="572">
        <f>SUM(C639:C658)</f>
        <v>1672200626.6700001</v>
      </c>
      <c r="D659" s="405"/>
      <c r="E659" s="405"/>
      <c r="F659" s="405"/>
      <c r="G659" s="406"/>
      <c r="H659" s="406"/>
      <c r="I659" s="573">
        <f>SUM(I638:I658)/2</f>
        <v>1672200626.6700001</v>
      </c>
      <c r="J659" s="379"/>
      <c r="K659" s="380"/>
      <c r="L659" s="381"/>
      <c r="M659" s="381"/>
      <c r="N659" s="560">
        <f>+C659-I659</f>
        <v>0</v>
      </c>
      <c r="O659" s="382"/>
      <c r="P659" s="793"/>
      <c r="Q659" s="355"/>
    </row>
    <row r="660" spans="1:17" hidden="1" x14ac:dyDescent="0.2">
      <c r="A660" s="600"/>
      <c r="B660" s="601"/>
      <c r="C660" s="240"/>
      <c r="D660" s="601"/>
      <c r="E660" s="601"/>
      <c r="F660" s="601"/>
      <c r="G660" s="241"/>
      <c r="H660" s="241"/>
      <c r="I660" s="574"/>
      <c r="J660" s="575"/>
      <c r="K660" s="576"/>
      <c r="L660" s="577"/>
      <c r="M660" s="577"/>
      <c r="N660" s="579"/>
      <c r="O660" s="580"/>
    </row>
    <row r="661" spans="1:17" hidden="1" x14ac:dyDescent="0.2">
      <c r="A661" s="600"/>
      <c r="B661" s="601"/>
      <c r="C661" s="240"/>
      <c r="D661" s="601"/>
      <c r="E661" s="601"/>
      <c r="F661" s="601"/>
      <c r="G661" s="241"/>
      <c r="H661" s="241"/>
      <c r="I661" s="242"/>
      <c r="J661" s="243"/>
      <c r="K661" s="244"/>
      <c r="L661" s="245"/>
      <c r="M661" s="245"/>
      <c r="N661" s="242"/>
      <c r="O661" s="246"/>
    </row>
    <row r="662" spans="1:17" hidden="1" x14ac:dyDescent="0.2">
      <c r="A662" s="600" t="str">
        <f>+'[7]Clasific. Económica de Ingresos'!A153</f>
        <v>3.1.1.6.01.00.0.0.000</v>
      </c>
      <c r="B662" s="309" t="str">
        <f>+'[7]Clasific. Económica de Ingresos'!B153</f>
        <v xml:space="preserve">Banco Popular </v>
      </c>
      <c r="C662" s="211">
        <f>+'[7]Clasific. Económica de Ingresos'!C153</f>
        <v>0</v>
      </c>
      <c r="D662" s="601" t="s">
        <v>18</v>
      </c>
      <c r="E662" s="601" t="s">
        <v>185</v>
      </c>
      <c r="F662" s="601"/>
      <c r="G662" s="258" t="str">
        <f>+'[7]Egresos Programa III General'!B17</f>
        <v>Construcción de Salón Multiusos en Urbanización Las Abras</v>
      </c>
      <c r="H662" s="258"/>
      <c r="I662" s="300">
        <v>0</v>
      </c>
      <c r="J662" s="301"/>
      <c r="K662" s="302"/>
      <c r="L662" s="303"/>
      <c r="M662" s="303"/>
      <c r="N662" s="300"/>
      <c r="O662" s="236"/>
    </row>
    <row r="663" spans="1:17" hidden="1" x14ac:dyDescent="0.2">
      <c r="A663" s="600"/>
      <c r="B663" s="309"/>
      <c r="C663" s="211"/>
      <c r="D663" s="601"/>
      <c r="E663" s="601"/>
      <c r="F663" s="601"/>
      <c r="G663" s="241"/>
      <c r="H663" s="241"/>
      <c r="I663" s="300">
        <v>0</v>
      </c>
      <c r="J663" s="301"/>
      <c r="K663" s="302"/>
      <c r="L663" s="303"/>
      <c r="M663" s="303"/>
      <c r="N663" s="300"/>
      <c r="O663" s="236"/>
    </row>
    <row r="664" spans="1:17" ht="13.5" hidden="1" thickBot="1" x14ac:dyDescent="0.25">
      <c r="A664" s="323" t="s">
        <v>180</v>
      </c>
      <c r="B664" s="324"/>
      <c r="C664" s="325">
        <f>SUM(C662:C663)</f>
        <v>0</v>
      </c>
      <c r="D664" s="326"/>
      <c r="E664" s="326"/>
      <c r="F664" s="326"/>
      <c r="G664" s="327"/>
      <c r="H664" s="327"/>
      <c r="I664" s="341">
        <f>SUM(I662:I663)</f>
        <v>0</v>
      </c>
      <c r="J664" s="342"/>
      <c r="K664" s="343"/>
      <c r="L664" s="344"/>
      <c r="M664" s="344"/>
      <c r="N664" s="333">
        <f>+C664-I664</f>
        <v>0</v>
      </c>
      <c r="O664" s="345"/>
    </row>
    <row r="665" spans="1:17" x14ac:dyDescent="0.2">
      <c r="A665" s="600"/>
      <c r="B665" s="601"/>
      <c r="C665" s="240"/>
      <c r="D665" s="601"/>
      <c r="E665" s="601"/>
      <c r="F665" s="601"/>
      <c r="G665" s="241"/>
      <c r="H665" s="241"/>
      <c r="I665" s="574"/>
      <c r="J665" s="575"/>
      <c r="K665" s="576"/>
      <c r="L665" s="577"/>
      <c r="M665" s="577"/>
      <c r="N665" s="579"/>
      <c r="O665" s="580"/>
    </row>
    <row r="666" spans="1:17" x14ac:dyDescent="0.2">
      <c r="A666" s="600"/>
      <c r="B666" s="601"/>
      <c r="C666" s="240"/>
      <c r="D666" s="601"/>
      <c r="E666" s="601"/>
      <c r="F666" s="601"/>
      <c r="G666" s="241"/>
      <c r="H666" s="241"/>
      <c r="I666" s="242"/>
      <c r="J666" s="243"/>
      <c r="K666" s="244"/>
      <c r="L666" s="245"/>
      <c r="M666" s="245"/>
      <c r="N666" s="242"/>
      <c r="O666" s="246"/>
    </row>
    <row r="667" spans="1:17" x14ac:dyDescent="0.2">
      <c r="A667" s="600" t="str">
        <f>+'[7]Clasific. Económica de Ingresos'!A159</f>
        <v>3.3.2.0.00.00.0.0.004</v>
      </c>
      <c r="B667" s="309" t="str">
        <f>+'[7]Clasific. Económica de Ingresos'!B159</f>
        <v>Servicio de Recolección de Basura</v>
      </c>
      <c r="C667" s="211">
        <f>+'[7]Clasific. Económica de Ingresos'!C159</f>
        <v>598000000</v>
      </c>
      <c r="D667" s="601" t="s">
        <v>185</v>
      </c>
      <c r="E667" s="601" t="s">
        <v>185</v>
      </c>
      <c r="F667" s="601"/>
      <c r="G667" s="258" t="str">
        <f>+'[7]Egresos Programa II General'!B13</f>
        <v>Recolección de Basuras</v>
      </c>
      <c r="H667" s="258"/>
      <c r="I667" s="457">
        <f>147406307.78+444372355.26+3000000+3221336.96</f>
        <v>598000000</v>
      </c>
      <c r="J667" s="301"/>
      <c r="K667" s="302"/>
      <c r="L667" s="303"/>
      <c r="M667" s="303"/>
      <c r="N667" s="300"/>
      <c r="O667" s="236"/>
    </row>
    <row r="668" spans="1:17" x14ac:dyDescent="0.2">
      <c r="A668" s="600"/>
      <c r="B668" s="309"/>
      <c r="C668" s="211"/>
      <c r="D668" s="601"/>
      <c r="E668" s="601"/>
      <c r="F668" s="601"/>
      <c r="G668" s="258" t="s">
        <v>10</v>
      </c>
      <c r="H668" s="258"/>
      <c r="I668" s="300">
        <v>598000000</v>
      </c>
      <c r="J668" s="301">
        <f>+I668</f>
        <v>598000000</v>
      </c>
      <c r="K668" s="302"/>
      <c r="L668" s="303"/>
      <c r="M668" s="303"/>
      <c r="N668" s="300"/>
      <c r="O668" s="236"/>
    </row>
    <row r="669" spans="1:17" ht="13.5" thickBot="1" x14ac:dyDescent="0.25">
      <c r="A669" s="600"/>
      <c r="B669" s="309"/>
      <c r="C669" s="211"/>
      <c r="D669" s="601"/>
      <c r="E669" s="601"/>
      <c r="F669" s="601"/>
      <c r="G669" s="258"/>
      <c r="H669" s="258"/>
      <c r="I669" s="300"/>
      <c r="J669" s="301"/>
      <c r="K669" s="302"/>
      <c r="L669" s="303"/>
      <c r="M669" s="303"/>
      <c r="N669" s="300"/>
      <c r="O669" s="236"/>
    </row>
    <row r="670" spans="1:17" ht="13.5" hidden="1" thickBot="1" x14ac:dyDescent="0.25">
      <c r="A670" s="600"/>
      <c r="B670" s="309"/>
      <c r="C670" s="211"/>
      <c r="D670" s="601"/>
      <c r="E670" s="601"/>
      <c r="F670" s="601"/>
      <c r="G670" s="258"/>
      <c r="H670" s="258"/>
      <c r="I670" s="300"/>
      <c r="J670" s="301"/>
      <c r="K670" s="302"/>
      <c r="L670" s="303"/>
      <c r="M670" s="303"/>
      <c r="N670" s="300"/>
      <c r="O670" s="236"/>
    </row>
    <row r="671" spans="1:17" ht="13.5" hidden="1" thickBot="1" x14ac:dyDescent="0.25">
      <c r="A671" s="600"/>
      <c r="B671" s="309"/>
      <c r="C671" s="211"/>
      <c r="D671" s="601"/>
      <c r="E671" s="601"/>
      <c r="F671" s="601"/>
      <c r="G671" s="241"/>
      <c r="H671" s="241"/>
      <c r="I671" s="300">
        <v>0</v>
      </c>
      <c r="J671" s="301"/>
      <c r="K671" s="302"/>
      <c r="L671" s="303"/>
      <c r="M671" s="303"/>
      <c r="N671" s="300"/>
      <c r="O671" s="236"/>
    </row>
    <row r="672" spans="1:17" ht="13.5" thickBot="1" x14ac:dyDescent="0.25">
      <c r="A672" s="323" t="s">
        <v>180</v>
      </c>
      <c r="B672" s="324"/>
      <c r="C672" s="325">
        <f>SUM(C667:C671)</f>
        <v>598000000</v>
      </c>
      <c r="D672" s="326"/>
      <c r="E672" s="326"/>
      <c r="F672" s="326"/>
      <c r="G672" s="327"/>
      <c r="H672" s="327"/>
      <c r="I672" s="341">
        <f>SUM(I667:I671)/2</f>
        <v>598000000</v>
      </c>
      <c r="J672" s="342"/>
      <c r="K672" s="343"/>
      <c r="L672" s="344"/>
      <c r="M672" s="344"/>
      <c r="N672" s="333">
        <f>+C672-I672</f>
        <v>0</v>
      </c>
      <c r="O672" s="345"/>
    </row>
    <row r="673" spans="1:17" x14ac:dyDescent="0.2">
      <c r="A673" s="600"/>
      <c r="B673" s="601"/>
      <c r="C673" s="240"/>
      <c r="D673" s="601"/>
      <c r="E673" s="601"/>
      <c r="F673" s="601"/>
      <c r="G673" s="241"/>
      <c r="H673" s="241"/>
      <c r="I673" s="574"/>
      <c r="J673" s="575"/>
      <c r="K673" s="576"/>
      <c r="L673" s="577"/>
      <c r="M673" s="577"/>
      <c r="N673" s="579"/>
      <c r="O673" s="580"/>
    </row>
    <row r="674" spans="1:17" x14ac:dyDescent="0.2">
      <c r="A674" s="600"/>
      <c r="B674" s="601"/>
      <c r="C674" s="240"/>
      <c r="D674" s="601"/>
      <c r="E674" s="601"/>
      <c r="F674" s="601"/>
      <c r="G674" s="241"/>
      <c r="H674" s="241"/>
      <c r="I674" s="242"/>
      <c r="J674" s="243"/>
      <c r="K674" s="244"/>
      <c r="L674" s="245"/>
      <c r="M674" s="245"/>
      <c r="N674" s="242"/>
      <c r="O674" s="246"/>
    </row>
    <row r="675" spans="1:17" hidden="1" x14ac:dyDescent="0.2">
      <c r="A675" s="600" t="str">
        <f>+'[7]Clasific. Económica de Ingresos'!B160</f>
        <v>Bienes Inmuebles</v>
      </c>
      <c r="B675" s="309" t="str">
        <f>+'[7]Clasific. Económica de Ingresos'!B158</f>
        <v>Seperavit especificico</v>
      </c>
      <c r="C675" s="211">
        <f>+'[7]Clasific. Económica de Ingresos'!C160</f>
        <v>2260300000</v>
      </c>
      <c r="D675" s="601" t="s">
        <v>18</v>
      </c>
      <c r="E675" s="601" t="s">
        <v>185</v>
      </c>
      <c r="F675" s="601"/>
      <c r="G675" s="258" t="str">
        <f>+'[7]Egresos Programa III General'!B22</f>
        <v>Salón Multiuso en Urbanización La Perla del Distrito de San Rafael</v>
      </c>
      <c r="H675" s="258"/>
      <c r="I675" s="300">
        <v>0</v>
      </c>
      <c r="J675" s="301"/>
      <c r="K675" s="302"/>
      <c r="L675" s="303"/>
      <c r="M675" s="303"/>
      <c r="N675" s="300"/>
      <c r="O675" s="236"/>
    </row>
    <row r="676" spans="1:17" x14ac:dyDescent="0.2">
      <c r="A676" s="600"/>
      <c r="B676" s="601"/>
      <c r="C676" s="240"/>
      <c r="D676" s="601" t="s">
        <v>18</v>
      </c>
      <c r="E676" s="601" t="s">
        <v>184</v>
      </c>
      <c r="F676" s="601" t="s">
        <v>184</v>
      </c>
      <c r="G676" s="295" t="str">
        <f>+'[7]Egresos Programa III General'!B13</f>
        <v>Terminal FECOSA</v>
      </c>
      <c r="H676" s="295"/>
      <c r="I676" s="249">
        <v>1910300000</v>
      </c>
      <c r="J676" s="250"/>
      <c r="K676" s="251"/>
      <c r="L676" s="252"/>
      <c r="M676" s="252"/>
      <c r="N676" s="247"/>
      <c r="O676" s="248"/>
    </row>
    <row r="677" spans="1:17" x14ac:dyDescent="0.2">
      <c r="A677" s="600"/>
      <c r="B677" s="601"/>
      <c r="C677" s="240"/>
      <c r="D677" s="601"/>
      <c r="E677" s="601"/>
      <c r="F677" s="601"/>
      <c r="G677" s="295" t="s">
        <v>181</v>
      </c>
      <c r="H677" s="295"/>
      <c r="I677" s="255">
        <v>1910300000</v>
      </c>
      <c r="J677" s="250"/>
      <c r="K677" s="251">
        <f>+I677</f>
        <v>1910300000</v>
      </c>
      <c r="L677" s="252"/>
      <c r="M677" s="252"/>
      <c r="N677" s="247"/>
      <c r="O677" s="248"/>
    </row>
    <row r="678" spans="1:17" x14ac:dyDescent="0.2">
      <c r="A678" s="600"/>
      <c r="B678" s="601"/>
      <c r="C678" s="240"/>
      <c r="D678" s="601"/>
      <c r="E678" s="601"/>
      <c r="F678" s="601"/>
      <c r="G678" s="295"/>
      <c r="H678" s="295"/>
      <c r="I678" s="255"/>
      <c r="J678" s="250"/>
      <c r="K678" s="251"/>
      <c r="L678" s="252"/>
      <c r="M678" s="252"/>
      <c r="N678" s="247"/>
      <c r="O678" s="248"/>
    </row>
    <row r="679" spans="1:17" x14ac:dyDescent="0.2">
      <c r="A679" s="600"/>
      <c r="B679" s="601"/>
      <c r="C679" s="240"/>
      <c r="D679" s="601" t="s">
        <v>18</v>
      </c>
      <c r="E679" s="601" t="s">
        <v>183</v>
      </c>
      <c r="F679" s="601" t="s">
        <v>182</v>
      </c>
      <c r="G679" s="295" t="str">
        <f>+'[7]Egresos Programa III General'!B102</f>
        <v>Plan de Desarrollo Informático</v>
      </c>
      <c r="H679" s="295"/>
      <c r="I679" s="249">
        <v>350000000</v>
      </c>
      <c r="J679" s="250"/>
      <c r="K679" s="251"/>
      <c r="L679" s="252"/>
      <c r="M679" s="252"/>
      <c r="N679" s="247"/>
      <c r="O679" s="248"/>
    </row>
    <row r="680" spans="1:17" x14ac:dyDescent="0.2">
      <c r="A680" s="600"/>
      <c r="B680" s="601"/>
      <c r="C680" s="240"/>
      <c r="D680" s="601"/>
      <c r="E680" s="601"/>
      <c r="F680" s="601"/>
      <c r="G680" s="295" t="s">
        <v>181</v>
      </c>
      <c r="H680" s="295"/>
      <c r="I680" s="255">
        <v>350000000</v>
      </c>
      <c r="J680" s="250"/>
      <c r="K680" s="251">
        <f>+I680</f>
        <v>350000000</v>
      </c>
      <c r="L680" s="252"/>
      <c r="M680" s="252"/>
      <c r="N680" s="247"/>
      <c r="O680" s="248"/>
    </row>
    <row r="681" spans="1:17" x14ac:dyDescent="0.2">
      <c r="A681" s="600"/>
      <c r="B681" s="601"/>
      <c r="C681" s="240"/>
      <c r="D681" s="601"/>
      <c r="E681" s="601"/>
      <c r="F681" s="601"/>
      <c r="G681" s="295"/>
      <c r="H681" s="295"/>
      <c r="I681" s="255"/>
      <c r="J681" s="250"/>
      <c r="K681" s="251"/>
      <c r="L681" s="252"/>
      <c r="M681" s="252"/>
      <c r="N681" s="247"/>
      <c r="O681" s="248"/>
    </row>
    <row r="682" spans="1:17" ht="13.5" thickBot="1" x14ac:dyDescent="0.25">
      <c r="A682" s="271"/>
      <c r="B682" s="459"/>
      <c r="C682" s="441"/>
      <c r="D682" s="272"/>
      <c r="E682" s="272"/>
      <c r="F682" s="272"/>
      <c r="G682" s="274"/>
      <c r="H682" s="274"/>
      <c r="I682" s="442"/>
      <c r="J682" s="301"/>
      <c r="K682" s="302"/>
      <c r="L682" s="303"/>
      <c r="M682" s="303"/>
      <c r="N682" s="300"/>
      <c r="O682" s="236"/>
    </row>
    <row r="683" spans="1:17" ht="13.5" thickBot="1" x14ac:dyDescent="0.25">
      <c r="A683" s="323" t="s">
        <v>180</v>
      </c>
      <c r="B683" s="324"/>
      <c r="C683" s="325">
        <f>SUM(C675:C682)</f>
        <v>2260300000</v>
      </c>
      <c r="D683" s="326"/>
      <c r="E683" s="326"/>
      <c r="F683" s="326"/>
      <c r="G683" s="327"/>
      <c r="H683" s="327"/>
      <c r="I683" s="581">
        <f>SUM(I675:I682)/2</f>
        <v>2260300000</v>
      </c>
      <c r="J683" s="342"/>
      <c r="K683" s="343"/>
      <c r="L683" s="344"/>
      <c r="M683" s="344"/>
      <c r="N683" s="333">
        <f>+C683-I683</f>
        <v>0</v>
      </c>
      <c r="O683" s="345"/>
    </row>
    <row r="684" spans="1:17" x14ac:dyDescent="0.2">
      <c r="A684" s="582" t="s">
        <v>179</v>
      </c>
      <c r="B684" s="599"/>
      <c r="C684" s="437">
        <f>+C178+C188+C204+C298+C324+C339+C352+C371+C396+C415+C429+C444+C478+C488+C452+C571+C601+C611+C629+C577+C623+C386+C633+C637+C457+C664</f>
        <v>20095366618.68</v>
      </c>
      <c r="D684" s="599"/>
      <c r="E684" s="599"/>
      <c r="F684" s="599"/>
      <c r="G684" s="231"/>
      <c r="H684" s="231"/>
      <c r="I684" s="437">
        <f>+I178+I188+I204+I298+I324+I339+I352+I371+I396+I415+I429+I444+I478+I488+I452+I571+I601+I611+I629+I577+I623+I386+I633+I637+I457+I664</f>
        <v>20095366618.684834</v>
      </c>
      <c r="J684" s="397"/>
      <c r="K684" s="398"/>
      <c r="L684" s="399"/>
      <c r="M684" s="399"/>
      <c r="N684" s="255">
        <f>+N178+N188+N204+N298+N324+N339+N352+N371+N396+N415+N429+N444+N478+N488+N452+N571+N601+N611+N629+N577+N623+N386+N633+N637+N457+N664+N672+N683</f>
        <v>-4.8363283276557922E-3</v>
      </c>
      <c r="O684" s="240"/>
      <c r="P684" s="792">
        <f>+C684-I684</f>
        <v>-4.833221435546875E-3</v>
      </c>
      <c r="Q684" s="211">
        <f>+I684-N684</f>
        <v>20095366618.689671</v>
      </c>
    </row>
    <row r="685" spans="1:17" s="427" customFormat="1" x14ac:dyDescent="0.2">
      <c r="A685" s="413" t="s">
        <v>178</v>
      </c>
      <c r="B685" s="362"/>
      <c r="C685" s="382">
        <f>+C200+C214+C224+C231+C269+C286+C343+C465+C517+C533+C563+C505+C548+C595+C659+C589</f>
        <v>8529171978.6199999</v>
      </c>
      <c r="D685" s="362"/>
      <c r="E685" s="362"/>
      <c r="F685" s="362"/>
      <c r="G685" s="363"/>
      <c r="H685" s="363"/>
      <c r="I685" s="382">
        <f>+I200+I214+I224+I231+I269+I286+I343+I465+I517+I533+I563+I505+I548+I595+I659+I589</f>
        <v>8529171978.6356611</v>
      </c>
      <c r="J685" s="379"/>
      <c r="K685" s="380"/>
      <c r="L685" s="381"/>
      <c r="M685" s="381"/>
      <c r="N685" s="560">
        <f>+N200+N214+N224+N231+N269+N286+N343+N465+N517+N533+N563+N505+N548+N595+N659+N589</f>
        <v>-1.5660583972930908E-2</v>
      </c>
      <c r="O685" s="240"/>
      <c r="P685" s="793">
        <f>+C685-I685</f>
        <v>-1.5661239624023438E-2</v>
      </c>
      <c r="Q685" s="355"/>
    </row>
    <row r="686" spans="1:17" ht="13.5" thickBot="1" x14ac:dyDescent="0.25">
      <c r="A686" s="271"/>
      <c r="B686" s="272"/>
      <c r="C686" s="454">
        <f>+C684+C685+C683+C672</f>
        <v>31482838597.299999</v>
      </c>
      <c r="D686" s="272"/>
      <c r="E686" s="272"/>
      <c r="F686" s="272"/>
      <c r="G686" s="274"/>
      <c r="H686" s="274"/>
      <c r="I686" s="454">
        <f>+I684+I685+I683+I672</f>
        <v>31482838597.320496</v>
      </c>
      <c r="J686" s="397"/>
      <c r="K686" s="398"/>
      <c r="L686" s="399"/>
      <c r="M686" s="399"/>
      <c r="N686" s="275">
        <f>+N684+N685</f>
        <v>-2.04969123005867E-2</v>
      </c>
      <c r="O686" s="240"/>
      <c r="P686" s="792">
        <f>+P684+P685</f>
        <v>-2.0494461059570313E-2</v>
      </c>
      <c r="Q686" s="602"/>
    </row>
    <row r="687" spans="1:17" ht="13.5" thickBot="1" x14ac:dyDescent="0.25">
      <c r="A687" s="583" t="s">
        <v>177</v>
      </c>
      <c r="B687" s="326"/>
      <c r="C687" s="325">
        <f>+C178+C188+C200+C204+C214+C224+C231+C269+C286+C298+C324+C339+C343+C352+C371++C396+C415+C429+C444+C465+C478+C488+C505+C517+C533+C563+C452+C571+C589+C595+C601+C611+C629+C548+C577+C623+C386+C633+C637+C659+C457+C664+C672+C683</f>
        <v>31482838597.300003</v>
      </c>
      <c r="D687" s="584"/>
      <c r="E687" s="584"/>
      <c r="F687" s="584"/>
      <c r="G687" s="585"/>
      <c r="H687" s="585"/>
      <c r="I687" s="325">
        <f>+I178+I188+I200+I204+I214+I224+I231+I269+I286+I298+I324+I339+I343+I352+I371++I396+I415+I429+I444+I465+I478+I488+I505+I517+I533+I563+I452+I571+I589+I595+I601+I611+I629+I548+I577+I623+I386+I633+I637+I659+I457+I664+I672+I683</f>
        <v>31482838597.320496</v>
      </c>
      <c r="J687" s="586">
        <f>SUM(J9:J686)</f>
        <v>22346771735.910385</v>
      </c>
      <c r="K687" s="454">
        <f>SUM(K9:K686)</f>
        <v>8457853969.5300007</v>
      </c>
      <c r="L687" s="587">
        <f>SUM(L9:L686)</f>
        <v>452358635.42000002</v>
      </c>
      <c r="M687" s="587">
        <f>SUM(M9:M686)</f>
        <v>225854256.45400003</v>
      </c>
      <c r="N687" s="396">
        <f>+N178+N188+N200+N204+N214+N224+N231+N269+N286+N298+N324+N339+N343+N352+N371++N396+N415+N429+N444+N465+N478+N488+N505+N517+N533+N563+N452+N571+N589+N595+N601+N611+N629+N548+N577+N623+N386+N633+N637+N659+N457+N664+N672+N683</f>
        <v>-2.04969123005867E-2</v>
      </c>
      <c r="O687" s="400"/>
      <c r="Q687" s="602"/>
    </row>
    <row r="688" spans="1:17" x14ac:dyDescent="0.2">
      <c r="A688" s="598"/>
      <c r="B688" s="599"/>
      <c r="C688" s="437">
        <f>+C687-'[7]Clasific. Económica de Ingresos'!D163</f>
        <v>0</v>
      </c>
      <c r="D688" s="230"/>
      <c r="E688" s="230"/>
      <c r="F688" s="230"/>
      <c r="G688" s="588"/>
      <c r="H688" s="588"/>
      <c r="I688" s="589"/>
      <c r="J688" s="589"/>
      <c r="K688" s="589"/>
      <c r="L688" s="589"/>
      <c r="M688" s="438"/>
      <c r="N688" s="590"/>
      <c r="O688" s="400"/>
      <c r="Q688" s="602"/>
    </row>
    <row r="689" spans="1:17" ht="31.5" customHeight="1" x14ac:dyDescent="0.2">
      <c r="A689" s="613" t="s">
        <v>176</v>
      </c>
      <c r="B689" s="614"/>
      <c r="C689" s="614"/>
      <c r="D689" s="614"/>
      <c r="E689" s="614"/>
      <c r="F689" s="614"/>
      <c r="G689" s="614"/>
      <c r="H689" s="614"/>
      <c r="I689" s="614"/>
      <c r="J689" s="597"/>
      <c r="K689" s="597"/>
      <c r="L689" s="597"/>
      <c r="M689" s="591"/>
      <c r="N689" s="591"/>
      <c r="O689" s="597"/>
      <c r="Q689" s="602"/>
    </row>
    <row r="690" spans="1:17" x14ac:dyDescent="0.2">
      <c r="A690" s="600"/>
      <c r="B690" s="601"/>
      <c r="C690" s="400"/>
      <c r="I690" s="345"/>
      <c r="J690" s="345"/>
      <c r="K690" s="345"/>
      <c r="L690" s="345"/>
      <c r="M690" s="316"/>
      <c r="N690" s="249"/>
      <c r="O690" s="400"/>
      <c r="Q690" s="602"/>
    </row>
    <row r="691" spans="1:17" x14ac:dyDescent="0.2">
      <c r="A691" s="466" t="s">
        <v>175</v>
      </c>
      <c r="B691" s="601"/>
      <c r="C691" s="400"/>
      <c r="I691" s="345"/>
      <c r="J691" s="345"/>
      <c r="K691" s="345"/>
      <c r="L691" s="345"/>
      <c r="M691" s="316"/>
      <c r="N691" s="249"/>
      <c r="O691" s="400"/>
      <c r="Q691" s="602"/>
    </row>
    <row r="692" spans="1:17" x14ac:dyDescent="0.2">
      <c r="A692" s="600"/>
      <c r="B692" s="601"/>
      <c r="C692" s="400"/>
      <c r="I692" s="345"/>
      <c r="J692" s="345"/>
      <c r="K692" s="345"/>
      <c r="L692" s="345"/>
      <c r="M692" s="316"/>
      <c r="N692" s="249"/>
      <c r="O692" s="400"/>
      <c r="Q692" s="602"/>
    </row>
    <row r="693" spans="1:17" ht="13.5" thickBot="1" x14ac:dyDescent="0.25">
      <c r="A693" s="592" t="s">
        <v>646</v>
      </c>
      <c r="B693" s="272"/>
      <c r="C693" s="454"/>
      <c r="D693" s="321"/>
      <c r="E693" s="321"/>
      <c r="F693" s="321"/>
      <c r="G693" s="485"/>
      <c r="H693" s="485"/>
      <c r="I693" s="593"/>
      <c r="J693" s="593"/>
      <c r="K693" s="593"/>
      <c r="L693" s="593"/>
      <c r="M693" s="455"/>
      <c r="N693" s="587"/>
      <c r="O693" s="400"/>
      <c r="Q693" s="602"/>
    </row>
    <row r="694" spans="1:17" x14ac:dyDescent="0.2">
      <c r="I694" s="236">
        <f>+I687-C687</f>
        <v>2.04925537109375E-2</v>
      </c>
      <c r="J694" s="236">
        <f>+J687-'[9]clasificador economico'!$C$2</f>
        <v>10101193.851753235</v>
      </c>
      <c r="K694" s="236">
        <f>+K687-'[9]clasificador economico'!$C$16</f>
        <v>-10101193.840000153</v>
      </c>
      <c r="L694" s="236">
        <f>SUM(J687:M687)</f>
        <v>31482838597.314381</v>
      </c>
      <c r="Q694" s="602"/>
    </row>
    <row r="695" spans="1:17" x14ac:dyDescent="0.2">
      <c r="A695" s="601"/>
      <c r="B695" s="601"/>
      <c r="C695" s="240">
        <f>+C687-C686</f>
        <v>0</v>
      </c>
      <c r="I695" s="236">
        <f>+I687-'[7]Detalle General de Egresos'!E7</f>
        <v>2.1862030029296875E-2</v>
      </c>
      <c r="N695" s="211">
        <f>+N684-N629-N589-N178</f>
        <v>-7.7755525708198547E-3</v>
      </c>
      <c r="Q695" s="602"/>
    </row>
    <row r="696" spans="1:17" x14ac:dyDescent="0.2">
      <c r="A696" s="601"/>
      <c r="B696" s="601"/>
      <c r="C696" s="240"/>
      <c r="N696" s="211">
        <f>+N684-N695</f>
        <v>2.9392242431640625E-3</v>
      </c>
      <c r="Q696" s="602"/>
    </row>
    <row r="697" spans="1:17" x14ac:dyDescent="0.2">
      <c r="A697" s="601"/>
      <c r="B697" s="601"/>
      <c r="C697" s="240"/>
      <c r="I697" s="236">
        <f>+I694+I695</f>
        <v>4.2354583740234375E-2</v>
      </c>
      <c r="L697" s="236">
        <f>+L694-I687</f>
        <v>-6.114959716796875E-3</v>
      </c>
      <c r="Q697" s="602"/>
    </row>
    <row r="698" spans="1:17" x14ac:dyDescent="0.2">
      <c r="A698" s="601"/>
      <c r="B698" s="601"/>
      <c r="C698" s="240"/>
      <c r="Q698" s="602"/>
    </row>
    <row r="699" spans="1:17" x14ac:dyDescent="0.2">
      <c r="A699" s="601"/>
      <c r="B699" s="601"/>
      <c r="C699" s="240"/>
      <c r="Q699" s="602"/>
    </row>
    <row r="700" spans="1:17" x14ac:dyDescent="0.2">
      <c r="A700" s="601"/>
      <c r="B700" s="601"/>
      <c r="C700" s="240"/>
      <c r="Q700" s="602"/>
    </row>
    <row r="701" spans="1:17" x14ac:dyDescent="0.2">
      <c r="A701" s="601"/>
      <c r="B701" s="601"/>
      <c r="C701" s="240"/>
      <c r="Q701" s="602"/>
    </row>
    <row r="702" spans="1:17" x14ac:dyDescent="0.2">
      <c r="A702" s="601"/>
      <c r="B702" s="601"/>
      <c r="C702" s="240"/>
      <c r="O702" s="602"/>
      <c r="P702" s="602"/>
      <c r="Q702" s="602"/>
    </row>
    <row r="703" spans="1:17" x14ac:dyDescent="0.2">
      <c r="A703" s="601"/>
      <c r="B703" s="601"/>
      <c r="C703" s="240"/>
      <c r="O703" s="602"/>
      <c r="P703" s="602"/>
      <c r="Q703" s="602"/>
    </row>
    <row r="704" spans="1:17" x14ac:dyDescent="0.2">
      <c r="A704" s="601"/>
      <c r="B704" s="601"/>
      <c r="C704" s="240"/>
      <c r="O704" s="602"/>
      <c r="P704" s="602"/>
      <c r="Q704" s="602"/>
    </row>
    <row r="705" spans="1:17" x14ac:dyDescent="0.2">
      <c r="A705" s="601"/>
      <c r="B705" s="601"/>
      <c r="C705" s="240"/>
      <c r="O705" s="602"/>
      <c r="P705" s="602"/>
      <c r="Q705" s="602"/>
    </row>
    <row r="706" spans="1:17" x14ac:dyDescent="0.2">
      <c r="A706" s="601"/>
      <c r="B706" s="601"/>
      <c r="C706" s="240"/>
      <c r="O706" s="602"/>
      <c r="P706" s="602"/>
      <c r="Q706" s="602"/>
    </row>
    <row r="707" spans="1:17" x14ac:dyDescent="0.2">
      <c r="A707" s="601"/>
      <c r="B707" s="601"/>
      <c r="C707" s="240"/>
      <c r="O707" s="602"/>
      <c r="P707" s="602"/>
      <c r="Q707" s="602"/>
    </row>
    <row r="708" spans="1:17" x14ac:dyDescent="0.2">
      <c r="A708" s="601"/>
      <c r="B708" s="601"/>
      <c r="C708" s="240"/>
      <c r="O708" s="602"/>
      <c r="P708" s="602"/>
      <c r="Q708" s="602"/>
    </row>
    <row r="709" spans="1:17" x14ac:dyDescent="0.2">
      <c r="A709" s="601"/>
      <c r="B709" s="601"/>
      <c r="C709" s="240"/>
      <c r="O709" s="602"/>
      <c r="P709" s="602"/>
      <c r="Q709" s="602"/>
    </row>
    <row r="710" spans="1:17" x14ac:dyDescent="0.2">
      <c r="A710" s="601"/>
      <c r="B710" s="601"/>
      <c r="C710" s="240"/>
      <c r="O710" s="602"/>
      <c r="P710" s="602"/>
      <c r="Q710" s="602"/>
    </row>
    <row r="711" spans="1:17" x14ac:dyDescent="0.2">
      <c r="A711" s="601"/>
      <c r="B711" s="601"/>
      <c r="C711" s="240"/>
      <c r="O711" s="602"/>
      <c r="P711" s="602"/>
      <c r="Q711" s="602"/>
    </row>
    <row r="712" spans="1:17" x14ac:dyDescent="0.2">
      <c r="A712" s="601"/>
      <c r="B712" s="601"/>
      <c r="C712" s="240"/>
      <c r="O712" s="602"/>
      <c r="P712" s="602"/>
      <c r="Q712" s="602"/>
    </row>
    <row r="713" spans="1:17" x14ac:dyDescent="0.2">
      <c r="A713" s="601"/>
      <c r="B713" s="601"/>
      <c r="C713" s="240"/>
      <c r="O713" s="602"/>
      <c r="P713" s="602"/>
      <c r="Q713" s="602"/>
    </row>
    <row r="714" spans="1:17" x14ac:dyDescent="0.2">
      <c r="A714" s="601"/>
      <c r="B714" s="601"/>
      <c r="C714" s="240"/>
      <c r="O714" s="602"/>
      <c r="P714" s="602"/>
      <c r="Q714" s="602"/>
    </row>
    <row r="715" spans="1:17" x14ac:dyDescent="0.2">
      <c r="A715" s="601"/>
      <c r="B715" s="601"/>
      <c r="C715" s="240"/>
      <c r="O715" s="602"/>
      <c r="P715" s="602"/>
      <c r="Q715" s="602"/>
    </row>
    <row r="716" spans="1:17" x14ac:dyDescent="0.2">
      <c r="A716" s="601"/>
      <c r="B716" s="601"/>
      <c r="C716" s="240"/>
      <c r="O716" s="602"/>
      <c r="P716" s="602"/>
      <c r="Q716" s="602"/>
    </row>
    <row r="717" spans="1:17" x14ac:dyDescent="0.2">
      <c r="A717" s="601"/>
      <c r="B717" s="601"/>
      <c r="C717" s="240"/>
      <c r="O717" s="602"/>
      <c r="P717" s="602"/>
      <c r="Q717" s="602"/>
    </row>
    <row r="718" spans="1:17" x14ac:dyDescent="0.2">
      <c r="A718" s="601"/>
      <c r="B718" s="601"/>
      <c r="C718" s="240"/>
      <c r="G718" s="602"/>
      <c r="H718" s="602"/>
      <c r="I718" s="602"/>
      <c r="J718" s="602"/>
      <c r="K718" s="602"/>
      <c r="L718" s="602"/>
      <c r="M718" s="602"/>
      <c r="N718" s="602"/>
      <c r="O718" s="602"/>
      <c r="P718" s="602"/>
      <c r="Q718" s="602"/>
    </row>
    <row r="719" spans="1:17" x14ac:dyDescent="0.2">
      <c r="A719" s="601"/>
      <c r="B719" s="601"/>
      <c r="C719" s="240"/>
      <c r="G719" s="602"/>
      <c r="H719" s="602"/>
      <c r="I719" s="602"/>
      <c r="J719" s="602"/>
      <c r="K719" s="602"/>
      <c r="L719" s="602"/>
      <c r="M719" s="602"/>
      <c r="N719" s="602"/>
      <c r="O719" s="602"/>
      <c r="P719" s="602"/>
      <c r="Q719" s="602"/>
    </row>
    <row r="720" spans="1:17" x14ac:dyDescent="0.2">
      <c r="A720" s="601"/>
      <c r="B720" s="601"/>
      <c r="C720" s="240"/>
      <c r="G720" s="602"/>
      <c r="H720" s="602"/>
      <c r="I720" s="602"/>
      <c r="J720" s="602"/>
      <c r="K720" s="602"/>
      <c r="L720" s="602"/>
      <c r="M720" s="602"/>
      <c r="N720" s="602"/>
      <c r="O720" s="602"/>
      <c r="P720" s="602"/>
      <c r="Q720" s="602"/>
    </row>
    <row r="721" spans="1:17" x14ac:dyDescent="0.2">
      <c r="A721" s="601"/>
      <c r="B721" s="601"/>
      <c r="C721" s="240"/>
      <c r="G721" s="602"/>
      <c r="H721" s="602"/>
      <c r="I721" s="602"/>
      <c r="J721" s="602"/>
      <c r="K721" s="602"/>
      <c r="L721" s="602"/>
      <c r="M721" s="602"/>
      <c r="N721" s="602"/>
      <c r="O721" s="602"/>
      <c r="P721" s="602"/>
      <c r="Q721" s="602"/>
    </row>
    <row r="722" spans="1:17" x14ac:dyDescent="0.2">
      <c r="A722" s="601"/>
      <c r="B722" s="601"/>
      <c r="C722" s="240"/>
      <c r="G722" s="602"/>
      <c r="H722" s="602"/>
      <c r="I722" s="602"/>
      <c r="J722" s="602"/>
      <c r="K722" s="602"/>
      <c r="L722" s="602"/>
      <c r="M722" s="602"/>
      <c r="N722" s="602"/>
      <c r="O722" s="602"/>
      <c r="P722" s="602"/>
      <c r="Q722" s="602"/>
    </row>
    <row r="723" spans="1:17" x14ac:dyDescent="0.2">
      <c r="A723" s="601"/>
      <c r="B723" s="601"/>
      <c r="C723" s="240"/>
      <c r="G723" s="602"/>
      <c r="H723" s="602"/>
      <c r="I723" s="602"/>
      <c r="J723" s="602"/>
      <c r="K723" s="602"/>
      <c r="L723" s="602"/>
      <c r="M723" s="602"/>
      <c r="N723" s="602"/>
      <c r="O723" s="602"/>
      <c r="P723" s="602"/>
      <c r="Q723" s="602"/>
    </row>
    <row r="724" spans="1:17" x14ac:dyDescent="0.2">
      <c r="A724" s="601"/>
      <c r="B724" s="601"/>
      <c r="C724" s="240"/>
      <c r="G724" s="602"/>
      <c r="H724" s="602"/>
      <c r="I724" s="602"/>
      <c r="J724" s="602"/>
      <c r="K724" s="602"/>
      <c r="L724" s="602"/>
      <c r="M724" s="602"/>
      <c r="N724" s="602"/>
      <c r="O724" s="602"/>
      <c r="P724" s="602"/>
      <c r="Q724" s="602"/>
    </row>
    <row r="725" spans="1:17" x14ac:dyDescent="0.2">
      <c r="A725" s="601"/>
      <c r="B725" s="601"/>
      <c r="C725" s="240"/>
      <c r="G725" s="602"/>
      <c r="H725" s="602"/>
      <c r="I725" s="602"/>
      <c r="J725" s="602"/>
      <c r="K725" s="602"/>
      <c r="L725" s="602"/>
      <c r="M725" s="602"/>
      <c r="N725" s="602"/>
      <c r="O725" s="602"/>
      <c r="P725" s="602"/>
      <c r="Q725" s="602"/>
    </row>
    <row r="726" spans="1:17" x14ac:dyDescent="0.2">
      <c r="A726" s="601"/>
      <c r="B726" s="601"/>
      <c r="C726" s="240"/>
      <c r="G726" s="602"/>
      <c r="H726" s="602"/>
      <c r="I726" s="602"/>
      <c r="J726" s="602"/>
      <c r="K726" s="602"/>
      <c r="L726" s="602"/>
      <c r="M726" s="602"/>
      <c r="N726" s="602"/>
      <c r="O726" s="602"/>
      <c r="P726" s="602"/>
      <c r="Q726" s="602"/>
    </row>
    <row r="727" spans="1:17" x14ac:dyDescent="0.2">
      <c r="A727" s="601"/>
      <c r="B727" s="601"/>
      <c r="C727" s="240"/>
      <c r="G727" s="602"/>
      <c r="H727" s="602"/>
      <c r="I727" s="602"/>
      <c r="J727" s="602"/>
      <c r="K727" s="602"/>
      <c r="L727" s="602"/>
      <c r="M727" s="602"/>
      <c r="N727" s="602"/>
      <c r="O727" s="602"/>
      <c r="P727" s="602"/>
      <c r="Q727" s="602"/>
    </row>
    <row r="728" spans="1:17" x14ac:dyDescent="0.2">
      <c r="A728" s="601"/>
      <c r="B728" s="601"/>
      <c r="C728" s="240"/>
      <c r="G728" s="602"/>
      <c r="H728" s="602"/>
      <c r="I728" s="602"/>
      <c r="J728" s="602"/>
      <c r="K728" s="602"/>
      <c r="L728" s="602"/>
      <c r="M728" s="602"/>
      <c r="N728" s="602"/>
      <c r="O728" s="602"/>
      <c r="P728" s="602"/>
      <c r="Q728" s="602"/>
    </row>
    <row r="729" spans="1:17" x14ac:dyDescent="0.2">
      <c r="A729" s="601"/>
      <c r="B729" s="601"/>
      <c r="C729" s="240"/>
      <c r="G729" s="602"/>
      <c r="H729" s="602"/>
      <c r="I729" s="602"/>
      <c r="J729" s="602"/>
      <c r="K729" s="602"/>
      <c r="L729" s="602"/>
      <c r="M729" s="602"/>
      <c r="N729" s="602"/>
      <c r="O729" s="602"/>
      <c r="P729" s="602"/>
      <c r="Q729" s="602"/>
    </row>
    <row r="730" spans="1:17" x14ac:dyDescent="0.2">
      <c r="A730" s="601"/>
      <c r="B730" s="601"/>
      <c r="C730" s="240"/>
      <c r="G730" s="602"/>
      <c r="H730" s="602"/>
      <c r="I730" s="602"/>
      <c r="J730" s="602"/>
      <c r="K730" s="602"/>
      <c r="L730" s="602"/>
      <c r="M730" s="602"/>
      <c r="N730" s="602"/>
      <c r="O730" s="602"/>
      <c r="P730" s="602"/>
      <c r="Q730" s="602"/>
    </row>
    <row r="731" spans="1:17" x14ac:dyDescent="0.2">
      <c r="A731" s="601"/>
      <c r="B731" s="601"/>
      <c r="C731" s="240"/>
      <c r="G731" s="602"/>
      <c r="H731" s="602"/>
      <c r="I731" s="602"/>
      <c r="J731" s="602"/>
      <c r="K731" s="602"/>
      <c r="L731" s="602"/>
      <c r="M731" s="602"/>
      <c r="N731" s="602"/>
      <c r="O731" s="602"/>
      <c r="P731" s="602"/>
      <c r="Q731" s="602"/>
    </row>
    <row r="732" spans="1:17" x14ac:dyDescent="0.2">
      <c r="A732" s="601"/>
      <c r="B732" s="601"/>
      <c r="C732" s="240"/>
      <c r="G732" s="602"/>
      <c r="H732" s="602"/>
      <c r="I732" s="602"/>
      <c r="J732" s="602"/>
      <c r="K732" s="602"/>
      <c r="L732" s="602"/>
      <c r="M732" s="602"/>
      <c r="N732" s="602"/>
      <c r="O732" s="602"/>
      <c r="P732" s="602"/>
      <c r="Q732" s="602"/>
    </row>
    <row r="733" spans="1:17" x14ac:dyDescent="0.2">
      <c r="A733" s="601"/>
      <c r="B733" s="601"/>
      <c r="C733" s="240"/>
      <c r="G733" s="602"/>
      <c r="H733" s="602"/>
      <c r="I733" s="602"/>
      <c r="J733" s="602"/>
      <c r="K733" s="602"/>
      <c r="L733" s="602"/>
      <c r="M733" s="602"/>
      <c r="N733" s="602"/>
      <c r="O733" s="602"/>
      <c r="P733" s="602"/>
      <c r="Q733" s="602"/>
    </row>
    <row r="734" spans="1:17" x14ac:dyDescent="0.2">
      <c r="A734" s="601"/>
      <c r="B734" s="601"/>
      <c r="C734" s="240"/>
      <c r="G734" s="602"/>
      <c r="H734" s="602"/>
      <c r="I734" s="602"/>
      <c r="J734" s="602"/>
      <c r="K734" s="602"/>
      <c r="L734" s="602"/>
      <c r="M734" s="602"/>
      <c r="N734" s="602"/>
      <c r="O734" s="602"/>
      <c r="P734" s="602"/>
      <c r="Q734" s="602"/>
    </row>
    <row r="735" spans="1:17" x14ac:dyDescent="0.2">
      <c r="A735" s="601"/>
      <c r="B735" s="601"/>
      <c r="C735" s="240"/>
      <c r="G735" s="602"/>
      <c r="H735" s="602"/>
      <c r="I735" s="602"/>
      <c r="J735" s="602"/>
      <c r="K735" s="602"/>
      <c r="L735" s="602"/>
      <c r="M735" s="602"/>
      <c r="N735" s="602"/>
      <c r="O735" s="602"/>
      <c r="P735" s="602"/>
      <c r="Q735" s="602"/>
    </row>
    <row r="736" spans="1:17" x14ac:dyDescent="0.2">
      <c r="A736" s="601"/>
      <c r="B736" s="601"/>
      <c r="C736" s="240"/>
      <c r="G736" s="602"/>
      <c r="H736" s="602"/>
      <c r="I736" s="602"/>
      <c r="J736" s="602"/>
      <c r="K736" s="602"/>
      <c r="L736" s="602"/>
      <c r="M736" s="602"/>
      <c r="N736" s="602"/>
      <c r="O736" s="602"/>
      <c r="P736" s="602"/>
      <c r="Q736" s="602"/>
    </row>
    <row r="737" spans="1:17" x14ac:dyDescent="0.2">
      <c r="A737" s="601"/>
      <c r="B737" s="601"/>
      <c r="C737" s="240"/>
      <c r="G737" s="602"/>
      <c r="H737" s="602"/>
      <c r="I737" s="602"/>
      <c r="J737" s="602"/>
      <c r="K737" s="602"/>
      <c r="L737" s="602"/>
      <c r="M737" s="602"/>
      <c r="N737" s="602"/>
      <c r="O737" s="602"/>
      <c r="P737" s="602"/>
      <c r="Q737" s="602"/>
    </row>
    <row r="738" spans="1:17" x14ac:dyDescent="0.2">
      <c r="A738" s="601"/>
      <c r="B738" s="601"/>
      <c r="C738" s="240"/>
      <c r="G738" s="602"/>
      <c r="H738" s="602"/>
      <c r="I738" s="602"/>
      <c r="J738" s="602"/>
      <c r="K738" s="602"/>
      <c r="L738" s="602"/>
      <c r="M738" s="602"/>
      <c r="N738" s="602"/>
      <c r="O738" s="602"/>
      <c r="P738" s="602"/>
      <c r="Q738" s="602"/>
    </row>
    <row r="739" spans="1:17" x14ac:dyDescent="0.2">
      <c r="A739" s="601"/>
      <c r="B739" s="601"/>
      <c r="C739" s="240"/>
      <c r="G739" s="602"/>
      <c r="H739" s="602"/>
      <c r="I739" s="602"/>
      <c r="J739" s="602"/>
      <c r="K739" s="602"/>
      <c r="L739" s="602"/>
      <c r="M739" s="602"/>
      <c r="N739" s="602"/>
      <c r="O739" s="602"/>
      <c r="P739" s="602"/>
      <c r="Q739" s="602"/>
    </row>
    <row r="740" spans="1:17" x14ac:dyDescent="0.2">
      <c r="A740" s="601"/>
      <c r="B740" s="601"/>
      <c r="C740" s="240"/>
      <c r="G740" s="602"/>
      <c r="H740" s="602"/>
      <c r="I740" s="602"/>
      <c r="J740" s="602"/>
      <c r="K740" s="602"/>
      <c r="L740" s="602"/>
      <c r="M740" s="602"/>
      <c r="N740" s="602"/>
      <c r="O740" s="602"/>
      <c r="P740" s="602"/>
      <c r="Q740" s="602"/>
    </row>
    <row r="741" spans="1:17" x14ac:dyDescent="0.2">
      <c r="A741" s="601"/>
      <c r="B741" s="601"/>
      <c r="C741" s="240"/>
      <c r="G741" s="602"/>
      <c r="H741" s="602"/>
      <c r="I741" s="602"/>
      <c r="J741" s="602"/>
      <c r="K741" s="602"/>
      <c r="L741" s="602"/>
      <c r="M741" s="602"/>
      <c r="N741" s="602"/>
      <c r="O741" s="602"/>
      <c r="P741" s="602"/>
      <c r="Q741" s="602"/>
    </row>
    <row r="742" spans="1:17" x14ac:dyDescent="0.2">
      <c r="A742" s="601"/>
      <c r="B742" s="601"/>
      <c r="C742" s="240"/>
      <c r="G742" s="602"/>
      <c r="H742" s="602"/>
      <c r="I742" s="602"/>
      <c r="J742" s="602"/>
      <c r="K742" s="602"/>
      <c r="L742" s="602"/>
      <c r="M742" s="602"/>
      <c r="N742" s="602"/>
      <c r="O742" s="602"/>
      <c r="P742" s="602"/>
      <c r="Q742" s="602"/>
    </row>
    <row r="743" spans="1:17" x14ac:dyDescent="0.2">
      <c r="A743" s="601"/>
      <c r="B743" s="601"/>
      <c r="C743" s="240"/>
      <c r="G743" s="602"/>
      <c r="H743" s="602"/>
      <c r="I743" s="602"/>
      <c r="J743" s="602"/>
      <c r="K743" s="602"/>
      <c r="L743" s="602"/>
      <c r="M743" s="602"/>
      <c r="N743" s="602"/>
      <c r="O743" s="602"/>
      <c r="P743" s="602"/>
      <c r="Q743" s="602"/>
    </row>
    <row r="744" spans="1:17" x14ac:dyDescent="0.2">
      <c r="A744" s="601"/>
      <c r="B744" s="601"/>
      <c r="C744" s="240"/>
      <c r="G744" s="602"/>
      <c r="H744" s="602"/>
      <c r="I744" s="602"/>
      <c r="J744" s="602"/>
      <c r="K744" s="602"/>
      <c r="L744" s="602"/>
      <c r="M744" s="602"/>
      <c r="N744" s="602"/>
      <c r="O744" s="602"/>
      <c r="P744" s="602"/>
      <c r="Q744" s="602"/>
    </row>
  </sheetData>
  <autoFilter ref="G1:G744" xr:uid="{7B3C0289-5FA6-428B-9472-7FA9CF28417C}"/>
  <mergeCells count="7">
    <mergeCell ref="A689:I689"/>
    <mergeCell ref="A1:I1"/>
    <mergeCell ref="A2:I2"/>
    <mergeCell ref="A3:I3"/>
    <mergeCell ref="A4:I4"/>
    <mergeCell ref="A5:L5"/>
    <mergeCell ref="A6:L6"/>
  </mergeCells>
  <printOptions horizontalCentered="1" verticalCentered="1"/>
  <pageMargins left="0" right="0" top="0" bottom="0" header="0" footer="0"/>
  <pageSetup scale="52" orientation="landscape" horizontalDpi="4294967294" verticalDpi="300" r:id="rId1"/>
  <headerFooter alignWithMargins="0"/>
  <rowBreaks count="7" manualBreakCount="7">
    <brk id="108" max="12" man="1"/>
    <brk id="237" max="12" man="1"/>
    <brk id="334" max="12" man="1"/>
    <brk id="392" max="12" man="1"/>
    <brk id="465" max="12" man="1"/>
    <brk id="548" max="12" man="1"/>
    <brk id="649" max="1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9D42-66FE-4697-A775-47730764D94E}">
  <dimension ref="A1:AD740"/>
  <sheetViews>
    <sheetView tabSelected="1" view="pageBreakPreview" topLeftCell="A125" zoomScaleNormal="75" zoomScaleSheetLayoutView="100" workbookViewId="0">
      <selection activeCell="A689" sqref="A689"/>
    </sheetView>
  </sheetViews>
  <sheetFormatPr baseColWidth="10" defaultRowHeight="12.75" x14ac:dyDescent="0.2"/>
  <cols>
    <col min="1" max="1" width="21.28515625" style="212" customWidth="1"/>
    <col min="2" max="2" width="41.7109375" style="212" customWidth="1"/>
    <col min="3" max="3" width="18.28515625" style="212" bestFit="1" customWidth="1"/>
    <col min="4" max="4" width="4.7109375" style="212" customWidth="1"/>
    <col min="5" max="5" width="5.5703125" style="212" customWidth="1"/>
    <col min="6" max="6" width="4.7109375" style="212" customWidth="1"/>
    <col min="7" max="7" width="37.85546875" style="299" customWidth="1"/>
    <col min="8" max="8" width="0.140625" style="299" hidden="1" customWidth="1"/>
    <col min="9" max="11" width="18.28515625" style="236" bestFit="1" customWidth="1"/>
    <col min="12" max="12" width="17.140625" style="236" bestFit="1" customWidth="1"/>
    <col min="13" max="13" width="23" style="236" hidden="1" customWidth="1"/>
    <col min="14" max="14" width="6.42578125" style="211" bestFit="1" customWidth="1"/>
    <col min="15" max="15" width="25.7109375" style="211" customWidth="1"/>
    <col min="16" max="16" width="19.140625" style="210" customWidth="1"/>
    <col min="17" max="17" width="17.7109375" style="211" bestFit="1" customWidth="1"/>
    <col min="18" max="18" width="20.140625" style="212" bestFit="1" customWidth="1"/>
    <col min="19" max="256" width="11.42578125" style="212"/>
    <col min="257" max="257" width="21.28515625" style="212" customWidth="1"/>
    <col min="258" max="258" width="41.7109375" style="212" customWidth="1"/>
    <col min="259" max="259" width="18.28515625" style="212" bestFit="1" customWidth="1"/>
    <col min="260" max="260" width="4.7109375" style="212" customWidth="1"/>
    <col min="261" max="261" width="5.5703125" style="212" customWidth="1"/>
    <col min="262" max="262" width="4.7109375" style="212" customWidth="1"/>
    <col min="263" max="263" width="37.85546875" style="212" customWidth="1"/>
    <col min="264" max="264" width="0" style="212" hidden="1" customWidth="1"/>
    <col min="265" max="267" width="18.28515625" style="212" bestFit="1" customWidth="1"/>
    <col min="268" max="268" width="17.140625" style="212" bestFit="1" customWidth="1"/>
    <col min="269" max="269" width="0" style="212" hidden="1" customWidth="1"/>
    <col min="270" max="270" width="6.42578125" style="212" bestFit="1" customWidth="1"/>
    <col min="271" max="271" width="25.7109375" style="212" customWidth="1"/>
    <col min="272" max="272" width="19.140625" style="212" customWidth="1"/>
    <col min="273" max="273" width="17.7109375" style="212" bestFit="1" customWidth="1"/>
    <col min="274" max="274" width="20.140625" style="212" bestFit="1" customWidth="1"/>
    <col min="275" max="512" width="11.42578125" style="212"/>
    <col min="513" max="513" width="21.28515625" style="212" customWidth="1"/>
    <col min="514" max="514" width="41.7109375" style="212" customWidth="1"/>
    <col min="515" max="515" width="18.28515625" style="212" bestFit="1" customWidth="1"/>
    <col min="516" max="516" width="4.7109375" style="212" customWidth="1"/>
    <col min="517" max="517" width="5.5703125" style="212" customWidth="1"/>
    <col min="518" max="518" width="4.7109375" style="212" customWidth="1"/>
    <col min="519" max="519" width="37.85546875" style="212" customWidth="1"/>
    <col min="520" max="520" width="0" style="212" hidden="1" customWidth="1"/>
    <col min="521" max="523" width="18.28515625" style="212" bestFit="1" customWidth="1"/>
    <col min="524" max="524" width="17.140625" style="212" bestFit="1" customWidth="1"/>
    <col min="525" max="525" width="0" style="212" hidden="1" customWidth="1"/>
    <col min="526" max="526" width="6.42578125" style="212" bestFit="1" customWidth="1"/>
    <col min="527" max="527" width="25.7109375" style="212" customWidth="1"/>
    <col min="528" max="528" width="19.140625" style="212" customWidth="1"/>
    <col min="529" max="529" width="17.7109375" style="212" bestFit="1" customWidth="1"/>
    <col min="530" max="530" width="20.140625" style="212" bestFit="1" customWidth="1"/>
    <col min="531" max="768" width="11.42578125" style="212"/>
    <col min="769" max="769" width="21.28515625" style="212" customWidth="1"/>
    <col min="770" max="770" width="41.7109375" style="212" customWidth="1"/>
    <col min="771" max="771" width="18.28515625" style="212" bestFit="1" customWidth="1"/>
    <col min="772" max="772" width="4.7109375" style="212" customWidth="1"/>
    <col min="773" max="773" width="5.5703125" style="212" customWidth="1"/>
    <col min="774" max="774" width="4.7109375" style="212" customWidth="1"/>
    <col min="775" max="775" width="37.85546875" style="212" customWidth="1"/>
    <col min="776" max="776" width="0" style="212" hidden="1" customWidth="1"/>
    <col min="777" max="779" width="18.28515625" style="212" bestFit="1" customWidth="1"/>
    <col min="780" max="780" width="17.140625" style="212" bestFit="1" customWidth="1"/>
    <col min="781" max="781" width="0" style="212" hidden="1" customWidth="1"/>
    <col min="782" max="782" width="6.42578125" style="212" bestFit="1" customWidth="1"/>
    <col min="783" max="783" width="25.7109375" style="212" customWidth="1"/>
    <col min="784" max="784" width="19.140625" style="212" customWidth="1"/>
    <col min="785" max="785" width="17.7109375" style="212" bestFit="1" customWidth="1"/>
    <col min="786" max="786" width="20.140625" style="212" bestFit="1" customWidth="1"/>
    <col min="787" max="1024" width="11.42578125" style="212"/>
    <col min="1025" max="1025" width="21.28515625" style="212" customWidth="1"/>
    <col min="1026" max="1026" width="41.7109375" style="212" customWidth="1"/>
    <col min="1027" max="1027" width="18.28515625" style="212" bestFit="1" customWidth="1"/>
    <col min="1028" max="1028" width="4.7109375" style="212" customWidth="1"/>
    <col min="1029" max="1029" width="5.5703125" style="212" customWidth="1"/>
    <col min="1030" max="1030" width="4.7109375" style="212" customWidth="1"/>
    <col min="1031" max="1031" width="37.85546875" style="212" customWidth="1"/>
    <col min="1032" max="1032" width="0" style="212" hidden="1" customWidth="1"/>
    <col min="1033" max="1035" width="18.28515625" style="212" bestFit="1" customWidth="1"/>
    <col min="1036" max="1036" width="17.140625" style="212" bestFit="1" customWidth="1"/>
    <col min="1037" max="1037" width="0" style="212" hidden="1" customWidth="1"/>
    <col min="1038" max="1038" width="6.42578125" style="212" bestFit="1" customWidth="1"/>
    <col min="1039" max="1039" width="25.7109375" style="212" customWidth="1"/>
    <col min="1040" max="1040" width="19.140625" style="212" customWidth="1"/>
    <col min="1041" max="1041" width="17.7109375" style="212" bestFit="1" customWidth="1"/>
    <col min="1042" max="1042" width="20.140625" style="212" bestFit="1" customWidth="1"/>
    <col min="1043" max="1280" width="11.42578125" style="212"/>
    <col min="1281" max="1281" width="21.28515625" style="212" customWidth="1"/>
    <col min="1282" max="1282" width="41.7109375" style="212" customWidth="1"/>
    <col min="1283" max="1283" width="18.28515625" style="212" bestFit="1" customWidth="1"/>
    <col min="1284" max="1284" width="4.7109375" style="212" customWidth="1"/>
    <col min="1285" max="1285" width="5.5703125" style="212" customWidth="1"/>
    <col min="1286" max="1286" width="4.7109375" style="212" customWidth="1"/>
    <col min="1287" max="1287" width="37.85546875" style="212" customWidth="1"/>
    <col min="1288" max="1288" width="0" style="212" hidden="1" customWidth="1"/>
    <col min="1289" max="1291" width="18.28515625" style="212" bestFit="1" customWidth="1"/>
    <col min="1292" max="1292" width="17.140625" style="212" bestFit="1" customWidth="1"/>
    <col min="1293" max="1293" width="0" style="212" hidden="1" customWidth="1"/>
    <col min="1294" max="1294" width="6.42578125" style="212" bestFit="1" customWidth="1"/>
    <col min="1295" max="1295" width="25.7109375" style="212" customWidth="1"/>
    <col min="1296" max="1296" width="19.140625" style="212" customWidth="1"/>
    <col min="1297" max="1297" width="17.7109375" style="212" bestFit="1" customWidth="1"/>
    <col min="1298" max="1298" width="20.140625" style="212" bestFit="1" customWidth="1"/>
    <col min="1299" max="1536" width="11.42578125" style="212"/>
    <col min="1537" max="1537" width="21.28515625" style="212" customWidth="1"/>
    <col min="1538" max="1538" width="41.7109375" style="212" customWidth="1"/>
    <col min="1539" max="1539" width="18.28515625" style="212" bestFit="1" customWidth="1"/>
    <col min="1540" max="1540" width="4.7109375" style="212" customWidth="1"/>
    <col min="1541" max="1541" width="5.5703125" style="212" customWidth="1"/>
    <col min="1542" max="1542" width="4.7109375" style="212" customWidth="1"/>
    <col min="1543" max="1543" width="37.85546875" style="212" customWidth="1"/>
    <col min="1544" max="1544" width="0" style="212" hidden="1" customWidth="1"/>
    <col min="1545" max="1547" width="18.28515625" style="212" bestFit="1" customWidth="1"/>
    <col min="1548" max="1548" width="17.140625" style="212" bestFit="1" customWidth="1"/>
    <col min="1549" max="1549" width="0" style="212" hidden="1" customWidth="1"/>
    <col min="1550" max="1550" width="6.42578125" style="212" bestFit="1" customWidth="1"/>
    <col min="1551" max="1551" width="25.7109375" style="212" customWidth="1"/>
    <col min="1552" max="1552" width="19.140625" style="212" customWidth="1"/>
    <col min="1553" max="1553" width="17.7109375" style="212" bestFit="1" customWidth="1"/>
    <col min="1554" max="1554" width="20.140625" style="212" bestFit="1" customWidth="1"/>
    <col min="1555" max="1792" width="11.42578125" style="212"/>
    <col min="1793" max="1793" width="21.28515625" style="212" customWidth="1"/>
    <col min="1794" max="1794" width="41.7109375" style="212" customWidth="1"/>
    <col min="1795" max="1795" width="18.28515625" style="212" bestFit="1" customWidth="1"/>
    <col min="1796" max="1796" width="4.7109375" style="212" customWidth="1"/>
    <col min="1797" max="1797" width="5.5703125" style="212" customWidth="1"/>
    <col min="1798" max="1798" width="4.7109375" style="212" customWidth="1"/>
    <col min="1799" max="1799" width="37.85546875" style="212" customWidth="1"/>
    <col min="1800" max="1800" width="0" style="212" hidden="1" customWidth="1"/>
    <col min="1801" max="1803" width="18.28515625" style="212" bestFit="1" customWidth="1"/>
    <col min="1804" max="1804" width="17.140625" style="212" bestFit="1" customWidth="1"/>
    <col min="1805" max="1805" width="0" style="212" hidden="1" customWidth="1"/>
    <col min="1806" max="1806" width="6.42578125" style="212" bestFit="1" customWidth="1"/>
    <col min="1807" max="1807" width="25.7109375" style="212" customWidth="1"/>
    <col min="1808" max="1808" width="19.140625" style="212" customWidth="1"/>
    <col min="1809" max="1809" width="17.7109375" style="212" bestFit="1" customWidth="1"/>
    <col min="1810" max="1810" width="20.140625" style="212" bestFit="1" customWidth="1"/>
    <col min="1811" max="2048" width="11.42578125" style="212"/>
    <col min="2049" max="2049" width="21.28515625" style="212" customWidth="1"/>
    <col min="2050" max="2050" width="41.7109375" style="212" customWidth="1"/>
    <col min="2051" max="2051" width="18.28515625" style="212" bestFit="1" customWidth="1"/>
    <col min="2052" max="2052" width="4.7109375" style="212" customWidth="1"/>
    <col min="2053" max="2053" width="5.5703125" style="212" customWidth="1"/>
    <col min="2054" max="2054" width="4.7109375" style="212" customWidth="1"/>
    <col min="2055" max="2055" width="37.85546875" style="212" customWidth="1"/>
    <col min="2056" max="2056" width="0" style="212" hidden="1" customWidth="1"/>
    <col min="2057" max="2059" width="18.28515625" style="212" bestFit="1" customWidth="1"/>
    <col min="2060" max="2060" width="17.140625" style="212" bestFit="1" customWidth="1"/>
    <col min="2061" max="2061" width="0" style="212" hidden="1" customWidth="1"/>
    <col min="2062" max="2062" width="6.42578125" style="212" bestFit="1" customWidth="1"/>
    <col min="2063" max="2063" width="25.7109375" style="212" customWidth="1"/>
    <col min="2064" max="2064" width="19.140625" style="212" customWidth="1"/>
    <col min="2065" max="2065" width="17.7109375" style="212" bestFit="1" customWidth="1"/>
    <col min="2066" max="2066" width="20.140625" style="212" bestFit="1" customWidth="1"/>
    <col min="2067" max="2304" width="11.42578125" style="212"/>
    <col min="2305" max="2305" width="21.28515625" style="212" customWidth="1"/>
    <col min="2306" max="2306" width="41.7109375" style="212" customWidth="1"/>
    <col min="2307" max="2307" width="18.28515625" style="212" bestFit="1" customWidth="1"/>
    <col min="2308" max="2308" width="4.7109375" style="212" customWidth="1"/>
    <col min="2309" max="2309" width="5.5703125" style="212" customWidth="1"/>
    <col min="2310" max="2310" width="4.7109375" style="212" customWidth="1"/>
    <col min="2311" max="2311" width="37.85546875" style="212" customWidth="1"/>
    <col min="2312" max="2312" width="0" style="212" hidden="1" customWidth="1"/>
    <col min="2313" max="2315" width="18.28515625" style="212" bestFit="1" customWidth="1"/>
    <col min="2316" max="2316" width="17.140625" style="212" bestFit="1" customWidth="1"/>
    <col min="2317" max="2317" width="0" style="212" hidden="1" customWidth="1"/>
    <col min="2318" max="2318" width="6.42578125" style="212" bestFit="1" customWidth="1"/>
    <col min="2319" max="2319" width="25.7109375" style="212" customWidth="1"/>
    <col min="2320" max="2320" width="19.140625" style="212" customWidth="1"/>
    <col min="2321" max="2321" width="17.7109375" style="212" bestFit="1" customWidth="1"/>
    <col min="2322" max="2322" width="20.140625" style="212" bestFit="1" customWidth="1"/>
    <col min="2323" max="2560" width="11.42578125" style="212"/>
    <col min="2561" max="2561" width="21.28515625" style="212" customWidth="1"/>
    <col min="2562" max="2562" width="41.7109375" style="212" customWidth="1"/>
    <col min="2563" max="2563" width="18.28515625" style="212" bestFit="1" customWidth="1"/>
    <col min="2564" max="2564" width="4.7109375" style="212" customWidth="1"/>
    <col min="2565" max="2565" width="5.5703125" style="212" customWidth="1"/>
    <col min="2566" max="2566" width="4.7109375" style="212" customWidth="1"/>
    <col min="2567" max="2567" width="37.85546875" style="212" customWidth="1"/>
    <col min="2568" max="2568" width="0" style="212" hidden="1" customWidth="1"/>
    <col min="2569" max="2571" width="18.28515625" style="212" bestFit="1" customWidth="1"/>
    <col min="2572" max="2572" width="17.140625" style="212" bestFit="1" customWidth="1"/>
    <col min="2573" max="2573" width="0" style="212" hidden="1" customWidth="1"/>
    <col min="2574" max="2574" width="6.42578125" style="212" bestFit="1" customWidth="1"/>
    <col min="2575" max="2575" width="25.7109375" style="212" customWidth="1"/>
    <col min="2576" max="2576" width="19.140625" style="212" customWidth="1"/>
    <col min="2577" max="2577" width="17.7109375" style="212" bestFit="1" customWidth="1"/>
    <col min="2578" max="2578" width="20.140625" style="212" bestFit="1" customWidth="1"/>
    <col min="2579" max="2816" width="11.42578125" style="212"/>
    <col min="2817" max="2817" width="21.28515625" style="212" customWidth="1"/>
    <col min="2818" max="2818" width="41.7109375" style="212" customWidth="1"/>
    <col min="2819" max="2819" width="18.28515625" style="212" bestFit="1" customWidth="1"/>
    <col min="2820" max="2820" width="4.7109375" style="212" customWidth="1"/>
    <col min="2821" max="2821" width="5.5703125" style="212" customWidth="1"/>
    <col min="2822" max="2822" width="4.7109375" style="212" customWidth="1"/>
    <col min="2823" max="2823" width="37.85546875" style="212" customWidth="1"/>
    <col min="2824" max="2824" width="0" style="212" hidden="1" customWidth="1"/>
    <col min="2825" max="2827" width="18.28515625" style="212" bestFit="1" customWidth="1"/>
    <col min="2828" max="2828" width="17.140625" style="212" bestFit="1" customWidth="1"/>
    <col min="2829" max="2829" width="0" style="212" hidden="1" customWidth="1"/>
    <col min="2830" max="2830" width="6.42578125" style="212" bestFit="1" customWidth="1"/>
    <col min="2831" max="2831" width="25.7109375" style="212" customWidth="1"/>
    <col min="2832" max="2832" width="19.140625" style="212" customWidth="1"/>
    <col min="2833" max="2833" width="17.7109375" style="212" bestFit="1" customWidth="1"/>
    <col min="2834" max="2834" width="20.140625" style="212" bestFit="1" customWidth="1"/>
    <col min="2835" max="3072" width="11.42578125" style="212"/>
    <col min="3073" max="3073" width="21.28515625" style="212" customWidth="1"/>
    <col min="3074" max="3074" width="41.7109375" style="212" customWidth="1"/>
    <col min="3075" max="3075" width="18.28515625" style="212" bestFit="1" customWidth="1"/>
    <col min="3076" max="3076" width="4.7109375" style="212" customWidth="1"/>
    <col min="3077" max="3077" width="5.5703125" style="212" customWidth="1"/>
    <col min="3078" max="3078" width="4.7109375" style="212" customWidth="1"/>
    <col min="3079" max="3079" width="37.85546875" style="212" customWidth="1"/>
    <col min="3080" max="3080" width="0" style="212" hidden="1" customWidth="1"/>
    <col min="3081" max="3083" width="18.28515625" style="212" bestFit="1" customWidth="1"/>
    <col min="3084" max="3084" width="17.140625" style="212" bestFit="1" customWidth="1"/>
    <col min="3085" max="3085" width="0" style="212" hidden="1" customWidth="1"/>
    <col min="3086" max="3086" width="6.42578125" style="212" bestFit="1" customWidth="1"/>
    <col min="3087" max="3087" width="25.7109375" style="212" customWidth="1"/>
    <col min="3088" max="3088" width="19.140625" style="212" customWidth="1"/>
    <col min="3089" max="3089" width="17.7109375" style="212" bestFit="1" customWidth="1"/>
    <col min="3090" max="3090" width="20.140625" style="212" bestFit="1" customWidth="1"/>
    <col min="3091" max="3328" width="11.42578125" style="212"/>
    <col min="3329" max="3329" width="21.28515625" style="212" customWidth="1"/>
    <col min="3330" max="3330" width="41.7109375" style="212" customWidth="1"/>
    <col min="3331" max="3331" width="18.28515625" style="212" bestFit="1" customWidth="1"/>
    <col min="3332" max="3332" width="4.7109375" style="212" customWidth="1"/>
    <col min="3333" max="3333" width="5.5703125" style="212" customWidth="1"/>
    <col min="3334" max="3334" width="4.7109375" style="212" customWidth="1"/>
    <col min="3335" max="3335" width="37.85546875" style="212" customWidth="1"/>
    <col min="3336" max="3336" width="0" style="212" hidden="1" customWidth="1"/>
    <col min="3337" max="3339" width="18.28515625" style="212" bestFit="1" customWidth="1"/>
    <col min="3340" max="3340" width="17.140625" style="212" bestFit="1" customWidth="1"/>
    <col min="3341" max="3341" width="0" style="212" hidden="1" customWidth="1"/>
    <col min="3342" max="3342" width="6.42578125" style="212" bestFit="1" customWidth="1"/>
    <col min="3343" max="3343" width="25.7109375" style="212" customWidth="1"/>
    <col min="3344" max="3344" width="19.140625" style="212" customWidth="1"/>
    <col min="3345" max="3345" width="17.7109375" style="212" bestFit="1" customWidth="1"/>
    <col min="3346" max="3346" width="20.140625" style="212" bestFit="1" customWidth="1"/>
    <col min="3347" max="3584" width="11.42578125" style="212"/>
    <col min="3585" max="3585" width="21.28515625" style="212" customWidth="1"/>
    <col min="3586" max="3586" width="41.7109375" style="212" customWidth="1"/>
    <col min="3587" max="3587" width="18.28515625" style="212" bestFit="1" customWidth="1"/>
    <col min="3588" max="3588" width="4.7109375" style="212" customWidth="1"/>
    <col min="3589" max="3589" width="5.5703125" style="212" customWidth="1"/>
    <col min="3590" max="3590" width="4.7109375" style="212" customWidth="1"/>
    <col min="3591" max="3591" width="37.85546875" style="212" customWidth="1"/>
    <col min="3592" max="3592" width="0" style="212" hidden="1" customWidth="1"/>
    <col min="3593" max="3595" width="18.28515625" style="212" bestFit="1" customWidth="1"/>
    <col min="3596" max="3596" width="17.140625" style="212" bestFit="1" customWidth="1"/>
    <col min="3597" max="3597" width="0" style="212" hidden="1" customWidth="1"/>
    <col min="3598" max="3598" width="6.42578125" style="212" bestFit="1" customWidth="1"/>
    <col min="3599" max="3599" width="25.7109375" style="212" customWidth="1"/>
    <col min="3600" max="3600" width="19.140625" style="212" customWidth="1"/>
    <col min="3601" max="3601" width="17.7109375" style="212" bestFit="1" customWidth="1"/>
    <col min="3602" max="3602" width="20.140625" style="212" bestFit="1" customWidth="1"/>
    <col min="3603" max="3840" width="11.42578125" style="212"/>
    <col min="3841" max="3841" width="21.28515625" style="212" customWidth="1"/>
    <col min="3842" max="3842" width="41.7109375" style="212" customWidth="1"/>
    <col min="3843" max="3843" width="18.28515625" style="212" bestFit="1" customWidth="1"/>
    <col min="3844" max="3844" width="4.7109375" style="212" customWidth="1"/>
    <col min="3845" max="3845" width="5.5703125" style="212" customWidth="1"/>
    <col min="3846" max="3846" width="4.7109375" style="212" customWidth="1"/>
    <col min="3847" max="3847" width="37.85546875" style="212" customWidth="1"/>
    <col min="3848" max="3848" width="0" style="212" hidden="1" customWidth="1"/>
    <col min="3849" max="3851" width="18.28515625" style="212" bestFit="1" customWidth="1"/>
    <col min="3852" max="3852" width="17.140625" style="212" bestFit="1" customWidth="1"/>
    <col min="3853" max="3853" width="0" style="212" hidden="1" customWidth="1"/>
    <col min="3854" max="3854" width="6.42578125" style="212" bestFit="1" customWidth="1"/>
    <col min="3855" max="3855" width="25.7109375" style="212" customWidth="1"/>
    <col min="3856" max="3856" width="19.140625" style="212" customWidth="1"/>
    <col min="3857" max="3857" width="17.7109375" style="212" bestFit="1" customWidth="1"/>
    <col min="3858" max="3858" width="20.140625" style="212" bestFit="1" customWidth="1"/>
    <col min="3859" max="4096" width="11.42578125" style="212"/>
    <col min="4097" max="4097" width="21.28515625" style="212" customWidth="1"/>
    <col min="4098" max="4098" width="41.7109375" style="212" customWidth="1"/>
    <col min="4099" max="4099" width="18.28515625" style="212" bestFit="1" customWidth="1"/>
    <col min="4100" max="4100" width="4.7109375" style="212" customWidth="1"/>
    <col min="4101" max="4101" width="5.5703125" style="212" customWidth="1"/>
    <col min="4102" max="4102" width="4.7109375" style="212" customWidth="1"/>
    <col min="4103" max="4103" width="37.85546875" style="212" customWidth="1"/>
    <col min="4104" max="4104" width="0" style="212" hidden="1" customWidth="1"/>
    <col min="4105" max="4107" width="18.28515625" style="212" bestFit="1" customWidth="1"/>
    <col min="4108" max="4108" width="17.140625" style="212" bestFit="1" customWidth="1"/>
    <col min="4109" max="4109" width="0" style="212" hidden="1" customWidth="1"/>
    <col min="4110" max="4110" width="6.42578125" style="212" bestFit="1" customWidth="1"/>
    <col min="4111" max="4111" width="25.7109375" style="212" customWidth="1"/>
    <col min="4112" max="4112" width="19.140625" style="212" customWidth="1"/>
    <col min="4113" max="4113" width="17.7109375" style="212" bestFit="1" customWidth="1"/>
    <col min="4114" max="4114" width="20.140625" style="212" bestFit="1" customWidth="1"/>
    <col min="4115" max="4352" width="11.42578125" style="212"/>
    <col min="4353" max="4353" width="21.28515625" style="212" customWidth="1"/>
    <col min="4354" max="4354" width="41.7109375" style="212" customWidth="1"/>
    <col min="4355" max="4355" width="18.28515625" style="212" bestFit="1" customWidth="1"/>
    <col min="4356" max="4356" width="4.7109375" style="212" customWidth="1"/>
    <col min="4357" max="4357" width="5.5703125" style="212" customWidth="1"/>
    <col min="4358" max="4358" width="4.7109375" style="212" customWidth="1"/>
    <col min="4359" max="4359" width="37.85546875" style="212" customWidth="1"/>
    <col min="4360" max="4360" width="0" style="212" hidden="1" customWidth="1"/>
    <col min="4361" max="4363" width="18.28515625" style="212" bestFit="1" customWidth="1"/>
    <col min="4364" max="4364" width="17.140625" style="212" bestFit="1" customWidth="1"/>
    <col min="4365" max="4365" width="0" style="212" hidden="1" customWidth="1"/>
    <col min="4366" max="4366" width="6.42578125" style="212" bestFit="1" customWidth="1"/>
    <col min="4367" max="4367" width="25.7109375" style="212" customWidth="1"/>
    <col min="4368" max="4368" width="19.140625" style="212" customWidth="1"/>
    <col min="4369" max="4369" width="17.7109375" style="212" bestFit="1" customWidth="1"/>
    <col min="4370" max="4370" width="20.140625" style="212" bestFit="1" customWidth="1"/>
    <col min="4371" max="4608" width="11.42578125" style="212"/>
    <col min="4609" max="4609" width="21.28515625" style="212" customWidth="1"/>
    <col min="4610" max="4610" width="41.7109375" style="212" customWidth="1"/>
    <col min="4611" max="4611" width="18.28515625" style="212" bestFit="1" customWidth="1"/>
    <col min="4612" max="4612" width="4.7109375" style="212" customWidth="1"/>
    <col min="4613" max="4613" width="5.5703125" style="212" customWidth="1"/>
    <col min="4614" max="4614" width="4.7109375" style="212" customWidth="1"/>
    <col min="4615" max="4615" width="37.85546875" style="212" customWidth="1"/>
    <col min="4616" max="4616" width="0" style="212" hidden="1" customWidth="1"/>
    <col min="4617" max="4619" width="18.28515625" style="212" bestFit="1" customWidth="1"/>
    <col min="4620" max="4620" width="17.140625" style="212" bestFit="1" customWidth="1"/>
    <col min="4621" max="4621" width="0" style="212" hidden="1" customWidth="1"/>
    <col min="4622" max="4622" width="6.42578125" style="212" bestFit="1" customWidth="1"/>
    <col min="4623" max="4623" width="25.7109375" style="212" customWidth="1"/>
    <col min="4624" max="4624" width="19.140625" style="212" customWidth="1"/>
    <col min="4625" max="4625" width="17.7109375" style="212" bestFit="1" customWidth="1"/>
    <col min="4626" max="4626" width="20.140625" style="212" bestFit="1" customWidth="1"/>
    <col min="4627" max="4864" width="11.42578125" style="212"/>
    <col min="4865" max="4865" width="21.28515625" style="212" customWidth="1"/>
    <col min="4866" max="4866" width="41.7109375" style="212" customWidth="1"/>
    <col min="4867" max="4867" width="18.28515625" style="212" bestFit="1" customWidth="1"/>
    <col min="4868" max="4868" width="4.7109375" style="212" customWidth="1"/>
    <col min="4869" max="4869" width="5.5703125" style="212" customWidth="1"/>
    <col min="4870" max="4870" width="4.7109375" style="212" customWidth="1"/>
    <col min="4871" max="4871" width="37.85546875" style="212" customWidth="1"/>
    <col min="4872" max="4872" width="0" style="212" hidden="1" customWidth="1"/>
    <col min="4873" max="4875" width="18.28515625" style="212" bestFit="1" customWidth="1"/>
    <col min="4876" max="4876" width="17.140625" style="212" bestFit="1" customWidth="1"/>
    <col min="4877" max="4877" width="0" style="212" hidden="1" customWidth="1"/>
    <col min="4878" max="4878" width="6.42578125" style="212" bestFit="1" customWidth="1"/>
    <col min="4879" max="4879" width="25.7109375" style="212" customWidth="1"/>
    <col min="4880" max="4880" width="19.140625" style="212" customWidth="1"/>
    <col min="4881" max="4881" width="17.7109375" style="212" bestFit="1" customWidth="1"/>
    <col min="4882" max="4882" width="20.140625" style="212" bestFit="1" customWidth="1"/>
    <col min="4883" max="5120" width="11.42578125" style="212"/>
    <col min="5121" max="5121" width="21.28515625" style="212" customWidth="1"/>
    <col min="5122" max="5122" width="41.7109375" style="212" customWidth="1"/>
    <col min="5123" max="5123" width="18.28515625" style="212" bestFit="1" customWidth="1"/>
    <col min="5124" max="5124" width="4.7109375" style="212" customWidth="1"/>
    <col min="5125" max="5125" width="5.5703125" style="212" customWidth="1"/>
    <col min="5126" max="5126" width="4.7109375" style="212" customWidth="1"/>
    <col min="5127" max="5127" width="37.85546875" style="212" customWidth="1"/>
    <col min="5128" max="5128" width="0" style="212" hidden="1" customWidth="1"/>
    <col min="5129" max="5131" width="18.28515625" style="212" bestFit="1" customWidth="1"/>
    <col min="5132" max="5132" width="17.140625" style="212" bestFit="1" customWidth="1"/>
    <col min="5133" max="5133" width="0" style="212" hidden="1" customWidth="1"/>
    <col min="5134" max="5134" width="6.42578125" style="212" bestFit="1" customWidth="1"/>
    <col min="5135" max="5135" width="25.7109375" style="212" customWidth="1"/>
    <col min="5136" max="5136" width="19.140625" style="212" customWidth="1"/>
    <col min="5137" max="5137" width="17.7109375" style="212" bestFit="1" customWidth="1"/>
    <col min="5138" max="5138" width="20.140625" style="212" bestFit="1" customWidth="1"/>
    <col min="5139" max="5376" width="11.42578125" style="212"/>
    <col min="5377" max="5377" width="21.28515625" style="212" customWidth="1"/>
    <col min="5378" max="5378" width="41.7109375" style="212" customWidth="1"/>
    <col min="5379" max="5379" width="18.28515625" style="212" bestFit="1" customWidth="1"/>
    <col min="5380" max="5380" width="4.7109375" style="212" customWidth="1"/>
    <col min="5381" max="5381" width="5.5703125" style="212" customWidth="1"/>
    <col min="5382" max="5382" width="4.7109375" style="212" customWidth="1"/>
    <col min="5383" max="5383" width="37.85546875" style="212" customWidth="1"/>
    <col min="5384" max="5384" width="0" style="212" hidden="1" customWidth="1"/>
    <col min="5385" max="5387" width="18.28515625" style="212" bestFit="1" customWidth="1"/>
    <col min="5388" max="5388" width="17.140625" style="212" bestFit="1" customWidth="1"/>
    <col min="5389" max="5389" width="0" style="212" hidden="1" customWidth="1"/>
    <col min="5390" max="5390" width="6.42578125" style="212" bestFit="1" customWidth="1"/>
    <col min="5391" max="5391" width="25.7109375" style="212" customWidth="1"/>
    <col min="5392" max="5392" width="19.140625" style="212" customWidth="1"/>
    <col min="5393" max="5393" width="17.7109375" style="212" bestFit="1" customWidth="1"/>
    <col min="5394" max="5394" width="20.140625" style="212" bestFit="1" customWidth="1"/>
    <col min="5395" max="5632" width="11.42578125" style="212"/>
    <col min="5633" max="5633" width="21.28515625" style="212" customWidth="1"/>
    <col min="5634" max="5634" width="41.7109375" style="212" customWidth="1"/>
    <col min="5635" max="5635" width="18.28515625" style="212" bestFit="1" customWidth="1"/>
    <col min="5636" max="5636" width="4.7109375" style="212" customWidth="1"/>
    <col min="5637" max="5637" width="5.5703125" style="212" customWidth="1"/>
    <col min="5638" max="5638" width="4.7109375" style="212" customWidth="1"/>
    <col min="5639" max="5639" width="37.85546875" style="212" customWidth="1"/>
    <col min="5640" max="5640" width="0" style="212" hidden="1" customWidth="1"/>
    <col min="5641" max="5643" width="18.28515625" style="212" bestFit="1" customWidth="1"/>
    <col min="5644" max="5644" width="17.140625" style="212" bestFit="1" customWidth="1"/>
    <col min="5645" max="5645" width="0" style="212" hidden="1" customWidth="1"/>
    <col min="5646" max="5646" width="6.42578125" style="212" bestFit="1" customWidth="1"/>
    <col min="5647" max="5647" width="25.7109375" style="212" customWidth="1"/>
    <col min="5648" max="5648" width="19.140625" style="212" customWidth="1"/>
    <col min="5649" max="5649" width="17.7109375" style="212" bestFit="1" customWidth="1"/>
    <col min="5650" max="5650" width="20.140625" style="212" bestFit="1" customWidth="1"/>
    <col min="5651" max="5888" width="11.42578125" style="212"/>
    <col min="5889" max="5889" width="21.28515625" style="212" customWidth="1"/>
    <col min="5890" max="5890" width="41.7109375" style="212" customWidth="1"/>
    <col min="5891" max="5891" width="18.28515625" style="212" bestFit="1" customWidth="1"/>
    <col min="5892" max="5892" width="4.7109375" style="212" customWidth="1"/>
    <col min="5893" max="5893" width="5.5703125" style="212" customWidth="1"/>
    <col min="5894" max="5894" width="4.7109375" style="212" customWidth="1"/>
    <col min="5895" max="5895" width="37.85546875" style="212" customWidth="1"/>
    <col min="5896" max="5896" width="0" style="212" hidden="1" customWidth="1"/>
    <col min="5897" max="5899" width="18.28515625" style="212" bestFit="1" customWidth="1"/>
    <col min="5900" max="5900" width="17.140625" style="212" bestFit="1" customWidth="1"/>
    <col min="5901" max="5901" width="0" style="212" hidden="1" customWidth="1"/>
    <col min="5902" max="5902" width="6.42578125" style="212" bestFit="1" customWidth="1"/>
    <col min="5903" max="5903" width="25.7109375" style="212" customWidth="1"/>
    <col min="5904" max="5904" width="19.140625" style="212" customWidth="1"/>
    <col min="5905" max="5905" width="17.7109375" style="212" bestFit="1" customWidth="1"/>
    <col min="5906" max="5906" width="20.140625" style="212" bestFit="1" customWidth="1"/>
    <col min="5907" max="6144" width="11.42578125" style="212"/>
    <col min="6145" max="6145" width="21.28515625" style="212" customWidth="1"/>
    <col min="6146" max="6146" width="41.7109375" style="212" customWidth="1"/>
    <col min="6147" max="6147" width="18.28515625" style="212" bestFit="1" customWidth="1"/>
    <col min="6148" max="6148" width="4.7109375" style="212" customWidth="1"/>
    <col min="6149" max="6149" width="5.5703125" style="212" customWidth="1"/>
    <col min="6150" max="6150" width="4.7109375" style="212" customWidth="1"/>
    <col min="6151" max="6151" width="37.85546875" style="212" customWidth="1"/>
    <col min="6152" max="6152" width="0" style="212" hidden="1" customWidth="1"/>
    <col min="6153" max="6155" width="18.28515625" style="212" bestFit="1" customWidth="1"/>
    <col min="6156" max="6156" width="17.140625" style="212" bestFit="1" customWidth="1"/>
    <col min="6157" max="6157" width="0" style="212" hidden="1" customWidth="1"/>
    <col min="6158" max="6158" width="6.42578125" style="212" bestFit="1" customWidth="1"/>
    <col min="6159" max="6159" width="25.7109375" style="212" customWidth="1"/>
    <col min="6160" max="6160" width="19.140625" style="212" customWidth="1"/>
    <col min="6161" max="6161" width="17.7109375" style="212" bestFit="1" customWidth="1"/>
    <col min="6162" max="6162" width="20.140625" style="212" bestFit="1" customWidth="1"/>
    <col min="6163" max="6400" width="11.42578125" style="212"/>
    <col min="6401" max="6401" width="21.28515625" style="212" customWidth="1"/>
    <col min="6402" max="6402" width="41.7109375" style="212" customWidth="1"/>
    <col min="6403" max="6403" width="18.28515625" style="212" bestFit="1" customWidth="1"/>
    <col min="6404" max="6404" width="4.7109375" style="212" customWidth="1"/>
    <col min="6405" max="6405" width="5.5703125" style="212" customWidth="1"/>
    <col min="6406" max="6406" width="4.7109375" style="212" customWidth="1"/>
    <col min="6407" max="6407" width="37.85546875" style="212" customWidth="1"/>
    <col min="6408" max="6408" width="0" style="212" hidden="1" customWidth="1"/>
    <col min="6409" max="6411" width="18.28515625" style="212" bestFit="1" customWidth="1"/>
    <col min="6412" max="6412" width="17.140625" style="212" bestFit="1" customWidth="1"/>
    <col min="6413" max="6413" width="0" style="212" hidden="1" customWidth="1"/>
    <col min="6414" max="6414" width="6.42578125" style="212" bestFit="1" customWidth="1"/>
    <col min="6415" max="6415" width="25.7109375" style="212" customWidth="1"/>
    <col min="6416" max="6416" width="19.140625" style="212" customWidth="1"/>
    <col min="6417" max="6417" width="17.7109375" style="212" bestFit="1" customWidth="1"/>
    <col min="6418" max="6418" width="20.140625" style="212" bestFit="1" customWidth="1"/>
    <col min="6419" max="6656" width="11.42578125" style="212"/>
    <col min="6657" max="6657" width="21.28515625" style="212" customWidth="1"/>
    <col min="6658" max="6658" width="41.7109375" style="212" customWidth="1"/>
    <col min="6659" max="6659" width="18.28515625" style="212" bestFit="1" customWidth="1"/>
    <col min="6660" max="6660" width="4.7109375" style="212" customWidth="1"/>
    <col min="6661" max="6661" width="5.5703125" style="212" customWidth="1"/>
    <col min="6662" max="6662" width="4.7109375" style="212" customWidth="1"/>
    <col min="6663" max="6663" width="37.85546875" style="212" customWidth="1"/>
    <col min="6664" max="6664" width="0" style="212" hidden="1" customWidth="1"/>
    <col min="6665" max="6667" width="18.28515625" style="212" bestFit="1" customWidth="1"/>
    <col min="6668" max="6668" width="17.140625" style="212" bestFit="1" customWidth="1"/>
    <col min="6669" max="6669" width="0" style="212" hidden="1" customWidth="1"/>
    <col min="6670" max="6670" width="6.42578125" style="212" bestFit="1" customWidth="1"/>
    <col min="6671" max="6671" width="25.7109375" style="212" customWidth="1"/>
    <col min="6672" max="6672" width="19.140625" style="212" customWidth="1"/>
    <col min="6673" max="6673" width="17.7109375" style="212" bestFit="1" customWidth="1"/>
    <col min="6674" max="6674" width="20.140625" style="212" bestFit="1" customWidth="1"/>
    <col min="6675" max="6912" width="11.42578125" style="212"/>
    <col min="6913" max="6913" width="21.28515625" style="212" customWidth="1"/>
    <col min="6914" max="6914" width="41.7109375" style="212" customWidth="1"/>
    <col min="6915" max="6915" width="18.28515625" style="212" bestFit="1" customWidth="1"/>
    <col min="6916" max="6916" width="4.7109375" style="212" customWidth="1"/>
    <col min="6917" max="6917" width="5.5703125" style="212" customWidth="1"/>
    <col min="6918" max="6918" width="4.7109375" style="212" customWidth="1"/>
    <col min="6919" max="6919" width="37.85546875" style="212" customWidth="1"/>
    <col min="6920" max="6920" width="0" style="212" hidden="1" customWidth="1"/>
    <col min="6921" max="6923" width="18.28515625" style="212" bestFit="1" customWidth="1"/>
    <col min="6924" max="6924" width="17.140625" style="212" bestFit="1" customWidth="1"/>
    <col min="6925" max="6925" width="0" style="212" hidden="1" customWidth="1"/>
    <col min="6926" max="6926" width="6.42578125" style="212" bestFit="1" customWidth="1"/>
    <col min="6927" max="6927" width="25.7109375" style="212" customWidth="1"/>
    <col min="6928" max="6928" width="19.140625" style="212" customWidth="1"/>
    <col min="6929" max="6929" width="17.7109375" style="212" bestFit="1" customWidth="1"/>
    <col min="6930" max="6930" width="20.140625" style="212" bestFit="1" customWidth="1"/>
    <col min="6931" max="7168" width="11.42578125" style="212"/>
    <col min="7169" max="7169" width="21.28515625" style="212" customWidth="1"/>
    <col min="7170" max="7170" width="41.7109375" style="212" customWidth="1"/>
    <col min="7171" max="7171" width="18.28515625" style="212" bestFit="1" customWidth="1"/>
    <col min="7172" max="7172" width="4.7109375" style="212" customWidth="1"/>
    <col min="7173" max="7173" width="5.5703125" style="212" customWidth="1"/>
    <col min="7174" max="7174" width="4.7109375" style="212" customWidth="1"/>
    <col min="7175" max="7175" width="37.85546875" style="212" customWidth="1"/>
    <col min="7176" max="7176" width="0" style="212" hidden="1" customWidth="1"/>
    <col min="7177" max="7179" width="18.28515625" style="212" bestFit="1" customWidth="1"/>
    <col min="7180" max="7180" width="17.140625" style="212" bestFit="1" customWidth="1"/>
    <col min="7181" max="7181" width="0" style="212" hidden="1" customWidth="1"/>
    <col min="7182" max="7182" width="6.42578125" style="212" bestFit="1" customWidth="1"/>
    <col min="7183" max="7183" width="25.7109375" style="212" customWidth="1"/>
    <col min="7184" max="7184" width="19.140625" style="212" customWidth="1"/>
    <col min="7185" max="7185" width="17.7109375" style="212" bestFit="1" customWidth="1"/>
    <col min="7186" max="7186" width="20.140625" style="212" bestFit="1" customWidth="1"/>
    <col min="7187" max="7424" width="11.42578125" style="212"/>
    <col min="7425" max="7425" width="21.28515625" style="212" customWidth="1"/>
    <col min="7426" max="7426" width="41.7109375" style="212" customWidth="1"/>
    <col min="7427" max="7427" width="18.28515625" style="212" bestFit="1" customWidth="1"/>
    <col min="7428" max="7428" width="4.7109375" style="212" customWidth="1"/>
    <col min="7429" max="7429" width="5.5703125" style="212" customWidth="1"/>
    <col min="7430" max="7430" width="4.7109375" style="212" customWidth="1"/>
    <col min="7431" max="7431" width="37.85546875" style="212" customWidth="1"/>
    <col min="7432" max="7432" width="0" style="212" hidden="1" customWidth="1"/>
    <col min="7433" max="7435" width="18.28515625" style="212" bestFit="1" customWidth="1"/>
    <col min="7436" max="7436" width="17.140625" style="212" bestFit="1" customWidth="1"/>
    <col min="7437" max="7437" width="0" style="212" hidden="1" customWidth="1"/>
    <col min="7438" max="7438" width="6.42578125" style="212" bestFit="1" customWidth="1"/>
    <col min="7439" max="7439" width="25.7109375" style="212" customWidth="1"/>
    <col min="7440" max="7440" width="19.140625" style="212" customWidth="1"/>
    <col min="7441" max="7441" width="17.7109375" style="212" bestFit="1" customWidth="1"/>
    <col min="7442" max="7442" width="20.140625" style="212" bestFit="1" customWidth="1"/>
    <col min="7443" max="7680" width="11.42578125" style="212"/>
    <col min="7681" max="7681" width="21.28515625" style="212" customWidth="1"/>
    <col min="7682" max="7682" width="41.7109375" style="212" customWidth="1"/>
    <col min="7683" max="7683" width="18.28515625" style="212" bestFit="1" customWidth="1"/>
    <col min="7684" max="7684" width="4.7109375" style="212" customWidth="1"/>
    <col min="7685" max="7685" width="5.5703125" style="212" customWidth="1"/>
    <col min="7686" max="7686" width="4.7109375" style="212" customWidth="1"/>
    <col min="7687" max="7687" width="37.85546875" style="212" customWidth="1"/>
    <col min="7688" max="7688" width="0" style="212" hidden="1" customWidth="1"/>
    <col min="7689" max="7691" width="18.28515625" style="212" bestFit="1" customWidth="1"/>
    <col min="7692" max="7692" width="17.140625" style="212" bestFit="1" customWidth="1"/>
    <col min="7693" max="7693" width="0" style="212" hidden="1" customWidth="1"/>
    <col min="7694" max="7694" width="6.42578125" style="212" bestFit="1" customWidth="1"/>
    <col min="7695" max="7695" width="25.7109375" style="212" customWidth="1"/>
    <col min="7696" max="7696" width="19.140625" style="212" customWidth="1"/>
    <col min="7697" max="7697" width="17.7109375" style="212" bestFit="1" customWidth="1"/>
    <col min="7698" max="7698" width="20.140625" style="212" bestFit="1" customWidth="1"/>
    <col min="7699" max="7936" width="11.42578125" style="212"/>
    <col min="7937" max="7937" width="21.28515625" style="212" customWidth="1"/>
    <col min="7938" max="7938" width="41.7109375" style="212" customWidth="1"/>
    <col min="7939" max="7939" width="18.28515625" style="212" bestFit="1" customWidth="1"/>
    <col min="7940" max="7940" width="4.7109375" style="212" customWidth="1"/>
    <col min="7941" max="7941" width="5.5703125" style="212" customWidth="1"/>
    <col min="7942" max="7942" width="4.7109375" style="212" customWidth="1"/>
    <col min="7943" max="7943" width="37.85546875" style="212" customWidth="1"/>
    <col min="7944" max="7944" width="0" style="212" hidden="1" customWidth="1"/>
    <col min="7945" max="7947" width="18.28515625" style="212" bestFit="1" customWidth="1"/>
    <col min="7948" max="7948" width="17.140625" style="212" bestFit="1" customWidth="1"/>
    <col min="7949" max="7949" width="0" style="212" hidden="1" customWidth="1"/>
    <col min="7950" max="7950" width="6.42578125" style="212" bestFit="1" customWidth="1"/>
    <col min="7951" max="7951" width="25.7109375" style="212" customWidth="1"/>
    <col min="7952" max="7952" width="19.140625" style="212" customWidth="1"/>
    <col min="7953" max="7953" width="17.7109375" style="212" bestFit="1" customWidth="1"/>
    <col min="7954" max="7954" width="20.140625" style="212" bestFit="1" customWidth="1"/>
    <col min="7955" max="8192" width="11.42578125" style="212"/>
    <col min="8193" max="8193" width="21.28515625" style="212" customWidth="1"/>
    <col min="8194" max="8194" width="41.7109375" style="212" customWidth="1"/>
    <col min="8195" max="8195" width="18.28515625" style="212" bestFit="1" customWidth="1"/>
    <col min="8196" max="8196" width="4.7109375" style="212" customWidth="1"/>
    <col min="8197" max="8197" width="5.5703125" style="212" customWidth="1"/>
    <col min="8198" max="8198" width="4.7109375" style="212" customWidth="1"/>
    <col min="8199" max="8199" width="37.85546875" style="212" customWidth="1"/>
    <col min="8200" max="8200" width="0" style="212" hidden="1" customWidth="1"/>
    <col min="8201" max="8203" width="18.28515625" style="212" bestFit="1" customWidth="1"/>
    <col min="8204" max="8204" width="17.140625" style="212" bestFit="1" customWidth="1"/>
    <col min="8205" max="8205" width="0" style="212" hidden="1" customWidth="1"/>
    <col min="8206" max="8206" width="6.42578125" style="212" bestFit="1" customWidth="1"/>
    <col min="8207" max="8207" width="25.7109375" style="212" customWidth="1"/>
    <col min="8208" max="8208" width="19.140625" style="212" customWidth="1"/>
    <col min="8209" max="8209" width="17.7109375" style="212" bestFit="1" customWidth="1"/>
    <col min="8210" max="8210" width="20.140625" style="212" bestFit="1" customWidth="1"/>
    <col min="8211" max="8448" width="11.42578125" style="212"/>
    <col min="8449" max="8449" width="21.28515625" style="212" customWidth="1"/>
    <col min="8450" max="8450" width="41.7109375" style="212" customWidth="1"/>
    <col min="8451" max="8451" width="18.28515625" style="212" bestFit="1" customWidth="1"/>
    <col min="8452" max="8452" width="4.7109375" style="212" customWidth="1"/>
    <col min="8453" max="8453" width="5.5703125" style="212" customWidth="1"/>
    <col min="8454" max="8454" width="4.7109375" style="212" customWidth="1"/>
    <col min="8455" max="8455" width="37.85546875" style="212" customWidth="1"/>
    <col min="8456" max="8456" width="0" style="212" hidden="1" customWidth="1"/>
    <col min="8457" max="8459" width="18.28515625" style="212" bestFit="1" customWidth="1"/>
    <col min="8460" max="8460" width="17.140625" style="212" bestFit="1" customWidth="1"/>
    <col min="8461" max="8461" width="0" style="212" hidden="1" customWidth="1"/>
    <col min="8462" max="8462" width="6.42578125" style="212" bestFit="1" customWidth="1"/>
    <col min="8463" max="8463" width="25.7109375" style="212" customWidth="1"/>
    <col min="8464" max="8464" width="19.140625" style="212" customWidth="1"/>
    <col min="8465" max="8465" width="17.7109375" style="212" bestFit="1" customWidth="1"/>
    <col min="8466" max="8466" width="20.140625" style="212" bestFit="1" customWidth="1"/>
    <col min="8467" max="8704" width="11.42578125" style="212"/>
    <col min="8705" max="8705" width="21.28515625" style="212" customWidth="1"/>
    <col min="8706" max="8706" width="41.7109375" style="212" customWidth="1"/>
    <col min="8707" max="8707" width="18.28515625" style="212" bestFit="1" customWidth="1"/>
    <col min="8708" max="8708" width="4.7109375" style="212" customWidth="1"/>
    <col min="8709" max="8709" width="5.5703125" style="212" customWidth="1"/>
    <col min="8710" max="8710" width="4.7109375" style="212" customWidth="1"/>
    <col min="8711" max="8711" width="37.85546875" style="212" customWidth="1"/>
    <col min="8712" max="8712" width="0" style="212" hidden="1" customWidth="1"/>
    <col min="8713" max="8715" width="18.28515625" style="212" bestFit="1" customWidth="1"/>
    <col min="8716" max="8716" width="17.140625" style="212" bestFit="1" customWidth="1"/>
    <col min="8717" max="8717" width="0" style="212" hidden="1" customWidth="1"/>
    <col min="8718" max="8718" width="6.42578125" style="212" bestFit="1" customWidth="1"/>
    <col min="8719" max="8719" width="25.7109375" style="212" customWidth="1"/>
    <col min="8720" max="8720" width="19.140625" style="212" customWidth="1"/>
    <col min="8721" max="8721" width="17.7109375" style="212" bestFit="1" customWidth="1"/>
    <col min="8722" max="8722" width="20.140625" style="212" bestFit="1" customWidth="1"/>
    <col min="8723" max="8960" width="11.42578125" style="212"/>
    <col min="8961" max="8961" width="21.28515625" style="212" customWidth="1"/>
    <col min="8962" max="8962" width="41.7109375" style="212" customWidth="1"/>
    <col min="8963" max="8963" width="18.28515625" style="212" bestFit="1" customWidth="1"/>
    <col min="8964" max="8964" width="4.7109375" style="212" customWidth="1"/>
    <col min="8965" max="8965" width="5.5703125" style="212" customWidth="1"/>
    <col min="8966" max="8966" width="4.7109375" style="212" customWidth="1"/>
    <col min="8967" max="8967" width="37.85546875" style="212" customWidth="1"/>
    <col min="8968" max="8968" width="0" style="212" hidden="1" customWidth="1"/>
    <col min="8969" max="8971" width="18.28515625" style="212" bestFit="1" customWidth="1"/>
    <col min="8972" max="8972" width="17.140625" style="212" bestFit="1" customWidth="1"/>
    <col min="8973" max="8973" width="0" style="212" hidden="1" customWidth="1"/>
    <col min="8974" max="8974" width="6.42578125" style="212" bestFit="1" customWidth="1"/>
    <col min="8975" max="8975" width="25.7109375" style="212" customWidth="1"/>
    <col min="8976" max="8976" width="19.140625" style="212" customWidth="1"/>
    <col min="8977" max="8977" width="17.7109375" style="212" bestFit="1" customWidth="1"/>
    <col min="8978" max="8978" width="20.140625" style="212" bestFit="1" customWidth="1"/>
    <col min="8979" max="9216" width="11.42578125" style="212"/>
    <col min="9217" max="9217" width="21.28515625" style="212" customWidth="1"/>
    <col min="9218" max="9218" width="41.7109375" style="212" customWidth="1"/>
    <col min="9219" max="9219" width="18.28515625" style="212" bestFit="1" customWidth="1"/>
    <col min="9220" max="9220" width="4.7109375" style="212" customWidth="1"/>
    <col min="9221" max="9221" width="5.5703125" style="212" customWidth="1"/>
    <col min="9222" max="9222" width="4.7109375" style="212" customWidth="1"/>
    <col min="9223" max="9223" width="37.85546875" style="212" customWidth="1"/>
    <col min="9224" max="9224" width="0" style="212" hidden="1" customWidth="1"/>
    <col min="9225" max="9227" width="18.28515625" style="212" bestFit="1" customWidth="1"/>
    <col min="9228" max="9228" width="17.140625" style="212" bestFit="1" customWidth="1"/>
    <col min="9229" max="9229" width="0" style="212" hidden="1" customWidth="1"/>
    <col min="9230" max="9230" width="6.42578125" style="212" bestFit="1" customWidth="1"/>
    <col min="9231" max="9231" width="25.7109375" style="212" customWidth="1"/>
    <col min="9232" max="9232" width="19.140625" style="212" customWidth="1"/>
    <col min="9233" max="9233" width="17.7109375" style="212" bestFit="1" customWidth="1"/>
    <col min="9234" max="9234" width="20.140625" style="212" bestFit="1" customWidth="1"/>
    <col min="9235" max="9472" width="11.42578125" style="212"/>
    <col min="9473" max="9473" width="21.28515625" style="212" customWidth="1"/>
    <col min="9474" max="9474" width="41.7109375" style="212" customWidth="1"/>
    <col min="9475" max="9475" width="18.28515625" style="212" bestFit="1" customWidth="1"/>
    <col min="9476" max="9476" width="4.7109375" style="212" customWidth="1"/>
    <col min="9477" max="9477" width="5.5703125" style="212" customWidth="1"/>
    <col min="9478" max="9478" width="4.7109375" style="212" customWidth="1"/>
    <col min="9479" max="9479" width="37.85546875" style="212" customWidth="1"/>
    <col min="9480" max="9480" width="0" style="212" hidden="1" customWidth="1"/>
    <col min="9481" max="9483" width="18.28515625" style="212" bestFit="1" customWidth="1"/>
    <col min="9484" max="9484" width="17.140625" style="212" bestFit="1" customWidth="1"/>
    <col min="9485" max="9485" width="0" style="212" hidden="1" customWidth="1"/>
    <col min="9486" max="9486" width="6.42578125" style="212" bestFit="1" customWidth="1"/>
    <col min="9487" max="9487" width="25.7109375" style="212" customWidth="1"/>
    <col min="9488" max="9488" width="19.140625" style="212" customWidth="1"/>
    <col min="9489" max="9489" width="17.7109375" style="212" bestFit="1" customWidth="1"/>
    <col min="9490" max="9490" width="20.140625" style="212" bestFit="1" customWidth="1"/>
    <col min="9491" max="9728" width="11.42578125" style="212"/>
    <col min="9729" max="9729" width="21.28515625" style="212" customWidth="1"/>
    <col min="9730" max="9730" width="41.7109375" style="212" customWidth="1"/>
    <col min="9731" max="9731" width="18.28515625" style="212" bestFit="1" customWidth="1"/>
    <col min="9732" max="9732" width="4.7109375" style="212" customWidth="1"/>
    <col min="9733" max="9733" width="5.5703125" style="212" customWidth="1"/>
    <col min="9734" max="9734" width="4.7109375" style="212" customWidth="1"/>
    <col min="9735" max="9735" width="37.85546875" style="212" customWidth="1"/>
    <col min="9736" max="9736" width="0" style="212" hidden="1" customWidth="1"/>
    <col min="9737" max="9739" width="18.28515625" style="212" bestFit="1" customWidth="1"/>
    <col min="9740" max="9740" width="17.140625" style="212" bestFit="1" customWidth="1"/>
    <col min="9741" max="9741" width="0" style="212" hidden="1" customWidth="1"/>
    <col min="9742" max="9742" width="6.42578125" style="212" bestFit="1" customWidth="1"/>
    <col min="9743" max="9743" width="25.7109375" style="212" customWidth="1"/>
    <col min="9744" max="9744" width="19.140625" style="212" customWidth="1"/>
    <col min="9745" max="9745" width="17.7109375" style="212" bestFit="1" customWidth="1"/>
    <col min="9746" max="9746" width="20.140625" style="212" bestFit="1" customWidth="1"/>
    <col min="9747" max="9984" width="11.42578125" style="212"/>
    <col min="9985" max="9985" width="21.28515625" style="212" customWidth="1"/>
    <col min="9986" max="9986" width="41.7109375" style="212" customWidth="1"/>
    <col min="9987" max="9987" width="18.28515625" style="212" bestFit="1" customWidth="1"/>
    <col min="9988" max="9988" width="4.7109375" style="212" customWidth="1"/>
    <col min="9989" max="9989" width="5.5703125" style="212" customWidth="1"/>
    <col min="9990" max="9990" width="4.7109375" style="212" customWidth="1"/>
    <col min="9991" max="9991" width="37.85546875" style="212" customWidth="1"/>
    <col min="9992" max="9992" width="0" style="212" hidden="1" customWidth="1"/>
    <col min="9993" max="9995" width="18.28515625" style="212" bestFit="1" customWidth="1"/>
    <col min="9996" max="9996" width="17.140625" style="212" bestFit="1" customWidth="1"/>
    <col min="9997" max="9997" width="0" style="212" hidden="1" customWidth="1"/>
    <col min="9998" max="9998" width="6.42578125" style="212" bestFit="1" customWidth="1"/>
    <col min="9999" max="9999" width="25.7109375" style="212" customWidth="1"/>
    <col min="10000" max="10000" width="19.140625" style="212" customWidth="1"/>
    <col min="10001" max="10001" width="17.7109375" style="212" bestFit="1" customWidth="1"/>
    <col min="10002" max="10002" width="20.140625" style="212" bestFit="1" customWidth="1"/>
    <col min="10003" max="10240" width="11.42578125" style="212"/>
    <col min="10241" max="10241" width="21.28515625" style="212" customWidth="1"/>
    <col min="10242" max="10242" width="41.7109375" style="212" customWidth="1"/>
    <col min="10243" max="10243" width="18.28515625" style="212" bestFit="1" customWidth="1"/>
    <col min="10244" max="10244" width="4.7109375" style="212" customWidth="1"/>
    <col min="10245" max="10245" width="5.5703125" style="212" customWidth="1"/>
    <col min="10246" max="10246" width="4.7109375" style="212" customWidth="1"/>
    <col min="10247" max="10247" width="37.85546875" style="212" customWidth="1"/>
    <col min="10248" max="10248" width="0" style="212" hidden="1" customWidth="1"/>
    <col min="10249" max="10251" width="18.28515625" style="212" bestFit="1" customWidth="1"/>
    <col min="10252" max="10252" width="17.140625" style="212" bestFit="1" customWidth="1"/>
    <col min="10253" max="10253" width="0" style="212" hidden="1" customWidth="1"/>
    <col min="10254" max="10254" width="6.42578125" style="212" bestFit="1" customWidth="1"/>
    <col min="10255" max="10255" width="25.7109375" style="212" customWidth="1"/>
    <col min="10256" max="10256" width="19.140625" style="212" customWidth="1"/>
    <col min="10257" max="10257" width="17.7109375" style="212" bestFit="1" customWidth="1"/>
    <col min="10258" max="10258" width="20.140625" style="212" bestFit="1" customWidth="1"/>
    <col min="10259" max="10496" width="11.42578125" style="212"/>
    <col min="10497" max="10497" width="21.28515625" style="212" customWidth="1"/>
    <col min="10498" max="10498" width="41.7109375" style="212" customWidth="1"/>
    <col min="10499" max="10499" width="18.28515625" style="212" bestFit="1" customWidth="1"/>
    <col min="10500" max="10500" width="4.7109375" style="212" customWidth="1"/>
    <col min="10501" max="10501" width="5.5703125" style="212" customWidth="1"/>
    <col min="10502" max="10502" width="4.7109375" style="212" customWidth="1"/>
    <col min="10503" max="10503" width="37.85546875" style="212" customWidth="1"/>
    <col min="10504" max="10504" width="0" style="212" hidden="1" customWidth="1"/>
    <col min="10505" max="10507" width="18.28515625" style="212" bestFit="1" customWidth="1"/>
    <col min="10508" max="10508" width="17.140625" style="212" bestFit="1" customWidth="1"/>
    <col min="10509" max="10509" width="0" style="212" hidden="1" customWidth="1"/>
    <col min="10510" max="10510" width="6.42578125" style="212" bestFit="1" customWidth="1"/>
    <col min="10511" max="10511" width="25.7109375" style="212" customWidth="1"/>
    <col min="10512" max="10512" width="19.140625" style="212" customWidth="1"/>
    <col min="10513" max="10513" width="17.7109375" style="212" bestFit="1" customWidth="1"/>
    <col min="10514" max="10514" width="20.140625" style="212" bestFit="1" customWidth="1"/>
    <col min="10515" max="10752" width="11.42578125" style="212"/>
    <col min="10753" max="10753" width="21.28515625" style="212" customWidth="1"/>
    <col min="10754" max="10754" width="41.7109375" style="212" customWidth="1"/>
    <col min="10755" max="10755" width="18.28515625" style="212" bestFit="1" customWidth="1"/>
    <col min="10756" max="10756" width="4.7109375" style="212" customWidth="1"/>
    <col min="10757" max="10757" width="5.5703125" style="212" customWidth="1"/>
    <col min="10758" max="10758" width="4.7109375" style="212" customWidth="1"/>
    <col min="10759" max="10759" width="37.85546875" style="212" customWidth="1"/>
    <col min="10760" max="10760" width="0" style="212" hidden="1" customWidth="1"/>
    <col min="10761" max="10763" width="18.28515625" style="212" bestFit="1" customWidth="1"/>
    <col min="10764" max="10764" width="17.140625" style="212" bestFit="1" customWidth="1"/>
    <col min="10765" max="10765" width="0" style="212" hidden="1" customWidth="1"/>
    <col min="10766" max="10766" width="6.42578125" style="212" bestFit="1" customWidth="1"/>
    <col min="10767" max="10767" width="25.7109375" style="212" customWidth="1"/>
    <col min="10768" max="10768" width="19.140625" style="212" customWidth="1"/>
    <col min="10769" max="10769" width="17.7109375" style="212" bestFit="1" customWidth="1"/>
    <col min="10770" max="10770" width="20.140625" style="212" bestFit="1" customWidth="1"/>
    <col min="10771" max="11008" width="11.42578125" style="212"/>
    <col min="11009" max="11009" width="21.28515625" style="212" customWidth="1"/>
    <col min="11010" max="11010" width="41.7109375" style="212" customWidth="1"/>
    <col min="11011" max="11011" width="18.28515625" style="212" bestFit="1" customWidth="1"/>
    <col min="11012" max="11012" width="4.7109375" style="212" customWidth="1"/>
    <col min="11013" max="11013" width="5.5703125" style="212" customWidth="1"/>
    <col min="11014" max="11014" width="4.7109375" style="212" customWidth="1"/>
    <col min="11015" max="11015" width="37.85546875" style="212" customWidth="1"/>
    <col min="11016" max="11016" width="0" style="212" hidden="1" customWidth="1"/>
    <col min="11017" max="11019" width="18.28515625" style="212" bestFit="1" customWidth="1"/>
    <col min="11020" max="11020" width="17.140625" style="212" bestFit="1" customWidth="1"/>
    <col min="11021" max="11021" width="0" style="212" hidden="1" customWidth="1"/>
    <col min="11022" max="11022" width="6.42578125" style="212" bestFit="1" customWidth="1"/>
    <col min="11023" max="11023" width="25.7109375" style="212" customWidth="1"/>
    <col min="11024" max="11024" width="19.140625" style="212" customWidth="1"/>
    <col min="11025" max="11025" width="17.7109375" style="212" bestFit="1" customWidth="1"/>
    <col min="11026" max="11026" width="20.140625" style="212" bestFit="1" customWidth="1"/>
    <col min="11027" max="11264" width="11.42578125" style="212"/>
    <col min="11265" max="11265" width="21.28515625" style="212" customWidth="1"/>
    <col min="11266" max="11266" width="41.7109375" style="212" customWidth="1"/>
    <col min="11267" max="11267" width="18.28515625" style="212" bestFit="1" customWidth="1"/>
    <col min="11268" max="11268" width="4.7109375" style="212" customWidth="1"/>
    <col min="11269" max="11269" width="5.5703125" style="212" customWidth="1"/>
    <col min="11270" max="11270" width="4.7109375" style="212" customWidth="1"/>
    <col min="11271" max="11271" width="37.85546875" style="212" customWidth="1"/>
    <col min="11272" max="11272" width="0" style="212" hidden="1" customWidth="1"/>
    <col min="11273" max="11275" width="18.28515625" style="212" bestFit="1" customWidth="1"/>
    <col min="11276" max="11276" width="17.140625" style="212" bestFit="1" customWidth="1"/>
    <col min="11277" max="11277" width="0" style="212" hidden="1" customWidth="1"/>
    <col min="11278" max="11278" width="6.42578125" style="212" bestFit="1" customWidth="1"/>
    <col min="11279" max="11279" width="25.7109375" style="212" customWidth="1"/>
    <col min="11280" max="11280" width="19.140625" style="212" customWidth="1"/>
    <col min="11281" max="11281" width="17.7109375" style="212" bestFit="1" customWidth="1"/>
    <col min="11282" max="11282" width="20.140625" style="212" bestFit="1" customWidth="1"/>
    <col min="11283" max="11520" width="11.42578125" style="212"/>
    <col min="11521" max="11521" width="21.28515625" style="212" customWidth="1"/>
    <col min="11522" max="11522" width="41.7109375" style="212" customWidth="1"/>
    <col min="11523" max="11523" width="18.28515625" style="212" bestFit="1" customWidth="1"/>
    <col min="11524" max="11524" width="4.7109375" style="212" customWidth="1"/>
    <col min="11525" max="11525" width="5.5703125" style="212" customWidth="1"/>
    <col min="11526" max="11526" width="4.7109375" style="212" customWidth="1"/>
    <col min="11527" max="11527" width="37.85546875" style="212" customWidth="1"/>
    <col min="11528" max="11528" width="0" style="212" hidden="1" customWidth="1"/>
    <col min="11529" max="11531" width="18.28515625" style="212" bestFit="1" customWidth="1"/>
    <col min="11532" max="11532" width="17.140625" style="212" bestFit="1" customWidth="1"/>
    <col min="11533" max="11533" width="0" style="212" hidden="1" customWidth="1"/>
    <col min="11534" max="11534" width="6.42578125" style="212" bestFit="1" customWidth="1"/>
    <col min="11535" max="11535" width="25.7109375" style="212" customWidth="1"/>
    <col min="11536" max="11536" width="19.140625" style="212" customWidth="1"/>
    <col min="11537" max="11537" width="17.7109375" style="212" bestFit="1" customWidth="1"/>
    <col min="11538" max="11538" width="20.140625" style="212" bestFit="1" customWidth="1"/>
    <col min="11539" max="11776" width="11.42578125" style="212"/>
    <col min="11777" max="11777" width="21.28515625" style="212" customWidth="1"/>
    <col min="11778" max="11778" width="41.7109375" style="212" customWidth="1"/>
    <col min="11779" max="11779" width="18.28515625" style="212" bestFit="1" customWidth="1"/>
    <col min="11780" max="11780" width="4.7109375" style="212" customWidth="1"/>
    <col min="11781" max="11781" width="5.5703125" style="212" customWidth="1"/>
    <col min="11782" max="11782" width="4.7109375" style="212" customWidth="1"/>
    <col min="11783" max="11783" width="37.85546875" style="212" customWidth="1"/>
    <col min="11784" max="11784" width="0" style="212" hidden="1" customWidth="1"/>
    <col min="11785" max="11787" width="18.28515625" style="212" bestFit="1" customWidth="1"/>
    <col min="11788" max="11788" width="17.140625" style="212" bestFit="1" customWidth="1"/>
    <col min="11789" max="11789" width="0" style="212" hidden="1" customWidth="1"/>
    <col min="11790" max="11790" width="6.42578125" style="212" bestFit="1" customWidth="1"/>
    <col min="11791" max="11791" width="25.7109375" style="212" customWidth="1"/>
    <col min="11792" max="11792" width="19.140625" style="212" customWidth="1"/>
    <col min="11793" max="11793" width="17.7109375" style="212" bestFit="1" customWidth="1"/>
    <col min="11794" max="11794" width="20.140625" style="212" bestFit="1" customWidth="1"/>
    <col min="11795" max="12032" width="11.42578125" style="212"/>
    <col min="12033" max="12033" width="21.28515625" style="212" customWidth="1"/>
    <col min="12034" max="12034" width="41.7109375" style="212" customWidth="1"/>
    <col min="12035" max="12035" width="18.28515625" style="212" bestFit="1" customWidth="1"/>
    <col min="12036" max="12036" width="4.7109375" style="212" customWidth="1"/>
    <col min="12037" max="12037" width="5.5703125" style="212" customWidth="1"/>
    <col min="12038" max="12038" width="4.7109375" style="212" customWidth="1"/>
    <col min="12039" max="12039" width="37.85546875" style="212" customWidth="1"/>
    <col min="12040" max="12040" width="0" style="212" hidden="1" customWidth="1"/>
    <col min="12041" max="12043" width="18.28515625" style="212" bestFit="1" customWidth="1"/>
    <col min="12044" max="12044" width="17.140625" style="212" bestFit="1" customWidth="1"/>
    <col min="12045" max="12045" width="0" style="212" hidden="1" customWidth="1"/>
    <col min="12046" max="12046" width="6.42578125" style="212" bestFit="1" customWidth="1"/>
    <col min="12047" max="12047" width="25.7109375" style="212" customWidth="1"/>
    <col min="12048" max="12048" width="19.140625" style="212" customWidth="1"/>
    <col min="12049" max="12049" width="17.7109375" style="212" bestFit="1" customWidth="1"/>
    <col min="12050" max="12050" width="20.140625" style="212" bestFit="1" customWidth="1"/>
    <col min="12051" max="12288" width="11.42578125" style="212"/>
    <col min="12289" max="12289" width="21.28515625" style="212" customWidth="1"/>
    <col min="12290" max="12290" width="41.7109375" style="212" customWidth="1"/>
    <col min="12291" max="12291" width="18.28515625" style="212" bestFit="1" customWidth="1"/>
    <col min="12292" max="12292" width="4.7109375" style="212" customWidth="1"/>
    <col min="12293" max="12293" width="5.5703125" style="212" customWidth="1"/>
    <col min="12294" max="12294" width="4.7109375" style="212" customWidth="1"/>
    <col min="12295" max="12295" width="37.85546875" style="212" customWidth="1"/>
    <col min="12296" max="12296" width="0" style="212" hidden="1" customWidth="1"/>
    <col min="12297" max="12299" width="18.28515625" style="212" bestFit="1" customWidth="1"/>
    <col min="12300" max="12300" width="17.140625" style="212" bestFit="1" customWidth="1"/>
    <col min="12301" max="12301" width="0" style="212" hidden="1" customWidth="1"/>
    <col min="12302" max="12302" width="6.42578125" style="212" bestFit="1" customWidth="1"/>
    <col min="12303" max="12303" width="25.7109375" style="212" customWidth="1"/>
    <col min="12304" max="12304" width="19.140625" style="212" customWidth="1"/>
    <col min="12305" max="12305" width="17.7109375" style="212" bestFit="1" customWidth="1"/>
    <col min="12306" max="12306" width="20.140625" style="212" bestFit="1" customWidth="1"/>
    <col min="12307" max="12544" width="11.42578125" style="212"/>
    <col min="12545" max="12545" width="21.28515625" style="212" customWidth="1"/>
    <col min="12546" max="12546" width="41.7109375" style="212" customWidth="1"/>
    <col min="12547" max="12547" width="18.28515625" style="212" bestFit="1" customWidth="1"/>
    <col min="12548" max="12548" width="4.7109375" style="212" customWidth="1"/>
    <col min="12549" max="12549" width="5.5703125" style="212" customWidth="1"/>
    <col min="12550" max="12550" width="4.7109375" style="212" customWidth="1"/>
    <col min="12551" max="12551" width="37.85546875" style="212" customWidth="1"/>
    <col min="12552" max="12552" width="0" style="212" hidden="1" customWidth="1"/>
    <col min="12553" max="12555" width="18.28515625" style="212" bestFit="1" customWidth="1"/>
    <col min="12556" max="12556" width="17.140625" style="212" bestFit="1" customWidth="1"/>
    <col min="12557" max="12557" width="0" style="212" hidden="1" customWidth="1"/>
    <col min="12558" max="12558" width="6.42578125" style="212" bestFit="1" customWidth="1"/>
    <col min="12559" max="12559" width="25.7109375" style="212" customWidth="1"/>
    <col min="12560" max="12560" width="19.140625" style="212" customWidth="1"/>
    <col min="12561" max="12561" width="17.7109375" style="212" bestFit="1" customWidth="1"/>
    <col min="12562" max="12562" width="20.140625" style="212" bestFit="1" customWidth="1"/>
    <col min="12563" max="12800" width="11.42578125" style="212"/>
    <col min="12801" max="12801" width="21.28515625" style="212" customWidth="1"/>
    <col min="12802" max="12802" width="41.7109375" style="212" customWidth="1"/>
    <col min="12803" max="12803" width="18.28515625" style="212" bestFit="1" customWidth="1"/>
    <col min="12804" max="12804" width="4.7109375" style="212" customWidth="1"/>
    <col min="12805" max="12805" width="5.5703125" style="212" customWidth="1"/>
    <col min="12806" max="12806" width="4.7109375" style="212" customWidth="1"/>
    <col min="12807" max="12807" width="37.85546875" style="212" customWidth="1"/>
    <col min="12808" max="12808" width="0" style="212" hidden="1" customWidth="1"/>
    <col min="12809" max="12811" width="18.28515625" style="212" bestFit="1" customWidth="1"/>
    <col min="12812" max="12812" width="17.140625" style="212" bestFit="1" customWidth="1"/>
    <col min="12813" max="12813" width="0" style="212" hidden="1" customWidth="1"/>
    <col min="12814" max="12814" width="6.42578125" style="212" bestFit="1" customWidth="1"/>
    <col min="12815" max="12815" width="25.7109375" style="212" customWidth="1"/>
    <col min="12816" max="12816" width="19.140625" style="212" customWidth="1"/>
    <col min="12817" max="12817" width="17.7109375" style="212" bestFit="1" customWidth="1"/>
    <col min="12818" max="12818" width="20.140625" style="212" bestFit="1" customWidth="1"/>
    <col min="12819" max="13056" width="11.42578125" style="212"/>
    <col min="13057" max="13057" width="21.28515625" style="212" customWidth="1"/>
    <col min="13058" max="13058" width="41.7109375" style="212" customWidth="1"/>
    <col min="13059" max="13059" width="18.28515625" style="212" bestFit="1" customWidth="1"/>
    <col min="13060" max="13060" width="4.7109375" style="212" customWidth="1"/>
    <col min="13061" max="13061" width="5.5703125" style="212" customWidth="1"/>
    <col min="13062" max="13062" width="4.7109375" style="212" customWidth="1"/>
    <col min="13063" max="13063" width="37.85546875" style="212" customWidth="1"/>
    <col min="13064" max="13064" width="0" style="212" hidden="1" customWidth="1"/>
    <col min="13065" max="13067" width="18.28515625" style="212" bestFit="1" customWidth="1"/>
    <col min="13068" max="13068" width="17.140625" style="212" bestFit="1" customWidth="1"/>
    <col min="13069" max="13069" width="0" style="212" hidden="1" customWidth="1"/>
    <col min="13070" max="13070" width="6.42578125" style="212" bestFit="1" customWidth="1"/>
    <col min="13071" max="13071" width="25.7109375" style="212" customWidth="1"/>
    <col min="13072" max="13072" width="19.140625" style="212" customWidth="1"/>
    <col min="13073" max="13073" width="17.7109375" style="212" bestFit="1" customWidth="1"/>
    <col min="13074" max="13074" width="20.140625" style="212" bestFit="1" customWidth="1"/>
    <col min="13075" max="13312" width="11.42578125" style="212"/>
    <col min="13313" max="13313" width="21.28515625" style="212" customWidth="1"/>
    <col min="13314" max="13314" width="41.7109375" style="212" customWidth="1"/>
    <col min="13315" max="13315" width="18.28515625" style="212" bestFit="1" customWidth="1"/>
    <col min="13316" max="13316" width="4.7109375" style="212" customWidth="1"/>
    <col min="13317" max="13317" width="5.5703125" style="212" customWidth="1"/>
    <col min="13318" max="13318" width="4.7109375" style="212" customWidth="1"/>
    <col min="13319" max="13319" width="37.85546875" style="212" customWidth="1"/>
    <col min="13320" max="13320" width="0" style="212" hidden="1" customWidth="1"/>
    <col min="13321" max="13323" width="18.28515625" style="212" bestFit="1" customWidth="1"/>
    <col min="13324" max="13324" width="17.140625" style="212" bestFit="1" customWidth="1"/>
    <col min="13325" max="13325" width="0" style="212" hidden="1" customWidth="1"/>
    <col min="13326" max="13326" width="6.42578125" style="212" bestFit="1" customWidth="1"/>
    <col min="13327" max="13327" width="25.7109375" style="212" customWidth="1"/>
    <col min="13328" max="13328" width="19.140625" style="212" customWidth="1"/>
    <col min="13329" max="13329" width="17.7109375" style="212" bestFit="1" customWidth="1"/>
    <col min="13330" max="13330" width="20.140625" style="212" bestFit="1" customWidth="1"/>
    <col min="13331" max="13568" width="11.42578125" style="212"/>
    <col min="13569" max="13569" width="21.28515625" style="212" customWidth="1"/>
    <col min="13570" max="13570" width="41.7109375" style="212" customWidth="1"/>
    <col min="13571" max="13571" width="18.28515625" style="212" bestFit="1" customWidth="1"/>
    <col min="13572" max="13572" width="4.7109375" style="212" customWidth="1"/>
    <col min="13573" max="13573" width="5.5703125" style="212" customWidth="1"/>
    <col min="13574" max="13574" width="4.7109375" style="212" customWidth="1"/>
    <col min="13575" max="13575" width="37.85546875" style="212" customWidth="1"/>
    <col min="13576" max="13576" width="0" style="212" hidden="1" customWidth="1"/>
    <col min="13577" max="13579" width="18.28515625" style="212" bestFit="1" customWidth="1"/>
    <col min="13580" max="13580" width="17.140625" style="212" bestFit="1" customWidth="1"/>
    <col min="13581" max="13581" width="0" style="212" hidden="1" customWidth="1"/>
    <col min="13582" max="13582" width="6.42578125" style="212" bestFit="1" customWidth="1"/>
    <col min="13583" max="13583" width="25.7109375" style="212" customWidth="1"/>
    <col min="13584" max="13584" width="19.140625" style="212" customWidth="1"/>
    <col min="13585" max="13585" width="17.7109375" style="212" bestFit="1" customWidth="1"/>
    <col min="13586" max="13586" width="20.140625" style="212" bestFit="1" customWidth="1"/>
    <col min="13587" max="13824" width="11.42578125" style="212"/>
    <col min="13825" max="13825" width="21.28515625" style="212" customWidth="1"/>
    <col min="13826" max="13826" width="41.7109375" style="212" customWidth="1"/>
    <col min="13827" max="13827" width="18.28515625" style="212" bestFit="1" customWidth="1"/>
    <col min="13828" max="13828" width="4.7109375" style="212" customWidth="1"/>
    <col min="13829" max="13829" width="5.5703125" style="212" customWidth="1"/>
    <col min="13830" max="13830" width="4.7109375" style="212" customWidth="1"/>
    <col min="13831" max="13831" width="37.85546875" style="212" customWidth="1"/>
    <col min="13832" max="13832" width="0" style="212" hidden="1" customWidth="1"/>
    <col min="13833" max="13835" width="18.28515625" style="212" bestFit="1" customWidth="1"/>
    <col min="13836" max="13836" width="17.140625" style="212" bestFit="1" customWidth="1"/>
    <col min="13837" max="13837" width="0" style="212" hidden="1" customWidth="1"/>
    <col min="13838" max="13838" width="6.42578125" style="212" bestFit="1" customWidth="1"/>
    <col min="13839" max="13839" width="25.7109375" style="212" customWidth="1"/>
    <col min="13840" max="13840" width="19.140625" style="212" customWidth="1"/>
    <col min="13841" max="13841" width="17.7109375" style="212" bestFit="1" customWidth="1"/>
    <col min="13842" max="13842" width="20.140625" style="212" bestFit="1" customWidth="1"/>
    <col min="13843" max="14080" width="11.42578125" style="212"/>
    <col min="14081" max="14081" width="21.28515625" style="212" customWidth="1"/>
    <col min="14082" max="14082" width="41.7109375" style="212" customWidth="1"/>
    <col min="14083" max="14083" width="18.28515625" style="212" bestFit="1" customWidth="1"/>
    <col min="14084" max="14084" width="4.7109375" style="212" customWidth="1"/>
    <col min="14085" max="14085" width="5.5703125" style="212" customWidth="1"/>
    <col min="14086" max="14086" width="4.7109375" style="212" customWidth="1"/>
    <col min="14087" max="14087" width="37.85546875" style="212" customWidth="1"/>
    <col min="14088" max="14088" width="0" style="212" hidden="1" customWidth="1"/>
    <col min="14089" max="14091" width="18.28515625" style="212" bestFit="1" customWidth="1"/>
    <col min="14092" max="14092" width="17.140625" style="212" bestFit="1" customWidth="1"/>
    <col min="14093" max="14093" width="0" style="212" hidden="1" customWidth="1"/>
    <col min="14094" max="14094" width="6.42578125" style="212" bestFit="1" customWidth="1"/>
    <col min="14095" max="14095" width="25.7109375" style="212" customWidth="1"/>
    <col min="14096" max="14096" width="19.140625" style="212" customWidth="1"/>
    <col min="14097" max="14097" width="17.7109375" style="212" bestFit="1" customWidth="1"/>
    <col min="14098" max="14098" width="20.140625" style="212" bestFit="1" customWidth="1"/>
    <col min="14099" max="14336" width="11.42578125" style="212"/>
    <col min="14337" max="14337" width="21.28515625" style="212" customWidth="1"/>
    <col min="14338" max="14338" width="41.7109375" style="212" customWidth="1"/>
    <col min="14339" max="14339" width="18.28515625" style="212" bestFit="1" customWidth="1"/>
    <col min="14340" max="14340" width="4.7109375" style="212" customWidth="1"/>
    <col min="14341" max="14341" width="5.5703125" style="212" customWidth="1"/>
    <col min="14342" max="14342" width="4.7109375" style="212" customWidth="1"/>
    <col min="14343" max="14343" width="37.85546875" style="212" customWidth="1"/>
    <col min="14344" max="14344" width="0" style="212" hidden="1" customWidth="1"/>
    <col min="14345" max="14347" width="18.28515625" style="212" bestFit="1" customWidth="1"/>
    <col min="14348" max="14348" width="17.140625" style="212" bestFit="1" customWidth="1"/>
    <col min="14349" max="14349" width="0" style="212" hidden="1" customWidth="1"/>
    <col min="14350" max="14350" width="6.42578125" style="212" bestFit="1" customWidth="1"/>
    <col min="14351" max="14351" width="25.7109375" style="212" customWidth="1"/>
    <col min="14352" max="14352" width="19.140625" style="212" customWidth="1"/>
    <col min="14353" max="14353" width="17.7109375" style="212" bestFit="1" customWidth="1"/>
    <col min="14354" max="14354" width="20.140625" style="212" bestFit="1" customWidth="1"/>
    <col min="14355" max="14592" width="11.42578125" style="212"/>
    <col min="14593" max="14593" width="21.28515625" style="212" customWidth="1"/>
    <col min="14594" max="14594" width="41.7109375" style="212" customWidth="1"/>
    <col min="14595" max="14595" width="18.28515625" style="212" bestFit="1" customWidth="1"/>
    <col min="14596" max="14596" width="4.7109375" style="212" customWidth="1"/>
    <col min="14597" max="14597" width="5.5703125" style="212" customWidth="1"/>
    <col min="14598" max="14598" width="4.7109375" style="212" customWidth="1"/>
    <col min="14599" max="14599" width="37.85546875" style="212" customWidth="1"/>
    <col min="14600" max="14600" width="0" style="212" hidden="1" customWidth="1"/>
    <col min="14601" max="14603" width="18.28515625" style="212" bestFit="1" customWidth="1"/>
    <col min="14604" max="14604" width="17.140625" style="212" bestFit="1" customWidth="1"/>
    <col min="14605" max="14605" width="0" style="212" hidden="1" customWidth="1"/>
    <col min="14606" max="14606" width="6.42578125" style="212" bestFit="1" customWidth="1"/>
    <col min="14607" max="14607" width="25.7109375" style="212" customWidth="1"/>
    <col min="14608" max="14608" width="19.140625" style="212" customWidth="1"/>
    <col min="14609" max="14609" width="17.7109375" style="212" bestFit="1" customWidth="1"/>
    <col min="14610" max="14610" width="20.140625" style="212" bestFit="1" customWidth="1"/>
    <col min="14611" max="14848" width="11.42578125" style="212"/>
    <col min="14849" max="14849" width="21.28515625" style="212" customWidth="1"/>
    <col min="14850" max="14850" width="41.7109375" style="212" customWidth="1"/>
    <col min="14851" max="14851" width="18.28515625" style="212" bestFit="1" customWidth="1"/>
    <col min="14852" max="14852" width="4.7109375" style="212" customWidth="1"/>
    <col min="14853" max="14853" width="5.5703125" style="212" customWidth="1"/>
    <col min="14854" max="14854" width="4.7109375" style="212" customWidth="1"/>
    <col min="14855" max="14855" width="37.85546875" style="212" customWidth="1"/>
    <col min="14856" max="14856" width="0" style="212" hidden="1" customWidth="1"/>
    <col min="14857" max="14859" width="18.28515625" style="212" bestFit="1" customWidth="1"/>
    <col min="14860" max="14860" width="17.140625" style="212" bestFit="1" customWidth="1"/>
    <col min="14861" max="14861" width="0" style="212" hidden="1" customWidth="1"/>
    <col min="14862" max="14862" width="6.42578125" style="212" bestFit="1" customWidth="1"/>
    <col min="14863" max="14863" width="25.7109375" style="212" customWidth="1"/>
    <col min="14864" max="14864" width="19.140625" style="212" customWidth="1"/>
    <col min="14865" max="14865" width="17.7109375" style="212" bestFit="1" customWidth="1"/>
    <col min="14866" max="14866" width="20.140625" style="212" bestFit="1" customWidth="1"/>
    <col min="14867" max="15104" width="11.42578125" style="212"/>
    <col min="15105" max="15105" width="21.28515625" style="212" customWidth="1"/>
    <col min="15106" max="15106" width="41.7109375" style="212" customWidth="1"/>
    <col min="15107" max="15107" width="18.28515625" style="212" bestFit="1" customWidth="1"/>
    <col min="15108" max="15108" width="4.7109375" style="212" customWidth="1"/>
    <col min="15109" max="15109" width="5.5703125" style="212" customWidth="1"/>
    <col min="15110" max="15110" width="4.7109375" style="212" customWidth="1"/>
    <col min="15111" max="15111" width="37.85546875" style="212" customWidth="1"/>
    <col min="15112" max="15112" width="0" style="212" hidden="1" customWidth="1"/>
    <col min="15113" max="15115" width="18.28515625" style="212" bestFit="1" customWidth="1"/>
    <col min="15116" max="15116" width="17.140625" style="212" bestFit="1" customWidth="1"/>
    <col min="15117" max="15117" width="0" style="212" hidden="1" customWidth="1"/>
    <col min="15118" max="15118" width="6.42578125" style="212" bestFit="1" customWidth="1"/>
    <col min="15119" max="15119" width="25.7109375" style="212" customWidth="1"/>
    <col min="15120" max="15120" width="19.140625" style="212" customWidth="1"/>
    <col min="15121" max="15121" width="17.7109375" style="212" bestFit="1" customWidth="1"/>
    <col min="15122" max="15122" width="20.140625" style="212" bestFit="1" customWidth="1"/>
    <col min="15123" max="15360" width="11.42578125" style="212"/>
    <col min="15361" max="15361" width="21.28515625" style="212" customWidth="1"/>
    <col min="15362" max="15362" width="41.7109375" style="212" customWidth="1"/>
    <col min="15363" max="15363" width="18.28515625" style="212" bestFit="1" customWidth="1"/>
    <col min="15364" max="15364" width="4.7109375" style="212" customWidth="1"/>
    <col min="15365" max="15365" width="5.5703125" style="212" customWidth="1"/>
    <col min="15366" max="15366" width="4.7109375" style="212" customWidth="1"/>
    <col min="15367" max="15367" width="37.85546875" style="212" customWidth="1"/>
    <col min="15368" max="15368" width="0" style="212" hidden="1" customWidth="1"/>
    <col min="15369" max="15371" width="18.28515625" style="212" bestFit="1" customWidth="1"/>
    <col min="15372" max="15372" width="17.140625" style="212" bestFit="1" customWidth="1"/>
    <col min="15373" max="15373" width="0" style="212" hidden="1" customWidth="1"/>
    <col min="15374" max="15374" width="6.42578125" style="212" bestFit="1" customWidth="1"/>
    <col min="15375" max="15375" width="25.7109375" style="212" customWidth="1"/>
    <col min="15376" max="15376" width="19.140625" style="212" customWidth="1"/>
    <col min="15377" max="15377" width="17.7109375" style="212" bestFit="1" customWidth="1"/>
    <col min="15378" max="15378" width="20.140625" style="212" bestFit="1" customWidth="1"/>
    <col min="15379" max="15616" width="11.42578125" style="212"/>
    <col min="15617" max="15617" width="21.28515625" style="212" customWidth="1"/>
    <col min="15618" max="15618" width="41.7109375" style="212" customWidth="1"/>
    <col min="15619" max="15619" width="18.28515625" style="212" bestFit="1" customWidth="1"/>
    <col min="15620" max="15620" width="4.7109375" style="212" customWidth="1"/>
    <col min="15621" max="15621" width="5.5703125" style="212" customWidth="1"/>
    <col min="15622" max="15622" width="4.7109375" style="212" customWidth="1"/>
    <col min="15623" max="15623" width="37.85546875" style="212" customWidth="1"/>
    <col min="15624" max="15624" width="0" style="212" hidden="1" customWidth="1"/>
    <col min="15625" max="15627" width="18.28515625" style="212" bestFit="1" customWidth="1"/>
    <col min="15628" max="15628" width="17.140625" style="212" bestFit="1" customWidth="1"/>
    <col min="15629" max="15629" width="0" style="212" hidden="1" customWidth="1"/>
    <col min="15630" max="15630" width="6.42578125" style="212" bestFit="1" customWidth="1"/>
    <col min="15631" max="15631" width="25.7109375" style="212" customWidth="1"/>
    <col min="15632" max="15632" width="19.140625" style="212" customWidth="1"/>
    <col min="15633" max="15633" width="17.7109375" style="212" bestFit="1" customWidth="1"/>
    <col min="15634" max="15634" width="20.140625" style="212" bestFit="1" customWidth="1"/>
    <col min="15635" max="15872" width="11.42578125" style="212"/>
    <col min="15873" max="15873" width="21.28515625" style="212" customWidth="1"/>
    <col min="15874" max="15874" width="41.7109375" style="212" customWidth="1"/>
    <col min="15875" max="15875" width="18.28515625" style="212" bestFit="1" customWidth="1"/>
    <col min="15876" max="15876" width="4.7109375" style="212" customWidth="1"/>
    <col min="15877" max="15877" width="5.5703125" style="212" customWidth="1"/>
    <col min="15878" max="15878" width="4.7109375" style="212" customWidth="1"/>
    <col min="15879" max="15879" width="37.85546875" style="212" customWidth="1"/>
    <col min="15880" max="15880" width="0" style="212" hidden="1" customWidth="1"/>
    <col min="15881" max="15883" width="18.28515625" style="212" bestFit="1" customWidth="1"/>
    <col min="15884" max="15884" width="17.140625" style="212" bestFit="1" customWidth="1"/>
    <col min="15885" max="15885" width="0" style="212" hidden="1" customWidth="1"/>
    <col min="15886" max="15886" width="6.42578125" style="212" bestFit="1" customWidth="1"/>
    <col min="15887" max="15887" width="25.7109375" style="212" customWidth="1"/>
    <col min="15888" max="15888" width="19.140625" style="212" customWidth="1"/>
    <col min="15889" max="15889" width="17.7109375" style="212" bestFit="1" customWidth="1"/>
    <col min="15890" max="15890" width="20.140625" style="212" bestFit="1" customWidth="1"/>
    <col min="15891" max="16128" width="11.42578125" style="212"/>
    <col min="16129" max="16129" width="21.28515625" style="212" customWidth="1"/>
    <col min="16130" max="16130" width="41.7109375" style="212" customWidth="1"/>
    <col min="16131" max="16131" width="18.28515625" style="212" bestFit="1" customWidth="1"/>
    <col min="16132" max="16132" width="4.7109375" style="212" customWidth="1"/>
    <col min="16133" max="16133" width="5.5703125" style="212" customWidth="1"/>
    <col min="16134" max="16134" width="4.7109375" style="212" customWidth="1"/>
    <col min="16135" max="16135" width="37.85546875" style="212" customWidth="1"/>
    <col min="16136" max="16136" width="0" style="212" hidden="1" customWidth="1"/>
    <col min="16137" max="16139" width="18.28515625" style="212" bestFit="1" customWidth="1"/>
    <col min="16140" max="16140" width="17.140625" style="212" bestFit="1" customWidth="1"/>
    <col min="16141" max="16141" width="0" style="212" hidden="1" customWidth="1"/>
    <col min="16142" max="16142" width="6.42578125" style="212" bestFit="1" customWidth="1"/>
    <col min="16143" max="16143" width="25.7109375" style="212" customWidth="1"/>
    <col min="16144" max="16144" width="19.140625" style="212" customWidth="1"/>
    <col min="16145" max="16145" width="17.7109375" style="212" bestFit="1" customWidth="1"/>
    <col min="16146" max="16146" width="20.140625" style="212" bestFit="1" customWidth="1"/>
    <col min="16147" max="16384" width="11.42578125" style="212"/>
  </cols>
  <sheetData>
    <row r="1" spans="1:30" x14ac:dyDescent="0.2">
      <c r="A1" s="615" t="s">
        <v>295</v>
      </c>
      <c r="B1" s="616"/>
      <c r="C1" s="616"/>
      <c r="D1" s="616"/>
      <c r="E1" s="616"/>
      <c r="F1" s="616"/>
      <c r="G1" s="616"/>
      <c r="H1" s="616"/>
      <c r="I1" s="616"/>
      <c r="J1" s="207"/>
      <c r="K1" s="207"/>
      <c r="L1" s="208"/>
      <c r="M1" s="207"/>
      <c r="N1" s="208"/>
      <c r="O1" s="209"/>
    </row>
    <row r="2" spans="1:30" x14ac:dyDescent="0.2">
      <c r="A2" s="617" t="s">
        <v>294</v>
      </c>
      <c r="B2" s="618"/>
      <c r="C2" s="618"/>
      <c r="D2" s="618"/>
      <c r="E2" s="618"/>
      <c r="F2" s="618"/>
      <c r="G2" s="618"/>
      <c r="H2" s="618"/>
      <c r="I2" s="618"/>
      <c r="J2" s="209"/>
      <c r="K2" s="209"/>
      <c r="L2" s="213"/>
      <c r="M2" s="209"/>
      <c r="N2" s="213"/>
      <c r="O2" s="209"/>
    </row>
    <row r="3" spans="1:30" x14ac:dyDescent="0.2">
      <c r="A3" s="617" t="s">
        <v>293</v>
      </c>
      <c r="B3" s="618"/>
      <c r="C3" s="618"/>
      <c r="D3" s="618"/>
      <c r="E3" s="618"/>
      <c r="F3" s="618"/>
      <c r="G3" s="618"/>
      <c r="H3" s="618"/>
      <c r="I3" s="618"/>
      <c r="J3" s="209"/>
      <c r="K3" s="209"/>
      <c r="L3" s="213"/>
      <c r="M3" s="209"/>
      <c r="N3" s="213"/>
      <c r="O3" s="209"/>
    </row>
    <row r="4" spans="1:30" x14ac:dyDescent="0.2">
      <c r="A4" s="617" t="s">
        <v>292</v>
      </c>
      <c r="B4" s="618"/>
      <c r="C4" s="618"/>
      <c r="D4" s="618"/>
      <c r="E4" s="618"/>
      <c r="F4" s="618"/>
      <c r="G4" s="618"/>
      <c r="H4" s="618"/>
      <c r="I4" s="618"/>
      <c r="J4" s="209"/>
      <c r="K4" s="209"/>
      <c r="L4" s="213"/>
      <c r="M4" s="209"/>
      <c r="N4" s="213"/>
      <c r="O4" s="209"/>
    </row>
    <row r="5" spans="1:30" ht="15.75" customHeight="1" x14ac:dyDescent="0.2">
      <c r="A5" s="619" t="s">
        <v>0</v>
      </c>
      <c r="B5" s="620"/>
      <c r="C5" s="620"/>
      <c r="D5" s="620"/>
      <c r="E5" s="620"/>
      <c r="F5" s="620"/>
      <c r="G5" s="620"/>
      <c r="H5" s="620"/>
      <c r="I5" s="620"/>
      <c r="J5" s="620"/>
      <c r="K5" s="620"/>
      <c r="L5" s="621"/>
      <c r="M5" s="214"/>
      <c r="N5" s="215"/>
      <c r="O5" s="214"/>
      <c r="P5" s="214"/>
      <c r="Q5" s="214"/>
      <c r="R5" s="214"/>
      <c r="S5" s="214"/>
      <c r="T5" s="214"/>
      <c r="U5" s="214"/>
      <c r="V5" s="214"/>
      <c r="W5" s="214"/>
      <c r="X5" s="214"/>
      <c r="Y5" s="214"/>
      <c r="Z5" s="214"/>
      <c r="AA5" s="214"/>
      <c r="AB5" s="214"/>
      <c r="AC5" s="214"/>
      <c r="AD5" s="214"/>
    </row>
    <row r="6" spans="1:30" ht="15.75" customHeight="1" x14ac:dyDescent="0.2">
      <c r="A6" s="622" t="s">
        <v>1</v>
      </c>
      <c r="B6" s="623"/>
      <c r="C6" s="623"/>
      <c r="D6" s="623"/>
      <c r="E6" s="623"/>
      <c r="F6" s="623"/>
      <c r="G6" s="623"/>
      <c r="H6" s="623"/>
      <c r="I6" s="623"/>
      <c r="J6" s="623"/>
      <c r="K6" s="623"/>
      <c r="L6" s="624"/>
      <c r="M6" s="214"/>
      <c r="N6" s="215"/>
      <c r="O6" s="216">
        <f>+I214+I224+I234+I241+I274+I302+I329+I348+I357+I375+I389+I399+I417+I430+I443+I465+I478+I498+I533+I580</f>
        <v>4969699293.5499992</v>
      </c>
      <c r="P6" s="216">
        <f>+O6-4978199293.55</f>
        <v>-8500000.0000009537</v>
      </c>
      <c r="Q6" s="214"/>
      <c r="R6" s="214"/>
      <c r="S6" s="214"/>
      <c r="T6" s="214"/>
      <c r="U6" s="214"/>
      <c r="V6" s="214"/>
      <c r="W6" s="214"/>
      <c r="X6" s="214"/>
      <c r="Y6" s="214"/>
      <c r="Z6" s="214"/>
      <c r="AA6" s="214"/>
      <c r="AB6" s="214"/>
      <c r="AC6" s="214"/>
      <c r="AD6" s="214"/>
    </row>
    <row r="7" spans="1:30" ht="15.75" customHeight="1" thickBot="1" x14ac:dyDescent="0.25">
      <c r="A7" s="217"/>
      <c r="B7" s="218"/>
      <c r="C7" s="218"/>
      <c r="D7" s="218"/>
      <c r="E7" s="218"/>
      <c r="F7" s="218"/>
      <c r="G7" s="218"/>
      <c r="H7" s="218"/>
      <c r="I7" s="218"/>
      <c r="J7" s="218"/>
      <c r="K7" s="218"/>
      <c r="L7" s="219"/>
      <c r="M7" s="214"/>
      <c r="N7" s="215"/>
      <c r="O7" s="214"/>
      <c r="P7" s="214"/>
      <c r="Q7" s="214"/>
      <c r="R7" s="214"/>
      <c r="S7" s="214"/>
      <c r="T7" s="214"/>
      <c r="U7" s="214"/>
      <c r="V7" s="214"/>
      <c r="W7" s="214"/>
      <c r="X7" s="214"/>
      <c r="Y7" s="214"/>
      <c r="Z7" s="214"/>
      <c r="AA7" s="214"/>
      <c r="AB7" s="214"/>
      <c r="AC7" s="214"/>
      <c r="AD7" s="214"/>
    </row>
    <row r="8" spans="1:30" ht="117" thickBot="1" x14ac:dyDescent="0.25">
      <c r="A8" s="220" t="s">
        <v>291</v>
      </c>
      <c r="B8" s="221" t="s">
        <v>290</v>
      </c>
      <c r="C8" s="221" t="s">
        <v>2</v>
      </c>
      <c r="D8" s="222" t="s">
        <v>289</v>
      </c>
      <c r="E8" s="223" t="s">
        <v>288</v>
      </c>
      <c r="F8" s="222" t="s">
        <v>3</v>
      </c>
      <c r="G8" s="209" t="s">
        <v>287</v>
      </c>
      <c r="H8" s="209"/>
      <c r="I8" s="224" t="s">
        <v>2</v>
      </c>
      <c r="J8" s="225" t="s">
        <v>4</v>
      </c>
      <c r="K8" s="225" t="s">
        <v>5</v>
      </c>
      <c r="L8" s="226" t="s">
        <v>6</v>
      </c>
      <c r="M8" s="227" t="s">
        <v>7</v>
      </c>
      <c r="N8" s="213"/>
      <c r="O8" s="209"/>
      <c r="Q8" s="211">
        <f>SUM(I11:I20)</f>
        <v>4438200000</v>
      </c>
    </row>
    <row r="9" spans="1:30" x14ac:dyDescent="0.2">
      <c r="A9" s="228" t="s">
        <v>15</v>
      </c>
      <c r="B9" s="229" t="s">
        <v>15</v>
      </c>
      <c r="C9" s="230"/>
      <c r="D9" s="207"/>
      <c r="E9" s="207"/>
      <c r="F9" s="207"/>
      <c r="G9" s="231"/>
      <c r="H9" s="231"/>
      <c r="I9" s="232"/>
      <c r="J9" s="233"/>
      <c r="K9" s="234"/>
      <c r="L9" s="235"/>
      <c r="N9" s="237"/>
    </row>
    <row r="10" spans="1:30" x14ac:dyDescent="0.2">
      <c r="A10" s="238" t="str">
        <f>+'[1]Clasific. Económica de Ingr (3)'!A16</f>
        <v>1.1.2.1.01.00.0.0.000</v>
      </c>
      <c r="B10" s="239" t="s">
        <v>286</v>
      </c>
      <c r="C10" s="240">
        <f>SUM('[1]Clasific. Económica de Ingr (3)'!C16)</f>
        <v>7800000000</v>
      </c>
      <c r="D10" s="209"/>
      <c r="E10" s="209"/>
      <c r="F10" s="209"/>
      <c r="G10" s="241"/>
      <c r="H10" s="241"/>
      <c r="I10" s="242"/>
      <c r="J10" s="243"/>
      <c r="K10" s="244"/>
      <c r="L10" s="245">
        <f>+J10-K10</f>
        <v>0</v>
      </c>
      <c r="M10" s="246"/>
      <c r="N10" s="247"/>
      <c r="O10" s="248"/>
      <c r="P10" s="210" t="s">
        <v>15</v>
      </c>
    </row>
    <row r="11" spans="1:30" x14ac:dyDescent="0.2">
      <c r="A11" s="221"/>
      <c r="B11" s="209"/>
      <c r="C11" s="240"/>
      <c r="D11" s="209" t="s">
        <v>8</v>
      </c>
      <c r="E11" s="209" t="s">
        <v>184</v>
      </c>
      <c r="F11" s="209" t="s">
        <v>209</v>
      </c>
      <c r="G11" s="241" t="s">
        <v>285</v>
      </c>
      <c r="H11" s="241"/>
      <c r="I11" s="249">
        <f>+I12</f>
        <v>1302600000</v>
      </c>
      <c r="J11" s="250"/>
      <c r="K11" s="251"/>
      <c r="L11" s="252"/>
      <c r="M11" s="240"/>
      <c r="N11" s="247"/>
      <c r="O11" s="253"/>
      <c r="P11" s="210">
        <f>+I11+I301+I388+I398+I356+I464+I328+I347+I429+I240+I273+I477+I213+I532+I416+I374+I489+I442+I223+I504+I587++I233+I458+I196+I576</f>
        <v>7385831206.7503347</v>
      </c>
      <c r="Q11" s="211">
        <f>+P11+P14+I243+I278</f>
        <v>10124962294.515738</v>
      </c>
      <c r="R11" s="254">
        <f>+Q11-'[2]Egresos Programa I General'!E16</f>
        <v>-19999999.989999771</v>
      </c>
    </row>
    <row r="12" spans="1:30" x14ac:dyDescent="0.2">
      <c r="A12" s="221"/>
      <c r="B12" s="209"/>
      <c r="C12" s="240"/>
      <c r="D12" s="209"/>
      <c r="E12" s="209"/>
      <c r="F12" s="209"/>
      <c r="G12" s="241" t="s">
        <v>10</v>
      </c>
      <c r="H12" s="241"/>
      <c r="I12" s="255">
        <v>1302600000</v>
      </c>
      <c r="J12" s="250">
        <f>+I12</f>
        <v>1302600000</v>
      </c>
      <c r="K12" s="251"/>
      <c r="L12" s="252"/>
      <c r="M12" s="240"/>
      <c r="N12" s="247"/>
      <c r="O12" s="256"/>
      <c r="R12" s="254"/>
    </row>
    <row r="13" spans="1:30" x14ac:dyDescent="0.2">
      <c r="A13" s="221"/>
      <c r="B13" s="209"/>
      <c r="C13" s="240"/>
      <c r="D13" s="209"/>
      <c r="E13" s="209"/>
      <c r="F13" s="209"/>
      <c r="G13" s="241"/>
      <c r="H13" s="241"/>
      <c r="I13" s="255"/>
      <c r="J13" s="250"/>
      <c r="K13" s="251"/>
      <c r="L13" s="252"/>
      <c r="M13" s="240"/>
      <c r="N13" s="247"/>
      <c r="O13" s="256"/>
      <c r="R13" s="254"/>
    </row>
    <row r="14" spans="1:30" x14ac:dyDescent="0.2">
      <c r="A14" s="221"/>
      <c r="B14" s="209"/>
      <c r="C14" s="240"/>
      <c r="D14" s="209" t="s">
        <v>8</v>
      </c>
      <c r="E14" s="209" t="s">
        <v>191</v>
      </c>
      <c r="F14" s="209" t="s">
        <v>209</v>
      </c>
      <c r="G14" s="241" t="s">
        <v>284</v>
      </c>
      <c r="H14" s="241"/>
      <c r="I14" s="249">
        <f>+'[2]RELACION INGRESO GASTO DET.15'!I18</f>
        <v>117000000</v>
      </c>
      <c r="J14" s="250"/>
      <c r="K14" s="251"/>
      <c r="L14" s="252"/>
      <c r="M14" s="240"/>
      <c r="N14" s="247"/>
      <c r="O14" s="248"/>
      <c r="P14" s="257">
        <f>+I14+I17+I20+I188+I189+I190+I290+I293+I548+I551+I519+I554+I191+I192+I516+I522+I505+I246+I490+I199+I249+I23+I252</f>
        <v>2080946547.1032996</v>
      </c>
      <c r="R14" s="254"/>
    </row>
    <row r="15" spans="1:30" x14ac:dyDescent="0.2">
      <c r="A15" s="221"/>
      <c r="B15" s="209"/>
      <c r="C15" s="240"/>
      <c r="D15" s="209"/>
      <c r="E15" s="209"/>
      <c r="F15" s="209"/>
      <c r="G15" s="241" t="s">
        <v>207</v>
      </c>
      <c r="H15" s="241"/>
      <c r="I15" s="255">
        <v>117000000</v>
      </c>
      <c r="J15" s="250">
        <f>+I15</f>
        <v>117000000</v>
      </c>
      <c r="K15" s="251"/>
      <c r="L15" s="252"/>
      <c r="M15" s="240"/>
      <c r="N15" s="247"/>
      <c r="O15" s="248"/>
      <c r="P15" s="257"/>
      <c r="R15" s="254"/>
    </row>
    <row r="16" spans="1:30" x14ac:dyDescent="0.2">
      <c r="A16" s="221"/>
      <c r="B16" s="209"/>
      <c r="C16" s="240"/>
      <c r="D16" s="209"/>
      <c r="E16" s="209"/>
      <c r="F16" s="209"/>
      <c r="G16" s="241"/>
      <c r="H16" s="241"/>
      <c r="I16" s="255"/>
      <c r="J16" s="250"/>
      <c r="K16" s="251"/>
      <c r="L16" s="252"/>
      <c r="M16" s="240"/>
      <c r="N16" s="247"/>
      <c r="O16" s="248"/>
      <c r="P16" s="257"/>
      <c r="R16" s="254"/>
    </row>
    <row r="17" spans="1:18" x14ac:dyDescent="0.2">
      <c r="A17" s="221"/>
      <c r="B17" s="209"/>
      <c r="C17" s="240"/>
      <c r="D17" s="209" t="s">
        <v>8</v>
      </c>
      <c r="E17" s="209" t="s">
        <v>191</v>
      </c>
      <c r="F17" s="209" t="s">
        <v>209</v>
      </c>
      <c r="G17" s="241" t="s">
        <v>283</v>
      </c>
      <c r="H17" s="241"/>
      <c r="I17" s="249">
        <f>+'[2]RELACION INGRESO GASTO DET.15'!I15</f>
        <v>780000000</v>
      </c>
      <c r="J17" s="250"/>
      <c r="K17" s="251"/>
      <c r="L17" s="252"/>
      <c r="M17" s="240"/>
      <c r="N17" s="247"/>
      <c r="O17" s="248"/>
      <c r="R17" s="254"/>
    </row>
    <row r="18" spans="1:18" x14ac:dyDescent="0.2">
      <c r="A18" s="221"/>
      <c r="B18" s="209"/>
      <c r="C18" s="240"/>
      <c r="D18" s="209"/>
      <c r="E18" s="209"/>
      <c r="F18" s="209"/>
      <c r="G18" s="241" t="s">
        <v>207</v>
      </c>
      <c r="H18" s="241"/>
      <c r="I18" s="255">
        <v>780000000</v>
      </c>
      <c r="J18" s="250">
        <f>+I18</f>
        <v>780000000</v>
      </c>
      <c r="K18" s="251"/>
      <c r="L18" s="252"/>
      <c r="M18" s="240"/>
      <c r="N18" s="247"/>
      <c r="O18" s="248"/>
      <c r="R18" s="254"/>
    </row>
    <row r="19" spans="1:18" x14ac:dyDescent="0.2">
      <c r="A19" s="221"/>
      <c r="B19" s="209"/>
      <c r="C19" s="240"/>
      <c r="D19" s="209"/>
      <c r="E19" s="209"/>
      <c r="F19" s="209"/>
      <c r="G19" s="241"/>
      <c r="H19" s="241"/>
      <c r="I19" s="255"/>
      <c r="J19" s="250"/>
      <c r="K19" s="251"/>
      <c r="L19" s="252"/>
      <c r="M19" s="240"/>
      <c r="N19" s="247"/>
      <c r="O19" s="248"/>
      <c r="R19" s="254"/>
    </row>
    <row r="20" spans="1:18" ht="15" customHeight="1" x14ac:dyDescent="0.2">
      <c r="A20" s="221"/>
      <c r="B20" s="209"/>
      <c r="C20" s="240"/>
      <c r="D20" s="209" t="s">
        <v>8</v>
      </c>
      <c r="E20" s="209" t="s">
        <v>191</v>
      </c>
      <c r="F20" s="209" t="s">
        <v>209</v>
      </c>
      <c r="G20" s="258" t="s">
        <v>282</v>
      </c>
      <c r="H20" s="258"/>
      <c r="I20" s="249">
        <f>+'[2]RELACION INGRESO GASTO DET.15'!I21</f>
        <v>39000000</v>
      </c>
      <c r="J20" s="250"/>
      <c r="K20" s="251"/>
      <c r="L20" s="252"/>
      <c r="M20" s="240"/>
      <c r="N20" s="247"/>
      <c r="O20" s="248"/>
      <c r="R20" s="254"/>
    </row>
    <row r="21" spans="1:18" ht="15" customHeight="1" x14ac:dyDescent="0.2">
      <c r="A21" s="221"/>
      <c r="B21" s="209"/>
      <c r="C21" s="240"/>
      <c r="D21" s="209"/>
      <c r="E21" s="209"/>
      <c r="F21" s="209"/>
      <c r="G21" s="241" t="s">
        <v>207</v>
      </c>
      <c r="H21" s="258"/>
      <c r="I21" s="255">
        <v>39000000</v>
      </c>
      <c r="J21" s="250">
        <f>+I21</f>
        <v>39000000</v>
      </c>
      <c r="K21" s="251"/>
      <c r="L21" s="252"/>
      <c r="M21" s="240"/>
      <c r="N21" s="247"/>
      <c r="O21" s="248"/>
      <c r="R21" s="254"/>
    </row>
    <row r="22" spans="1:18" ht="15" customHeight="1" x14ac:dyDescent="0.2">
      <c r="A22" s="221"/>
      <c r="B22" s="209"/>
      <c r="C22" s="240"/>
      <c r="D22" s="209"/>
      <c r="E22" s="209"/>
      <c r="F22" s="209"/>
      <c r="G22" s="258"/>
      <c r="H22" s="258"/>
      <c r="I22" s="255"/>
      <c r="J22" s="250"/>
      <c r="K22" s="251"/>
      <c r="L22" s="252"/>
      <c r="M22" s="240"/>
      <c r="N22" s="247"/>
      <c r="O22" s="248"/>
      <c r="R22" s="254"/>
    </row>
    <row r="23" spans="1:18" s="265" customFormat="1" ht="15" customHeight="1" x14ac:dyDescent="0.2">
      <c r="A23" s="221"/>
      <c r="B23" s="209"/>
      <c r="C23" s="240"/>
      <c r="D23" s="209" t="s">
        <v>8</v>
      </c>
      <c r="E23" s="209" t="s">
        <v>191</v>
      </c>
      <c r="F23" s="209"/>
      <c r="G23" s="258" t="str">
        <f>+[2]ProgramaI!B32</f>
        <v xml:space="preserve">Comité Cantonal Deportes y Recreación </v>
      </c>
      <c r="H23" s="258"/>
      <c r="I23" s="249">
        <v>115000000</v>
      </c>
      <c r="J23" s="250"/>
      <c r="K23" s="251"/>
      <c r="L23" s="252"/>
      <c r="M23" s="259"/>
      <c r="N23" s="260"/>
      <c r="O23" s="261"/>
      <c r="P23" s="262"/>
      <c r="Q23" s="263"/>
      <c r="R23" s="264"/>
    </row>
    <row r="24" spans="1:18" ht="15" customHeight="1" x14ac:dyDescent="0.2">
      <c r="A24" s="221"/>
      <c r="B24" s="209"/>
      <c r="C24" s="240"/>
      <c r="D24" s="209"/>
      <c r="E24" s="209"/>
      <c r="F24" s="209"/>
      <c r="G24" s="258" t="s">
        <v>207</v>
      </c>
      <c r="H24" s="258"/>
      <c r="I24" s="255">
        <v>115000000</v>
      </c>
      <c r="J24" s="250">
        <f>+I24</f>
        <v>115000000</v>
      </c>
      <c r="K24" s="251"/>
      <c r="L24" s="252"/>
      <c r="M24" s="240"/>
      <c r="N24" s="247"/>
      <c r="O24" s="248"/>
      <c r="P24" s="266"/>
      <c r="R24" s="254"/>
    </row>
    <row r="25" spans="1:18" ht="15" customHeight="1" x14ac:dyDescent="0.2">
      <c r="A25" s="221"/>
      <c r="B25" s="209"/>
      <c r="C25" s="240"/>
      <c r="D25" s="209"/>
      <c r="E25" s="209"/>
      <c r="F25" s="209"/>
      <c r="G25" s="258"/>
      <c r="H25" s="258"/>
      <c r="I25" s="255"/>
      <c r="J25" s="250"/>
      <c r="K25" s="251"/>
      <c r="L25" s="252"/>
      <c r="M25" s="240"/>
      <c r="N25" s="247"/>
      <c r="O25" s="248"/>
      <c r="R25" s="254"/>
    </row>
    <row r="26" spans="1:18" hidden="1" x14ac:dyDescent="0.2">
      <c r="A26" s="221"/>
      <c r="B26" s="209"/>
      <c r="C26" s="240"/>
      <c r="D26" s="209" t="s">
        <v>19</v>
      </c>
      <c r="E26" s="209" t="s">
        <v>184</v>
      </c>
      <c r="F26" s="209"/>
      <c r="G26" s="258" t="str">
        <f>+'[2]Egresos Programa II General'!B11</f>
        <v>Aseo de Vías y Sitios Públicos</v>
      </c>
      <c r="H26" s="258"/>
      <c r="I26" s="255">
        <f>+'[2]INGRESOS LIBRES DETALLE Nº17'!E12</f>
        <v>0</v>
      </c>
      <c r="J26" s="250"/>
      <c r="K26" s="251"/>
      <c r="L26" s="252"/>
      <c r="M26" s="240"/>
      <c r="N26" s="247"/>
      <c r="O26" s="248"/>
      <c r="P26" s="267">
        <f>+I26+I419</f>
        <v>724368117.56048346</v>
      </c>
      <c r="Q26" s="211">
        <f>+P26+I38+I44+I58+I69+P73+I93+I94+I112+I359+I350+I331+I308+I401+I432+I467+I480+I445</f>
        <v>8544772095.1493797</v>
      </c>
      <c r="R26" s="254">
        <f>+'[2]Egresos Programa II General'!C46-'Origen y Aplicación (2)'!Q26</f>
        <v>2605167637.217453</v>
      </c>
    </row>
    <row r="27" spans="1:18" hidden="1" x14ac:dyDescent="0.2">
      <c r="A27" s="221"/>
      <c r="B27" s="209"/>
      <c r="C27" s="240"/>
      <c r="D27" s="209" t="s">
        <v>19</v>
      </c>
      <c r="E27" s="209" t="s">
        <v>185</v>
      </c>
      <c r="F27" s="209"/>
      <c r="G27" s="258" t="str">
        <f>+'[2]Egresos Programa II General'!B13</f>
        <v>Recolección de Basuras</v>
      </c>
      <c r="H27" s="258"/>
      <c r="I27" s="255">
        <f>+'[2]INGRESOS LIBRES DETALLE Nº17'!E13</f>
        <v>0</v>
      </c>
      <c r="J27" s="250"/>
      <c r="K27" s="251"/>
      <c r="L27" s="252"/>
      <c r="M27" s="240"/>
      <c r="N27" s="247"/>
      <c r="O27" s="248"/>
      <c r="P27" s="267">
        <f>+I27+I401</f>
        <v>3117778663.041574</v>
      </c>
      <c r="R27" s="254"/>
    </row>
    <row r="28" spans="1:18" hidden="1" x14ac:dyDescent="0.2">
      <c r="A28" s="221"/>
      <c r="B28" s="209"/>
      <c r="C28" s="240"/>
      <c r="D28" s="209" t="s">
        <v>19</v>
      </c>
      <c r="E28" s="209" t="s">
        <v>182</v>
      </c>
      <c r="F28" s="209"/>
      <c r="G28" s="258" t="str">
        <f>+'[2]Egresos Programa II General'!B15</f>
        <v>Parques Obras de Ornato</v>
      </c>
      <c r="H28" s="258"/>
      <c r="I28" s="255">
        <f>+'[2]INGRESOS LIBRES DETALLE Nº17'!E14</f>
        <v>0</v>
      </c>
      <c r="J28" s="250"/>
      <c r="K28" s="251"/>
      <c r="L28" s="252"/>
      <c r="M28" s="240"/>
      <c r="N28" s="247"/>
      <c r="O28" s="248"/>
      <c r="P28" s="267">
        <f>+I28+I432</f>
        <v>247033991.91791552</v>
      </c>
      <c r="R28" s="254"/>
    </row>
    <row r="29" spans="1:18" x14ac:dyDescent="0.2">
      <c r="A29" s="221"/>
      <c r="B29" s="209"/>
      <c r="C29" s="240"/>
      <c r="D29" s="209" t="s">
        <v>8</v>
      </c>
      <c r="E29" s="209" t="s">
        <v>191</v>
      </c>
      <c r="F29" s="209"/>
      <c r="G29" s="258" t="str">
        <f>+[2]ProgramaI!B38</f>
        <v>Otras Transferencias a Personas</v>
      </c>
      <c r="H29" s="258"/>
      <c r="I29" s="249">
        <f>+I30</f>
        <v>20000000</v>
      </c>
      <c r="J29" s="250"/>
      <c r="K29" s="251"/>
      <c r="L29" s="252"/>
      <c r="M29" s="240"/>
      <c r="N29" s="247"/>
      <c r="O29" s="248"/>
      <c r="P29" s="267"/>
      <c r="R29" s="254"/>
    </row>
    <row r="30" spans="1:18" x14ac:dyDescent="0.2">
      <c r="A30" s="221"/>
      <c r="B30" s="209"/>
      <c r="C30" s="240"/>
      <c r="D30" s="209"/>
      <c r="E30" s="209"/>
      <c r="F30" s="209"/>
      <c r="G30" s="258" t="s">
        <v>357</v>
      </c>
      <c r="H30" s="258"/>
      <c r="I30" s="255">
        <v>20000000</v>
      </c>
      <c r="J30" s="250">
        <f>+I30</f>
        <v>20000000</v>
      </c>
      <c r="K30" s="251"/>
      <c r="L30" s="252"/>
      <c r="M30" s="240"/>
      <c r="N30" s="247"/>
      <c r="O30" s="248"/>
      <c r="P30" s="267"/>
      <c r="R30" s="254"/>
    </row>
    <row r="31" spans="1:18" x14ac:dyDescent="0.2">
      <c r="A31" s="221"/>
      <c r="B31" s="209"/>
      <c r="C31" s="240"/>
      <c r="D31" s="209"/>
      <c r="E31" s="209"/>
      <c r="F31" s="209"/>
      <c r="G31" s="258"/>
      <c r="H31" s="258"/>
      <c r="I31" s="255"/>
      <c r="J31" s="250"/>
      <c r="K31" s="251"/>
      <c r="L31" s="252"/>
      <c r="M31" s="240"/>
      <c r="N31" s="247"/>
      <c r="O31" s="248"/>
      <c r="P31" s="267"/>
      <c r="R31" s="254"/>
    </row>
    <row r="32" spans="1:18" x14ac:dyDescent="0.2">
      <c r="A32" s="221"/>
      <c r="B32" s="209"/>
      <c r="C32" s="240"/>
      <c r="D32" s="209" t="s">
        <v>19</v>
      </c>
      <c r="E32" s="209" t="s">
        <v>189</v>
      </c>
      <c r="F32" s="209"/>
      <c r="G32" s="258" t="str">
        <f>+'[2]Egresos Programa II General'!B19</f>
        <v>Mercados, Plazas y Ferias</v>
      </c>
      <c r="H32" s="258"/>
      <c r="I32" s="249">
        <f>+'[2]INGRESOS LIBRES DETALLE Nº17'!E16</f>
        <v>38119835.82</v>
      </c>
      <c r="J32" s="250"/>
      <c r="K32" s="251"/>
      <c r="L32" s="252"/>
      <c r="M32" s="240"/>
      <c r="N32" s="247"/>
      <c r="O32" s="248"/>
      <c r="P32" s="267">
        <f>+I32+I331+I480+I350+I343</f>
        <v>332913870.98599732</v>
      </c>
      <c r="R32" s="254"/>
    </row>
    <row r="33" spans="1:18" x14ac:dyDescent="0.2">
      <c r="A33" s="221"/>
      <c r="B33" s="209"/>
      <c r="C33" s="240"/>
      <c r="D33" s="209"/>
      <c r="E33" s="209"/>
      <c r="F33" s="209"/>
      <c r="G33" s="241" t="s">
        <v>9</v>
      </c>
      <c r="H33" s="241"/>
      <c r="I33" s="255">
        <v>26306268.710000001</v>
      </c>
      <c r="J33" s="250">
        <f>+I33</f>
        <v>26306268.710000001</v>
      </c>
      <c r="K33" s="251"/>
      <c r="L33" s="252"/>
      <c r="M33" s="240"/>
      <c r="N33" s="247"/>
      <c r="O33" s="248"/>
      <c r="P33" s="267"/>
      <c r="R33" s="254"/>
    </row>
    <row r="34" spans="1:18" x14ac:dyDescent="0.2">
      <c r="A34" s="221"/>
      <c r="B34" s="209"/>
      <c r="C34" s="240"/>
      <c r="D34" s="209"/>
      <c r="E34" s="209"/>
      <c r="F34" s="209"/>
      <c r="G34" s="241" t="s">
        <v>10</v>
      </c>
      <c r="H34" s="241"/>
      <c r="I34" s="255">
        <f>7550000+753567.11+60000</f>
        <v>8363567.1100000003</v>
      </c>
      <c r="J34" s="250">
        <f>+I34</f>
        <v>8363567.1100000003</v>
      </c>
      <c r="K34" s="251"/>
      <c r="L34" s="252"/>
      <c r="M34" s="240"/>
      <c r="N34" s="247"/>
      <c r="O34" s="248"/>
      <c r="P34" s="267"/>
      <c r="R34" s="254"/>
    </row>
    <row r="35" spans="1:18" x14ac:dyDescent="0.2">
      <c r="A35" s="221"/>
      <c r="B35" s="209"/>
      <c r="C35" s="240"/>
      <c r="D35" s="209"/>
      <c r="E35" s="209"/>
      <c r="F35" s="209"/>
      <c r="G35" s="241" t="s">
        <v>276</v>
      </c>
      <c r="H35" s="241"/>
      <c r="I35" s="255">
        <v>950000</v>
      </c>
      <c r="J35" s="250">
        <f>+I35</f>
        <v>950000</v>
      </c>
      <c r="K35" s="251"/>
      <c r="L35" s="252"/>
      <c r="M35" s="240"/>
      <c r="N35" s="247"/>
      <c r="O35" s="248"/>
      <c r="P35" s="267"/>
      <c r="R35" s="254"/>
    </row>
    <row r="36" spans="1:18" x14ac:dyDescent="0.2">
      <c r="A36" s="221"/>
      <c r="B36" s="209"/>
      <c r="C36" s="240"/>
      <c r="D36" s="209"/>
      <c r="E36" s="209"/>
      <c r="F36" s="209"/>
      <c r="G36" s="241" t="s">
        <v>207</v>
      </c>
      <c r="H36" s="241"/>
      <c r="I36" s="255">
        <v>2500000</v>
      </c>
      <c r="J36" s="250">
        <f>+I36</f>
        <v>2500000</v>
      </c>
      <c r="K36" s="251"/>
      <c r="L36" s="252"/>
      <c r="M36" s="240"/>
      <c r="N36" s="247"/>
      <c r="O36" s="248"/>
      <c r="P36" s="267"/>
      <c r="R36" s="254"/>
    </row>
    <row r="37" spans="1:18" x14ac:dyDescent="0.2">
      <c r="A37" s="221"/>
      <c r="B37" s="209"/>
      <c r="C37" s="240"/>
      <c r="D37" s="209"/>
      <c r="E37" s="209"/>
      <c r="F37" s="209"/>
      <c r="G37" s="241"/>
      <c r="H37" s="241"/>
      <c r="I37" s="255"/>
      <c r="J37" s="250"/>
      <c r="K37" s="251"/>
      <c r="L37" s="252"/>
      <c r="M37" s="240"/>
      <c r="N37" s="247"/>
      <c r="O37" s="248"/>
      <c r="P37" s="267"/>
      <c r="R37" s="254"/>
    </row>
    <row r="38" spans="1:18" x14ac:dyDescent="0.2">
      <c r="A38" s="221"/>
      <c r="B38" s="209"/>
      <c r="C38" s="240"/>
      <c r="D38" s="209" t="s">
        <v>19</v>
      </c>
      <c r="E38" s="209" t="s">
        <v>187</v>
      </c>
      <c r="F38" s="209" t="s">
        <v>209</v>
      </c>
      <c r="G38" s="241" t="str">
        <f>+'[2]Egresos Programa II General'!B21</f>
        <v>Educativos, Culturales y Deportivos</v>
      </c>
      <c r="H38" s="241"/>
      <c r="I38" s="249">
        <f>+'[2]INGRESOS LIBRES DETALLE Nº17'!E17</f>
        <v>207295174.15000001</v>
      </c>
      <c r="J38" s="250"/>
      <c r="K38" s="251"/>
      <c r="L38" s="252"/>
      <c r="M38" s="240"/>
      <c r="N38" s="247"/>
      <c r="O38" s="248"/>
      <c r="P38" s="210">
        <f>+I38</f>
        <v>207295174.15000001</v>
      </c>
    </row>
    <row r="39" spans="1:18" x14ac:dyDescent="0.2">
      <c r="A39" s="221"/>
      <c r="B39" s="209"/>
      <c r="C39" s="240"/>
      <c r="D39" s="209"/>
      <c r="E39" s="209"/>
      <c r="F39" s="209"/>
      <c r="G39" s="241" t="s">
        <v>9</v>
      </c>
      <c r="H39" s="241"/>
      <c r="I39" s="255">
        <v>53291599.460000001</v>
      </c>
      <c r="J39" s="250">
        <f>+I39</f>
        <v>53291599.460000001</v>
      </c>
      <c r="K39" s="251"/>
      <c r="L39" s="268"/>
      <c r="M39" s="240"/>
      <c r="N39" s="247"/>
      <c r="O39" s="248">
        <f>SUM(J39:J42)</f>
        <v>207295174.15000001</v>
      </c>
    </row>
    <row r="40" spans="1:18" x14ac:dyDescent="0.2">
      <c r="A40" s="221"/>
      <c r="B40" s="209"/>
      <c r="C40" s="240"/>
      <c r="D40" s="209"/>
      <c r="E40" s="209"/>
      <c r="F40" s="209"/>
      <c r="G40" s="241" t="s">
        <v>10</v>
      </c>
      <c r="H40" s="241"/>
      <c r="I40" s="255">
        <v>148203574.69</v>
      </c>
      <c r="J40" s="250">
        <f>+I40</f>
        <v>148203574.69</v>
      </c>
      <c r="K40" s="251"/>
      <c r="L40" s="252"/>
      <c r="M40" s="240"/>
      <c r="N40" s="247"/>
      <c r="O40" s="248"/>
    </row>
    <row r="41" spans="1:18" x14ac:dyDescent="0.2">
      <c r="A41" s="221"/>
      <c r="B41" s="209"/>
      <c r="C41" s="240"/>
      <c r="D41" s="209"/>
      <c r="E41" s="209"/>
      <c r="F41" s="209"/>
      <c r="G41" s="241" t="s">
        <v>276</v>
      </c>
      <c r="H41" s="241"/>
      <c r="I41" s="255">
        <v>3000000</v>
      </c>
      <c r="J41" s="250">
        <f>+I41</f>
        <v>3000000</v>
      </c>
      <c r="K41" s="251"/>
      <c r="L41" s="252"/>
      <c r="M41" s="240"/>
      <c r="N41" s="247"/>
      <c r="O41" s="248"/>
    </row>
    <row r="42" spans="1:18" x14ac:dyDescent="0.2">
      <c r="A42" s="221"/>
      <c r="B42" s="209"/>
      <c r="C42" s="240"/>
      <c r="D42" s="209"/>
      <c r="E42" s="209"/>
      <c r="F42" s="209"/>
      <c r="G42" s="241" t="s">
        <v>207</v>
      </c>
      <c r="H42" s="241"/>
      <c r="I42" s="255">
        <v>2800000</v>
      </c>
      <c r="J42" s="250">
        <f>+I42</f>
        <v>2800000</v>
      </c>
      <c r="K42" s="251"/>
      <c r="L42" s="252"/>
      <c r="M42" s="240"/>
      <c r="N42" s="247"/>
      <c r="O42" s="248"/>
    </row>
    <row r="43" spans="1:18" x14ac:dyDescent="0.2">
      <c r="A43" s="221"/>
      <c r="B43" s="209"/>
      <c r="C43" s="240"/>
      <c r="D43" s="209"/>
      <c r="E43" s="209"/>
      <c r="F43" s="209"/>
      <c r="G43" s="241"/>
      <c r="H43" s="241"/>
      <c r="I43" s="255"/>
      <c r="J43" s="250"/>
      <c r="K43" s="251"/>
      <c r="L43" s="252"/>
      <c r="M43" s="240"/>
      <c r="N43" s="247"/>
      <c r="O43" s="248"/>
    </row>
    <row r="44" spans="1:18" x14ac:dyDescent="0.2">
      <c r="A44" s="221"/>
      <c r="B44" s="209"/>
      <c r="C44" s="240"/>
      <c r="D44" s="209" t="s">
        <v>19</v>
      </c>
      <c r="E44" s="209">
        <v>10</v>
      </c>
      <c r="F44" s="209"/>
      <c r="G44" s="241" t="str">
        <f>+'[2]Egresos Programa II General'!B23</f>
        <v>Servicios Sociales Complementarios</v>
      </c>
      <c r="H44" s="241"/>
      <c r="I44" s="249">
        <f>+'[2]INGRESOS LIBRES DETALLE Nº17'!E18</f>
        <v>444384322.54999995</v>
      </c>
      <c r="J44" s="250"/>
      <c r="K44" s="251"/>
      <c r="L44" s="252"/>
      <c r="M44" s="240"/>
      <c r="N44" s="247"/>
      <c r="O44" s="248"/>
      <c r="P44" s="210">
        <f>+I44+I576+I571+I632+I451+I636</f>
        <v>513032895.99999994</v>
      </c>
      <c r="Q44" s="211">
        <v>303000</v>
      </c>
    </row>
    <row r="45" spans="1:18" x14ac:dyDescent="0.2">
      <c r="A45" s="221"/>
      <c r="B45" s="209"/>
      <c r="C45" s="240"/>
      <c r="D45" s="209"/>
      <c r="E45" s="209"/>
      <c r="F45" s="209"/>
      <c r="G45" s="241" t="s">
        <v>9</v>
      </c>
      <c r="H45" s="241"/>
      <c r="I45" s="269">
        <v>279567620.111</v>
      </c>
      <c r="J45" s="250">
        <f>+I45</f>
        <v>279567620.111</v>
      </c>
      <c r="K45" s="251"/>
      <c r="L45" s="252"/>
      <c r="M45" s="240"/>
      <c r="N45" s="247"/>
      <c r="O45" s="248"/>
    </row>
    <row r="46" spans="1:18" x14ac:dyDescent="0.2">
      <c r="A46" s="221"/>
      <c r="B46" s="209"/>
      <c r="C46" s="240"/>
      <c r="D46" s="209"/>
      <c r="E46" s="209"/>
      <c r="F46" s="209"/>
      <c r="G46" s="241" t="s">
        <v>10</v>
      </c>
      <c r="H46" s="241"/>
      <c r="I46" s="269">
        <v>150116702.44</v>
      </c>
      <c r="J46" s="250">
        <f>+I46</f>
        <v>150116702.44</v>
      </c>
      <c r="K46" s="251"/>
      <c r="L46" s="252"/>
      <c r="M46" s="240"/>
      <c r="N46" s="247"/>
      <c r="O46" s="248"/>
    </row>
    <row r="47" spans="1:18" x14ac:dyDescent="0.2">
      <c r="A47" s="221"/>
      <c r="B47" s="209"/>
      <c r="C47" s="240"/>
      <c r="D47" s="209"/>
      <c r="E47" s="209"/>
      <c r="F47" s="209"/>
      <c r="G47" s="241" t="s">
        <v>276</v>
      </c>
      <c r="H47" s="241"/>
      <c r="I47" s="269">
        <v>3550000</v>
      </c>
      <c r="J47" s="250">
        <f>+I47</f>
        <v>3550000</v>
      </c>
      <c r="K47" s="251"/>
      <c r="L47" s="252"/>
      <c r="M47" s="240"/>
      <c r="N47" s="247"/>
      <c r="O47" s="248"/>
    </row>
    <row r="48" spans="1:18" x14ac:dyDescent="0.2">
      <c r="A48" s="221"/>
      <c r="B48" s="209"/>
      <c r="C48" s="240"/>
      <c r="D48" s="209"/>
      <c r="E48" s="209"/>
      <c r="F48" s="209"/>
      <c r="G48" s="241" t="s">
        <v>181</v>
      </c>
      <c r="H48" s="241"/>
      <c r="I48" s="269">
        <v>150000</v>
      </c>
      <c r="J48" s="250"/>
      <c r="K48" s="251">
        <f>+I48</f>
        <v>150000</v>
      </c>
      <c r="L48" s="252"/>
      <c r="M48" s="240"/>
      <c r="N48" s="247"/>
      <c r="O48" s="248"/>
    </row>
    <row r="49" spans="1:16" x14ac:dyDescent="0.2">
      <c r="A49" s="221"/>
      <c r="B49" s="209"/>
      <c r="C49" s="240"/>
      <c r="D49" s="209"/>
      <c r="E49" s="209"/>
      <c r="F49" s="209"/>
      <c r="G49" s="241" t="s">
        <v>207</v>
      </c>
      <c r="H49" s="241"/>
      <c r="I49" s="269">
        <v>11000000</v>
      </c>
      <c r="J49" s="250">
        <f>+I49</f>
        <v>11000000</v>
      </c>
      <c r="K49" s="251"/>
      <c r="L49" s="252"/>
      <c r="M49" s="240"/>
      <c r="N49" s="247"/>
      <c r="O49" s="248"/>
    </row>
    <row r="50" spans="1:16" x14ac:dyDescent="0.2">
      <c r="A50" s="221"/>
      <c r="B50" s="209"/>
      <c r="C50" s="240"/>
      <c r="D50" s="209"/>
      <c r="E50" s="209"/>
      <c r="F50" s="209"/>
      <c r="G50" s="241"/>
      <c r="H50" s="241"/>
      <c r="I50" s="249"/>
      <c r="J50" s="250"/>
      <c r="K50" s="251"/>
      <c r="L50" s="252"/>
      <c r="M50" s="240"/>
      <c r="N50" s="247"/>
      <c r="O50" s="248"/>
    </row>
    <row r="51" spans="1:16" hidden="1" x14ac:dyDescent="0.2">
      <c r="A51" s="221"/>
      <c r="B51" s="209"/>
      <c r="C51" s="240"/>
      <c r="D51" s="209"/>
      <c r="E51" s="209"/>
      <c r="F51" s="209"/>
      <c r="G51" s="241"/>
      <c r="H51" s="241"/>
      <c r="I51" s="249"/>
      <c r="J51" s="250"/>
      <c r="K51" s="251"/>
      <c r="L51" s="252"/>
      <c r="M51" s="240"/>
      <c r="N51" s="247"/>
      <c r="O51" s="248"/>
    </row>
    <row r="52" spans="1:16" hidden="1" x14ac:dyDescent="0.2">
      <c r="A52" s="221"/>
      <c r="B52" s="209"/>
      <c r="C52" s="240"/>
      <c r="D52" s="209"/>
      <c r="E52" s="209"/>
      <c r="F52" s="209"/>
      <c r="G52" s="241"/>
      <c r="H52" s="241"/>
      <c r="I52" s="249"/>
      <c r="J52" s="250"/>
      <c r="K52" s="251"/>
      <c r="L52" s="252"/>
      <c r="M52" s="240"/>
      <c r="N52" s="247"/>
      <c r="O52" s="248"/>
    </row>
    <row r="53" spans="1:16" hidden="1" x14ac:dyDescent="0.2">
      <c r="A53" s="221"/>
      <c r="B53" s="209"/>
      <c r="C53" s="240"/>
      <c r="D53" s="209"/>
      <c r="E53" s="209"/>
      <c r="F53" s="209"/>
      <c r="G53" s="241"/>
      <c r="H53" s="241"/>
      <c r="I53" s="249"/>
      <c r="J53" s="250"/>
      <c r="K53" s="251"/>
      <c r="L53" s="252"/>
      <c r="M53" s="240"/>
      <c r="N53" s="247"/>
      <c r="O53" s="248"/>
    </row>
    <row r="54" spans="1:16" x14ac:dyDescent="0.2">
      <c r="A54" s="221"/>
      <c r="B54" s="209"/>
      <c r="C54" s="240"/>
      <c r="D54" s="209" t="s">
        <v>19</v>
      </c>
      <c r="E54" s="209">
        <v>11</v>
      </c>
      <c r="F54" s="209"/>
      <c r="G54" s="241" t="s">
        <v>281</v>
      </c>
      <c r="H54" s="241"/>
      <c r="I54" s="249">
        <f>+'[2]INGRESOS LIBRES DETALLE Nº17'!E19</f>
        <v>171481778.78999999</v>
      </c>
      <c r="J54" s="250"/>
      <c r="K54" s="251"/>
      <c r="L54" s="252"/>
      <c r="M54" s="240"/>
      <c r="N54" s="247"/>
      <c r="O54" s="248"/>
      <c r="P54" s="210">
        <f>+I54+I467</f>
        <v>236281778.7913734</v>
      </c>
    </row>
    <row r="55" spans="1:16" hidden="1" x14ac:dyDescent="0.2">
      <c r="A55" s="221"/>
      <c r="B55" s="209"/>
      <c r="C55" s="240"/>
      <c r="D55" s="209" t="s">
        <v>19</v>
      </c>
      <c r="E55" s="209">
        <v>13</v>
      </c>
      <c r="F55" s="209"/>
      <c r="G55" s="241" t="str">
        <f>+'[2]Egresos Programa II General'!B27</f>
        <v>Alcantarillados Sanitarios</v>
      </c>
      <c r="H55" s="241"/>
      <c r="I55" s="255">
        <f>+'[2]INGRESOS LIBRES DETALLE Nº17'!E20</f>
        <v>0</v>
      </c>
      <c r="J55" s="250"/>
      <c r="K55" s="251"/>
      <c r="L55" s="252"/>
      <c r="M55" s="240"/>
      <c r="N55" s="247"/>
      <c r="O55" s="248"/>
      <c r="P55" s="210">
        <f>+I55+I610+I359</f>
        <v>564650713.45450699</v>
      </c>
    </row>
    <row r="56" spans="1:16" x14ac:dyDescent="0.2">
      <c r="A56" s="221"/>
      <c r="B56" s="209"/>
      <c r="C56" s="240"/>
      <c r="D56" s="209"/>
      <c r="E56" s="209"/>
      <c r="F56" s="209"/>
      <c r="G56" s="241" t="s">
        <v>9</v>
      </c>
      <c r="H56" s="241"/>
      <c r="I56" s="255">
        <v>171481778.78999999</v>
      </c>
      <c r="J56" s="250">
        <f>+I56</f>
        <v>171481778.78999999</v>
      </c>
      <c r="K56" s="251"/>
      <c r="L56" s="252"/>
      <c r="M56" s="240"/>
      <c r="N56" s="247"/>
      <c r="O56" s="248"/>
    </row>
    <row r="57" spans="1:16" ht="12" customHeight="1" x14ac:dyDescent="0.2">
      <c r="A57" s="221"/>
      <c r="B57" s="209"/>
      <c r="C57" s="240"/>
      <c r="D57" s="209"/>
      <c r="E57" s="209"/>
      <c r="F57" s="209"/>
      <c r="G57" s="241"/>
      <c r="H57" s="241"/>
      <c r="I57" s="255"/>
      <c r="J57" s="250"/>
      <c r="K57" s="251"/>
      <c r="L57" s="252"/>
      <c r="M57" s="240"/>
      <c r="N57" s="247"/>
      <c r="O57" s="248"/>
    </row>
    <row r="58" spans="1:16" ht="12" customHeight="1" x14ac:dyDescent="0.2">
      <c r="A58" s="221"/>
      <c r="B58" s="209"/>
      <c r="C58" s="240"/>
      <c r="D58" s="209" t="s">
        <v>19</v>
      </c>
      <c r="E58" s="209">
        <v>18</v>
      </c>
      <c r="F58" s="209"/>
      <c r="G58" s="241" t="str">
        <f>+'[2]Egresos Programa II General'!B29</f>
        <v>Reparaciones Menores de Maquinaria y Equipo</v>
      </c>
      <c r="H58" s="241"/>
      <c r="I58" s="249">
        <f>+'[2]INGRESOS LIBRES DETALLE Nº17'!E21</f>
        <v>52464227.530000001</v>
      </c>
      <c r="J58" s="250"/>
      <c r="K58" s="251"/>
      <c r="L58" s="252"/>
      <c r="M58" s="240"/>
      <c r="N58" s="247"/>
      <c r="O58" s="248"/>
      <c r="P58" s="210">
        <f>+I58</f>
        <v>52464227.530000001</v>
      </c>
    </row>
    <row r="59" spans="1:16" ht="12" customHeight="1" x14ac:dyDescent="0.2">
      <c r="A59" s="221"/>
      <c r="B59" s="209"/>
      <c r="C59" s="240"/>
      <c r="D59" s="209"/>
      <c r="E59" s="209"/>
      <c r="F59" s="209"/>
      <c r="G59" s="241" t="s">
        <v>9</v>
      </c>
      <c r="H59" s="241"/>
      <c r="I59" s="255">
        <v>47393851.689999998</v>
      </c>
      <c r="J59" s="250">
        <f>+I59</f>
        <v>47393851.689999998</v>
      </c>
      <c r="K59" s="251"/>
      <c r="L59" s="252"/>
      <c r="M59" s="240"/>
      <c r="N59" s="247"/>
      <c r="O59" s="248"/>
    </row>
    <row r="60" spans="1:16" ht="12" customHeight="1" x14ac:dyDescent="0.2">
      <c r="A60" s="221"/>
      <c r="B60" s="209"/>
      <c r="C60" s="240"/>
      <c r="D60" s="209"/>
      <c r="E60" s="209"/>
      <c r="F60" s="209"/>
      <c r="G60" s="241" t="s">
        <v>10</v>
      </c>
      <c r="H60" s="241"/>
      <c r="I60" s="255">
        <v>1070375.8400000001</v>
      </c>
      <c r="J60" s="250">
        <f>+I60</f>
        <v>1070375.8400000001</v>
      </c>
      <c r="K60" s="251"/>
      <c r="L60" s="252"/>
      <c r="M60" s="240"/>
      <c r="N60" s="247"/>
      <c r="O60" s="248"/>
    </row>
    <row r="61" spans="1:16" ht="12" customHeight="1" x14ac:dyDescent="0.2">
      <c r="A61" s="221"/>
      <c r="B61" s="209"/>
      <c r="C61" s="240"/>
      <c r="D61" s="209"/>
      <c r="E61" s="209"/>
      <c r="F61" s="209"/>
      <c r="G61" s="241" t="s">
        <v>207</v>
      </c>
      <c r="H61" s="241"/>
      <c r="I61" s="255">
        <v>4000000</v>
      </c>
      <c r="J61" s="250">
        <f>+I61</f>
        <v>4000000</v>
      </c>
      <c r="K61" s="251"/>
      <c r="L61" s="252"/>
      <c r="M61" s="240"/>
      <c r="N61" s="247"/>
      <c r="O61" s="248"/>
    </row>
    <row r="62" spans="1:16" ht="12" customHeight="1" x14ac:dyDescent="0.2">
      <c r="A62" s="221"/>
      <c r="B62" s="209"/>
      <c r="C62" s="240"/>
      <c r="D62" s="209"/>
      <c r="E62" s="209"/>
      <c r="F62" s="209"/>
      <c r="G62" s="241"/>
      <c r="H62" s="241"/>
      <c r="I62" s="255"/>
      <c r="J62" s="250"/>
      <c r="K62" s="251"/>
      <c r="L62" s="252"/>
      <c r="M62" s="240"/>
      <c r="N62" s="247"/>
      <c r="O62" s="248"/>
    </row>
    <row r="63" spans="1:16" x14ac:dyDescent="0.2">
      <c r="A63" s="221"/>
      <c r="B63" s="209"/>
      <c r="C63" s="240"/>
      <c r="D63" s="209" t="s">
        <v>19</v>
      </c>
      <c r="E63" s="209">
        <v>22</v>
      </c>
      <c r="F63" s="209"/>
      <c r="G63" s="270" t="str">
        <f>+'[2]Egresos Programa II General'!B31</f>
        <v>Seguridad Vial</v>
      </c>
      <c r="H63" s="270"/>
      <c r="I63" s="249">
        <f>+'[2]INGRESOS LIBRES DETALLE Nº17'!E22</f>
        <v>203760970.06</v>
      </c>
      <c r="J63" s="250"/>
      <c r="K63" s="251"/>
      <c r="L63" s="252"/>
      <c r="M63" s="240"/>
      <c r="N63" s="247"/>
      <c r="O63" s="248"/>
      <c r="P63" s="210">
        <f>+I63+I562</f>
        <v>306960970.06</v>
      </c>
    </row>
    <row r="64" spans="1:16" x14ac:dyDescent="0.2">
      <c r="A64" s="221"/>
      <c r="B64" s="209"/>
      <c r="C64" s="240"/>
      <c r="D64" s="209"/>
      <c r="E64" s="209"/>
      <c r="F64" s="209"/>
      <c r="G64" s="270" t="s">
        <v>9</v>
      </c>
      <c r="H64" s="270"/>
      <c r="I64" s="255">
        <v>203760970.06</v>
      </c>
      <c r="J64" s="250">
        <f>+I64</f>
        <v>203760970.06</v>
      </c>
      <c r="K64" s="251"/>
      <c r="L64" s="252"/>
      <c r="M64" s="240"/>
      <c r="N64" s="247"/>
      <c r="O64" s="248"/>
    </row>
    <row r="65" spans="1:18" x14ac:dyDescent="0.2">
      <c r="A65" s="221"/>
      <c r="B65" s="209"/>
      <c r="C65" s="240"/>
      <c r="D65" s="209"/>
      <c r="E65" s="209"/>
      <c r="F65" s="209"/>
      <c r="G65" s="270"/>
      <c r="H65" s="270"/>
      <c r="I65" s="255"/>
      <c r="J65" s="250"/>
      <c r="K65" s="251"/>
      <c r="L65" s="252"/>
      <c r="M65" s="240"/>
      <c r="N65" s="247"/>
      <c r="O65" s="248"/>
    </row>
    <row r="66" spans="1:18" hidden="1" x14ac:dyDescent="0.2">
      <c r="A66" s="221"/>
      <c r="B66" s="209"/>
      <c r="C66" s="240"/>
      <c r="D66" s="209"/>
      <c r="E66" s="209"/>
      <c r="F66" s="209"/>
      <c r="G66" s="270"/>
      <c r="H66" s="270"/>
      <c r="I66" s="255"/>
      <c r="J66" s="250"/>
      <c r="K66" s="251"/>
      <c r="L66" s="252"/>
      <c r="M66" s="240"/>
      <c r="N66" s="247"/>
      <c r="O66" s="248"/>
    </row>
    <row r="67" spans="1:18" hidden="1" x14ac:dyDescent="0.2">
      <c r="A67" s="221"/>
      <c r="B67" s="209"/>
      <c r="C67" s="240"/>
      <c r="D67" s="209"/>
      <c r="E67" s="209"/>
      <c r="F67" s="209"/>
      <c r="G67" s="270"/>
      <c r="H67" s="270"/>
      <c r="I67" s="255"/>
      <c r="J67" s="250"/>
      <c r="K67" s="251"/>
      <c r="L67" s="252"/>
      <c r="M67" s="240"/>
      <c r="N67" s="247"/>
      <c r="O67" s="248"/>
    </row>
    <row r="68" spans="1:18" hidden="1" x14ac:dyDescent="0.2">
      <c r="A68" s="221"/>
      <c r="B68" s="209"/>
      <c r="C68" s="240"/>
      <c r="D68" s="209"/>
      <c r="E68" s="209"/>
      <c r="F68" s="209"/>
      <c r="G68" s="270"/>
      <c r="H68" s="270"/>
      <c r="I68" s="255"/>
      <c r="J68" s="250"/>
      <c r="K68" s="251"/>
      <c r="L68" s="252"/>
      <c r="M68" s="240"/>
      <c r="N68" s="247"/>
      <c r="O68" s="248"/>
    </row>
    <row r="69" spans="1:18" x14ac:dyDescent="0.2">
      <c r="A69" s="221"/>
      <c r="B69" s="209"/>
      <c r="C69" s="240"/>
      <c r="D69" s="209" t="s">
        <v>19</v>
      </c>
      <c r="E69" s="209">
        <v>23</v>
      </c>
      <c r="F69" s="209"/>
      <c r="G69" s="241" t="str">
        <f>+'[2]Egresos Programa II General'!B33</f>
        <v>Seguridad y Vigilancia en la Comunidad</v>
      </c>
      <c r="H69" s="241"/>
      <c r="I69" s="249">
        <f>+'[2]INGRESOS LIBRES DETALLE Nº17'!E23</f>
        <v>356410935.43000001</v>
      </c>
      <c r="J69" s="250"/>
      <c r="K69" s="251"/>
      <c r="L69" s="252"/>
      <c r="M69" s="240"/>
      <c r="N69" s="247"/>
      <c r="O69" s="248"/>
      <c r="P69" s="210">
        <f>+I69+I506</f>
        <v>483410935.43000001</v>
      </c>
      <c r="Q69" s="211">
        <f>+I127+I128+I135+I209+I562+I606+I622</f>
        <v>1300879105.5572379</v>
      </c>
      <c r="R69" s="211"/>
    </row>
    <row r="70" spans="1:18" x14ac:dyDescent="0.2">
      <c r="A70" s="221"/>
      <c r="B70" s="209"/>
      <c r="C70" s="240"/>
      <c r="D70" s="209"/>
      <c r="E70" s="209"/>
      <c r="F70" s="209"/>
      <c r="G70" s="270" t="s">
        <v>9</v>
      </c>
      <c r="H70" s="241"/>
      <c r="I70" s="255">
        <v>356410935.43000001</v>
      </c>
      <c r="J70" s="250">
        <f>+I70</f>
        <v>356410935.43000001</v>
      </c>
      <c r="K70" s="251"/>
      <c r="L70" s="252"/>
      <c r="M70" s="240"/>
      <c r="N70" s="247"/>
      <c r="O70" s="248"/>
      <c r="R70" s="211"/>
    </row>
    <row r="71" spans="1:18" x14ac:dyDescent="0.2">
      <c r="A71" s="221"/>
      <c r="B71" s="209"/>
      <c r="C71" s="240"/>
      <c r="D71" s="209"/>
      <c r="E71" s="209"/>
      <c r="F71" s="209"/>
      <c r="G71" s="241"/>
      <c r="H71" s="241"/>
      <c r="I71" s="255"/>
      <c r="J71" s="250"/>
      <c r="K71" s="251"/>
      <c r="L71" s="252"/>
      <c r="M71" s="240"/>
      <c r="N71" s="247"/>
      <c r="O71" s="248"/>
      <c r="R71" s="211"/>
    </row>
    <row r="72" spans="1:18" x14ac:dyDescent="0.2">
      <c r="A72" s="221"/>
      <c r="B72" s="209"/>
      <c r="C72" s="240"/>
      <c r="D72" s="209"/>
      <c r="E72" s="209"/>
      <c r="F72" s="209"/>
      <c r="G72" s="241"/>
      <c r="H72" s="241"/>
      <c r="I72" s="255"/>
      <c r="J72" s="250"/>
      <c r="K72" s="251"/>
      <c r="L72" s="252"/>
      <c r="M72" s="240"/>
      <c r="N72" s="247"/>
      <c r="O72" s="248"/>
      <c r="R72" s="211"/>
    </row>
    <row r="73" spans="1:18" x14ac:dyDescent="0.2">
      <c r="A73" s="221"/>
      <c r="B73" s="209"/>
      <c r="C73" s="240"/>
      <c r="D73" s="209" t="s">
        <v>19</v>
      </c>
      <c r="E73" s="209">
        <v>25</v>
      </c>
      <c r="F73" s="209"/>
      <c r="G73" s="241" t="str">
        <f>+'[2]Egresos Programa II General'!B35</f>
        <v>Protección del Medio Ambiente</v>
      </c>
      <c r="H73" s="241"/>
      <c r="I73" s="249">
        <f>+'[2]INGRESOS LIBRES DETALLE Nº17'!E24</f>
        <v>166509039.62</v>
      </c>
      <c r="J73" s="250"/>
      <c r="K73" s="251"/>
      <c r="L73" s="252"/>
      <c r="M73" s="240"/>
      <c r="N73" s="247"/>
      <c r="O73" s="248"/>
      <c r="P73" s="210">
        <f>+I73+I297</f>
        <v>192969039.62040126</v>
      </c>
    </row>
    <row r="74" spans="1:18" x14ac:dyDescent="0.2">
      <c r="A74" s="221"/>
      <c r="B74" s="209"/>
      <c r="C74" s="240"/>
      <c r="D74" s="209"/>
      <c r="E74" s="209"/>
      <c r="F74" s="209"/>
      <c r="G74" s="241" t="s">
        <v>9</v>
      </c>
      <c r="H74" s="241"/>
      <c r="I74" s="255">
        <v>143574593.96000001</v>
      </c>
      <c r="J74" s="250">
        <f>+I74</f>
        <v>143574593.96000001</v>
      </c>
      <c r="K74" s="251"/>
      <c r="L74" s="252"/>
      <c r="M74" s="240"/>
      <c r="N74" s="247"/>
      <c r="O74" s="248"/>
    </row>
    <row r="75" spans="1:18" x14ac:dyDescent="0.2">
      <c r="A75" s="221"/>
      <c r="B75" s="209"/>
      <c r="C75" s="240"/>
      <c r="D75" s="209"/>
      <c r="E75" s="209"/>
      <c r="F75" s="209"/>
      <c r="G75" s="241" t="s">
        <v>10</v>
      </c>
      <c r="H75" s="241"/>
      <c r="I75" s="255">
        <v>14792588.880000001</v>
      </c>
      <c r="J75" s="250">
        <f>+I75</f>
        <v>14792588.880000001</v>
      </c>
      <c r="K75" s="251"/>
      <c r="L75" s="252"/>
      <c r="M75" s="240"/>
      <c r="N75" s="247"/>
      <c r="O75" s="248"/>
    </row>
    <row r="76" spans="1:18" x14ac:dyDescent="0.2">
      <c r="A76" s="221"/>
      <c r="B76" s="209"/>
      <c r="C76" s="240"/>
      <c r="D76" s="209"/>
      <c r="E76" s="209"/>
      <c r="F76" s="209"/>
      <c r="G76" s="241" t="s">
        <v>276</v>
      </c>
      <c r="H76" s="241"/>
      <c r="I76" s="255">
        <v>450000</v>
      </c>
      <c r="J76" s="250">
        <f>+I76</f>
        <v>450000</v>
      </c>
      <c r="K76" s="251"/>
      <c r="L76" s="252"/>
      <c r="M76" s="240"/>
      <c r="N76" s="247"/>
      <c r="O76" s="248"/>
    </row>
    <row r="77" spans="1:18" x14ac:dyDescent="0.2">
      <c r="A77" s="221"/>
      <c r="B77" s="209"/>
      <c r="C77" s="240"/>
      <c r="D77" s="209"/>
      <c r="E77" s="209"/>
      <c r="F77" s="209"/>
      <c r="G77" s="241" t="s">
        <v>207</v>
      </c>
      <c r="H77" s="241"/>
      <c r="I77" s="255">
        <v>7691856.7800000003</v>
      </c>
      <c r="J77" s="250">
        <f>+I77</f>
        <v>7691856.7800000003</v>
      </c>
      <c r="K77" s="251"/>
      <c r="L77" s="252"/>
      <c r="M77" s="240"/>
      <c r="N77" s="247"/>
      <c r="O77" s="248"/>
    </row>
    <row r="78" spans="1:18" x14ac:dyDescent="0.2">
      <c r="A78" s="221"/>
      <c r="B78" s="209"/>
      <c r="C78" s="240"/>
      <c r="D78" s="209"/>
      <c r="E78" s="209"/>
      <c r="F78" s="209"/>
      <c r="G78" s="241"/>
      <c r="H78" s="241"/>
      <c r="I78" s="255"/>
      <c r="J78" s="250"/>
      <c r="K78" s="251"/>
      <c r="L78" s="252"/>
      <c r="M78" s="240"/>
      <c r="N78" s="247"/>
      <c r="O78" s="248"/>
    </row>
    <row r="79" spans="1:18" hidden="1" x14ac:dyDescent="0.2">
      <c r="A79" s="221"/>
      <c r="B79" s="209"/>
      <c r="C79" s="240"/>
      <c r="D79" s="209"/>
      <c r="E79" s="209"/>
      <c r="F79" s="209"/>
      <c r="G79" s="241"/>
      <c r="H79" s="241"/>
      <c r="I79" s="255"/>
      <c r="J79" s="250"/>
      <c r="K79" s="251"/>
      <c r="L79" s="252"/>
      <c r="M79" s="240"/>
      <c r="N79" s="247"/>
      <c r="O79" s="248"/>
    </row>
    <row r="80" spans="1:18" hidden="1" x14ac:dyDescent="0.2">
      <c r="A80" s="221"/>
      <c r="B80" s="209"/>
      <c r="C80" s="240"/>
      <c r="D80" s="209"/>
      <c r="E80" s="209"/>
      <c r="F80" s="209"/>
      <c r="G80" s="241"/>
      <c r="H80" s="241"/>
      <c r="I80" s="255"/>
      <c r="J80" s="250"/>
      <c r="K80" s="251"/>
      <c r="L80" s="252"/>
      <c r="M80" s="240"/>
      <c r="N80" s="247"/>
      <c r="O80" s="248"/>
    </row>
    <row r="81" spans="1:17" hidden="1" x14ac:dyDescent="0.2">
      <c r="A81" s="221"/>
      <c r="B81" s="209"/>
      <c r="C81" s="240"/>
      <c r="D81" s="209"/>
      <c r="E81" s="209"/>
      <c r="F81" s="209"/>
      <c r="G81" s="241"/>
      <c r="H81" s="241"/>
      <c r="I81" s="255"/>
      <c r="J81" s="250"/>
      <c r="K81" s="251"/>
      <c r="L81" s="252"/>
      <c r="M81" s="240"/>
      <c r="N81" s="247"/>
      <c r="O81" s="248"/>
    </row>
    <row r="82" spans="1:17" hidden="1" x14ac:dyDescent="0.2">
      <c r="A82" s="221"/>
      <c r="B82" s="209"/>
      <c r="C82" s="240"/>
      <c r="D82" s="209"/>
      <c r="E82" s="209"/>
      <c r="F82" s="209"/>
      <c r="G82" s="241"/>
      <c r="H82" s="241"/>
      <c r="I82" s="255"/>
      <c r="J82" s="250"/>
      <c r="K82" s="251"/>
      <c r="L82" s="252"/>
      <c r="M82" s="240"/>
      <c r="N82" s="247"/>
      <c r="O82" s="248"/>
    </row>
    <row r="83" spans="1:17" hidden="1" x14ac:dyDescent="0.2">
      <c r="A83" s="221"/>
      <c r="B83" s="209"/>
      <c r="C83" s="240"/>
      <c r="D83" s="209"/>
      <c r="E83" s="209"/>
      <c r="F83" s="209"/>
      <c r="G83" s="241"/>
      <c r="H83" s="241"/>
      <c r="I83" s="255"/>
      <c r="J83" s="250"/>
      <c r="K83" s="251"/>
      <c r="L83" s="252"/>
      <c r="M83" s="240"/>
      <c r="N83" s="247"/>
      <c r="O83" s="248"/>
    </row>
    <row r="84" spans="1:17" hidden="1" x14ac:dyDescent="0.2">
      <c r="A84" s="221"/>
      <c r="B84" s="209"/>
      <c r="C84" s="240"/>
      <c r="D84" s="209"/>
      <c r="E84" s="209"/>
      <c r="F84" s="209"/>
      <c r="G84" s="241"/>
      <c r="H84" s="241"/>
      <c r="I84" s="255"/>
      <c r="J84" s="250"/>
      <c r="K84" s="251"/>
      <c r="L84" s="252"/>
      <c r="M84" s="240"/>
      <c r="N84" s="247"/>
      <c r="O84" s="248"/>
    </row>
    <row r="85" spans="1:17" hidden="1" x14ac:dyDescent="0.2">
      <c r="A85" s="221"/>
      <c r="B85" s="209"/>
      <c r="C85" s="240"/>
      <c r="D85" s="209"/>
      <c r="E85" s="209"/>
      <c r="F85" s="209"/>
      <c r="G85" s="241"/>
      <c r="H85" s="241"/>
      <c r="I85" s="255"/>
      <c r="J85" s="250"/>
      <c r="K85" s="251"/>
      <c r="L85" s="252"/>
      <c r="M85" s="240"/>
      <c r="N85" s="247"/>
      <c r="O85" s="248"/>
    </row>
    <row r="86" spans="1:17" hidden="1" x14ac:dyDescent="0.2">
      <c r="A86" s="221"/>
      <c r="B86" s="209"/>
      <c r="C86" s="240"/>
      <c r="D86" s="209"/>
      <c r="E86" s="209"/>
      <c r="F86" s="209"/>
      <c r="G86" s="241"/>
      <c r="H86" s="241"/>
      <c r="I86" s="255"/>
      <c r="J86" s="250"/>
      <c r="K86" s="251"/>
      <c r="L86" s="252"/>
      <c r="M86" s="240"/>
      <c r="N86" s="247"/>
      <c r="O86" s="248"/>
    </row>
    <row r="87" spans="1:17" hidden="1" x14ac:dyDescent="0.2">
      <c r="A87" s="221"/>
      <c r="B87" s="209"/>
      <c r="C87" s="240"/>
      <c r="D87" s="209"/>
      <c r="E87" s="209"/>
      <c r="F87" s="209"/>
      <c r="G87" s="241"/>
      <c r="H87" s="241"/>
      <c r="I87" s="255"/>
      <c r="J87" s="250"/>
      <c r="K87" s="251"/>
      <c r="L87" s="252"/>
      <c r="M87" s="240"/>
      <c r="N87" s="247"/>
      <c r="O87" s="248"/>
    </row>
    <row r="88" spans="1:17" hidden="1" x14ac:dyDescent="0.2">
      <c r="A88" s="221"/>
      <c r="B88" s="209"/>
      <c r="C88" s="240"/>
      <c r="D88" s="209"/>
      <c r="E88" s="209"/>
      <c r="F88" s="209"/>
      <c r="G88" s="241"/>
      <c r="H88" s="241"/>
      <c r="I88" s="255"/>
      <c r="J88" s="250"/>
      <c r="K88" s="251"/>
      <c r="L88" s="252"/>
      <c r="M88" s="240"/>
      <c r="N88" s="247"/>
      <c r="O88" s="248"/>
    </row>
    <row r="89" spans="1:17" hidden="1" x14ac:dyDescent="0.2">
      <c r="A89" s="221"/>
      <c r="B89" s="209"/>
      <c r="C89" s="240"/>
      <c r="D89" s="209"/>
      <c r="E89" s="209"/>
      <c r="F89" s="209"/>
      <c r="G89" s="241"/>
      <c r="H89" s="241"/>
      <c r="I89" s="255"/>
      <c r="J89" s="250"/>
      <c r="K89" s="251"/>
      <c r="L89" s="252"/>
      <c r="M89" s="240"/>
      <c r="N89" s="247"/>
      <c r="O89" s="248"/>
    </row>
    <row r="90" spans="1:17" hidden="1" x14ac:dyDescent="0.2">
      <c r="A90" s="221"/>
      <c r="B90" s="209"/>
      <c r="C90" s="240"/>
      <c r="D90" s="209"/>
      <c r="E90" s="209"/>
      <c r="F90" s="209"/>
      <c r="G90" s="241"/>
      <c r="H90" s="241"/>
      <c r="I90" s="255"/>
      <c r="J90" s="250"/>
      <c r="K90" s="251"/>
      <c r="L90" s="252"/>
      <c r="M90" s="240"/>
      <c r="N90" s="247"/>
      <c r="O90" s="248"/>
    </row>
    <row r="91" spans="1:17" hidden="1" x14ac:dyDescent="0.2">
      <c r="A91" s="221"/>
      <c r="B91" s="209"/>
      <c r="C91" s="240"/>
      <c r="D91" s="209"/>
      <c r="E91" s="209"/>
      <c r="F91" s="209"/>
      <c r="G91" s="241"/>
      <c r="H91" s="241"/>
      <c r="I91" s="255"/>
      <c r="J91" s="250"/>
      <c r="K91" s="251"/>
      <c r="L91" s="252"/>
      <c r="M91" s="240"/>
      <c r="N91" s="247"/>
      <c r="O91" s="248"/>
    </row>
    <row r="92" spans="1:17" hidden="1" x14ac:dyDescent="0.2">
      <c r="A92" s="221"/>
      <c r="B92" s="209"/>
      <c r="C92" s="240"/>
      <c r="D92" s="209"/>
      <c r="E92" s="209"/>
      <c r="F92" s="209"/>
      <c r="G92" s="241"/>
      <c r="H92" s="241"/>
      <c r="I92" s="255"/>
      <c r="J92" s="250"/>
      <c r="K92" s="251"/>
      <c r="L92" s="252"/>
      <c r="M92" s="240"/>
      <c r="N92" s="247"/>
      <c r="O92" s="248"/>
    </row>
    <row r="93" spans="1:17" hidden="1" x14ac:dyDescent="0.2">
      <c r="A93" s="221"/>
      <c r="B93" s="209"/>
      <c r="C93" s="240"/>
      <c r="D93" s="209" t="s">
        <v>19</v>
      </c>
      <c r="E93" s="209">
        <v>27</v>
      </c>
      <c r="F93" s="209"/>
      <c r="G93" s="241" t="s">
        <v>280</v>
      </c>
      <c r="H93" s="241"/>
      <c r="I93" s="255">
        <f>+'[2]INGRESOS LIBRES DETALLE Nº17'!E25</f>
        <v>0</v>
      </c>
      <c r="J93" s="250"/>
      <c r="K93" s="251"/>
      <c r="L93" s="252"/>
      <c r="M93" s="240"/>
      <c r="N93" s="247"/>
      <c r="O93" s="248"/>
      <c r="P93" s="210">
        <f>+I93</f>
        <v>0</v>
      </c>
      <c r="Q93" s="211" t="e">
        <f>+#REF!+#REF!+#REF!+#REF!+#REF!+#REF!+#REF!+#REF!+#REF!+#REF!+#REF!+#REF!+#REF!+#REF!+#REF!+#REF!+I594</f>
        <v>#REF!</v>
      </c>
    </row>
    <row r="94" spans="1:17" x14ac:dyDescent="0.2">
      <c r="A94" s="221"/>
      <c r="B94" s="209"/>
      <c r="C94" s="240"/>
      <c r="D94" s="209" t="s">
        <v>19</v>
      </c>
      <c r="E94" s="209">
        <v>28</v>
      </c>
      <c r="F94" s="209"/>
      <c r="G94" s="241" t="str">
        <f>+'[2]Egresos Programa II General'!B39</f>
        <v>Atención Emergencias Cantonales</v>
      </c>
      <c r="H94" s="241"/>
      <c r="I94" s="249">
        <f>+'[2]INGRESOS LIBRES DETALLE Nº17'!E26</f>
        <v>57720982.670000002</v>
      </c>
      <c r="J94" s="250"/>
      <c r="K94" s="251"/>
      <c r="L94" s="252"/>
      <c r="M94" s="240"/>
      <c r="N94" s="247"/>
      <c r="O94" s="248"/>
      <c r="P94" s="210">
        <f>+I94</f>
        <v>57720982.670000002</v>
      </c>
    </row>
    <row r="95" spans="1:17" x14ac:dyDescent="0.2">
      <c r="A95" s="221"/>
      <c r="B95" s="209"/>
      <c r="C95" s="240"/>
      <c r="D95" s="209"/>
      <c r="E95" s="209"/>
      <c r="F95" s="209"/>
      <c r="G95" s="241" t="s">
        <v>9</v>
      </c>
      <c r="H95" s="241"/>
      <c r="I95" s="255">
        <v>40398592.640000001</v>
      </c>
      <c r="J95" s="250">
        <f>+I95</f>
        <v>40398592.640000001</v>
      </c>
      <c r="K95" s="251"/>
      <c r="L95" s="252"/>
      <c r="M95" s="240"/>
      <c r="N95" s="247"/>
      <c r="O95" s="248"/>
    </row>
    <row r="96" spans="1:17" x14ac:dyDescent="0.2">
      <c r="A96" s="221"/>
      <c r="B96" s="209"/>
      <c r="C96" s="240"/>
      <c r="D96" s="209"/>
      <c r="E96" s="209"/>
      <c r="F96" s="209"/>
      <c r="G96" s="241" t="s">
        <v>10</v>
      </c>
      <c r="H96" s="241"/>
      <c r="I96" s="255">
        <v>10122390.029999999</v>
      </c>
      <c r="J96" s="250">
        <f>+I96</f>
        <v>10122390.029999999</v>
      </c>
      <c r="K96" s="251"/>
      <c r="L96" s="252"/>
      <c r="M96" s="240"/>
      <c r="N96" s="247"/>
      <c r="O96" s="248"/>
    </row>
    <row r="97" spans="1:17" x14ac:dyDescent="0.2">
      <c r="A97" s="221"/>
      <c r="B97" s="209"/>
      <c r="C97" s="240"/>
      <c r="D97" s="209"/>
      <c r="E97" s="209"/>
      <c r="F97" s="209"/>
      <c r="G97" s="241" t="s">
        <v>276</v>
      </c>
      <c r="H97" s="241"/>
      <c r="I97" s="255">
        <v>3700000</v>
      </c>
      <c r="J97" s="250">
        <f>+I97</f>
        <v>3700000</v>
      </c>
      <c r="K97" s="251"/>
      <c r="L97" s="252"/>
      <c r="M97" s="240"/>
      <c r="N97" s="247"/>
      <c r="O97" s="248"/>
    </row>
    <row r="98" spans="1:17" ht="13.5" thickBot="1" x14ac:dyDescent="0.25">
      <c r="A98" s="271"/>
      <c r="B98" s="272"/>
      <c r="C98" s="273"/>
      <c r="D98" s="272"/>
      <c r="E98" s="272"/>
      <c r="F98" s="272"/>
      <c r="G98" s="274" t="s">
        <v>207</v>
      </c>
      <c r="H98" s="274"/>
      <c r="I98" s="275">
        <v>3500000</v>
      </c>
      <c r="J98" s="276">
        <f>+I98</f>
        <v>3500000</v>
      </c>
      <c r="K98" s="277"/>
      <c r="L98" s="278"/>
      <c r="M98" s="273"/>
      <c r="N98" s="279"/>
      <c r="O98" s="248"/>
    </row>
    <row r="99" spans="1:17" ht="13.5" hidden="1" thickBot="1" x14ac:dyDescent="0.25">
      <c r="A99" s="221"/>
      <c r="B99" s="209"/>
      <c r="C99" s="240"/>
      <c r="D99" s="209"/>
      <c r="E99" s="209"/>
      <c r="F99" s="209"/>
      <c r="G99" s="241"/>
      <c r="H99" s="241"/>
      <c r="I99" s="255"/>
      <c r="J99" s="280"/>
      <c r="K99" s="281"/>
      <c r="L99" s="282"/>
      <c r="M99" s="240"/>
      <c r="N99" s="247"/>
      <c r="O99" s="248"/>
    </row>
    <row r="100" spans="1:17" ht="13.5" hidden="1" thickBot="1" x14ac:dyDescent="0.25">
      <c r="A100" s="221"/>
      <c r="B100" s="209"/>
      <c r="C100" s="240"/>
      <c r="D100" s="209"/>
      <c r="E100" s="209"/>
      <c r="F100" s="209"/>
      <c r="G100" s="241"/>
      <c r="H100" s="241"/>
      <c r="I100" s="255"/>
      <c r="J100" s="250"/>
      <c r="K100" s="251"/>
      <c r="L100" s="252"/>
      <c r="M100" s="240"/>
      <c r="N100" s="247"/>
      <c r="O100" s="248"/>
    </row>
    <row r="101" spans="1:17" ht="13.5" hidden="1" thickBot="1" x14ac:dyDescent="0.25">
      <c r="A101" s="221"/>
      <c r="B101" s="209"/>
      <c r="C101" s="240"/>
      <c r="D101" s="209"/>
      <c r="E101" s="209"/>
      <c r="F101" s="209"/>
      <c r="G101" s="241"/>
      <c r="H101" s="241"/>
      <c r="I101" s="255"/>
      <c r="J101" s="250"/>
      <c r="K101" s="251"/>
      <c r="L101" s="252"/>
      <c r="M101" s="240"/>
      <c r="N101" s="247"/>
      <c r="O101" s="248"/>
    </row>
    <row r="102" spans="1:17" ht="13.5" hidden="1" thickBot="1" x14ac:dyDescent="0.25">
      <c r="A102" s="221"/>
      <c r="B102" s="209"/>
      <c r="C102" s="240"/>
      <c r="D102" s="209"/>
      <c r="E102" s="209"/>
      <c r="F102" s="209"/>
      <c r="G102" s="241"/>
      <c r="H102" s="241"/>
      <c r="I102" s="255"/>
      <c r="J102" s="250"/>
      <c r="K102" s="251"/>
      <c r="L102" s="252"/>
      <c r="M102" s="240"/>
      <c r="N102" s="247"/>
      <c r="O102" s="248"/>
    </row>
    <row r="103" spans="1:17" ht="13.5" hidden="1" thickBot="1" x14ac:dyDescent="0.25">
      <c r="A103" s="221"/>
      <c r="B103" s="209"/>
      <c r="C103" s="240"/>
      <c r="D103" s="209"/>
      <c r="E103" s="209"/>
      <c r="F103" s="209"/>
      <c r="G103" s="241"/>
      <c r="H103" s="241"/>
      <c r="I103" s="255"/>
      <c r="J103" s="250"/>
      <c r="K103" s="251"/>
      <c r="L103" s="252"/>
      <c r="M103" s="240"/>
      <c r="N103" s="247"/>
      <c r="O103" s="248"/>
    </row>
    <row r="104" spans="1:17" ht="13.5" hidden="1" thickBot="1" x14ac:dyDescent="0.25">
      <c r="A104" s="221"/>
      <c r="B104" s="209"/>
      <c r="C104" s="240"/>
      <c r="D104" s="209"/>
      <c r="E104" s="209"/>
      <c r="F104" s="209"/>
      <c r="G104" s="241"/>
      <c r="H104" s="241"/>
      <c r="I104" s="255"/>
      <c r="J104" s="250"/>
      <c r="K104" s="251"/>
      <c r="L104" s="252"/>
      <c r="M104" s="240"/>
      <c r="N104" s="247"/>
      <c r="O104" s="248"/>
    </row>
    <row r="105" spans="1:17" ht="13.5" hidden="1" thickBot="1" x14ac:dyDescent="0.25">
      <c r="A105" s="221"/>
      <c r="B105" s="209"/>
      <c r="C105" s="240"/>
      <c r="D105" s="209"/>
      <c r="E105" s="209"/>
      <c r="F105" s="209"/>
      <c r="G105" s="241"/>
      <c r="H105" s="241"/>
      <c r="I105" s="255"/>
      <c r="J105" s="250"/>
      <c r="K105" s="251"/>
      <c r="L105" s="252"/>
      <c r="M105" s="240"/>
      <c r="N105" s="247"/>
      <c r="O105" s="248"/>
    </row>
    <row r="106" spans="1:17" ht="13.5" hidden="1" thickBot="1" x14ac:dyDescent="0.25">
      <c r="A106" s="221"/>
      <c r="B106" s="209"/>
      <c r="C106" s="240"/>
      <c r="D106" s="209"/>
      <c r="E106" s="209"/>
      <c r="F106" s="209"/>
      <c r="G106" s="241"/>
      <c r="H106" s="241"/>
      <c r="I106" s="255"/>
      <c r="J106" s="250"/>
      <c r="K106" s="251"/>
      <c r="L106" s="252"/>
      <c r="M106" s="240"/>
      <c r="N106" s="247"/>
      <c r="O106" s="248"/>
    </row>
    <row r="107" spans="1:17" ht="13.5" hidden="1" thickBot="1" x14ac:dyDescent="0.25">
      <c r="A107" s="221"/>
      <c r="B107" s="209"/>
      <c r="C107" s="240"/>
      <c r="D107" s="209"/>
      <c r="E107" s="209"/>
      <c r="F107" s="209"/>
      <c r="G107" s="241"/>
      <c r="H107" s="241"/>
      <c r="I107" s="255"/>
      <c r="J107" s="250"/>
      <c r="K107" s="251"/>
      <c r="L107" s="252"/>
      <c r="M107" s="240"/>
      <c r="N107" s="247"/>
      <c r="O107" s="248"/>
    </row>
    <row r="108" spans="1:17" ht="13.5" hidden="1" thickBot="1" x14ac:dyDescent="0.25">
      <c r="A108" s="221"/>
      <c r="B108" s="209"/>
      <c r="C108" s="240"/>
      <c r="D108" s="209"/>
      <c r="E108" s="209"/>
      <c r="F108" s="209"/>
      <c r="G108" s="241"/>
      <c r="H108" s="241"/>
      <c r="I108" s="255"/>
      <c r="J108" s="283"/>
      <c r="K108" s="284"/>
      <c r="L108" s="285"/>
      <c r="M108" s="240"/>
      <c r="N108" s="247"/>
      <c r="O108" s="248"/>
    </row>
    <row r="109" spans="1:17" x14ac:dyDescent="0.2">
      <c r="A109" s="286"/>
      <c r="B109" s="207"/>
      <c r="C109" s="287"/>
      <c r="D109" s="207"/>
      <c r="E109" s="207"/>
      <c r="F109" s="207"/>
      <c r="G109" s="231"/>
      <c r="H109" s="231"/>
      <c r="I109" s="288"/>
      <c r="J109" s="289"/>
      <c r="K109" s="290"/>
      <c r="L109" s="291"/>
      <c r="M109" s="287"/>
      <c r="N109" s="292"/>
      <c r="O109" s="248"/>
    </row>
    <row r="110" spans="1:17" x14ac:dyDescent="0.2">
      <c r="A110" s="221"/>
      <c r="B110" s="209"/>
      <c r="C110" s="240"/>
      <c r="D110" s="209" t="s">
        <v>19</v>
      </c>
      <c r="E110" s="209">
        <v>29</v>
      </c>
      <c r="F110" s="209"/>
      <c r="G110" s="241" t="s">
        <v>279</v>
      </c>
      <c r="H110" s="241"/>
      <c r="I110" s="255">
        <f>+'[2]INGRESOS LIBRES DETALLE Nº17'!E27</f>
        <v>19780000</v>
      </c>
      <c r="J110" s="250"/>
      <c r="K110" s="251"/>
      <c r="L110" s="252"/>
      <c r="M110" s="240"/>
      <c r="N110" s="293"/>
      <c r="O110" s="294"/>
      <c r="P110" s="210">
        <f>+I110+I445+I536</f>
        <v>129105052.54713537</v>
      </c>
    </row>
    <row r="111" spans="1:17" hidden="1" x14ac:dyDescent="0.2">
      <c r="A111" s="221"/>
      <c r="B111" s="209"/>
      <c r="C111" s="240"/>
      <c r="D111" s="209" t="s">
        <v>19</v>
      </c>
      <c r="E111" s="209">
        <v>30</v>
      </c>
      <c r="F111" s="209"/>
      <c r="G111" s="241" t="s">
        <v>278</v>
      </c>
      <c r="H111" s="241"/>
      <c r="I111" s="255">
        <f>+'[2]INGRESOS LIBRES DETALLE Nº17'!E28</f>
        <v>0</v>
      </c>
      <c r="J111" s="250"/>
      <c r="K111" s="251"/>
      <c r="L111" s="252"/>
      <c r="M111" s="240"/>
      <c r="N111" s="247"/>
      <c r="O111" s="248"/>
      <c r="P111" s="210">
        <f>+I111+I377+I611</f>
        <v>1087499999.9951384</v>
      </c>
    </row>
    <row r="112" spans="1:17" hidden="1" x14ac:dyDescent="0.2">
      <c r="A112" s="221"/>
      <c r="B112" s="209"/>
      <c r="C112" s="240"/>
      <c r="D112" s="209" t="s">
        <v>19</v>
      </c>
      <c r="E112" s="209">
        <v>31</v>
      </c>
      <c r="F112" s="209"/>
      <c r="G112" s="241" t="str">
        <f>+'[2]Egresos Programa II General'!B45</f>
        <v>Aporte en Especie para Servicios Y Proyectos Comunitarios</v>
      </c>
      <c r="H112" s="241"/>
      <c r="I112" s="255"/>
      <c r="J112" s="250"/>
      <c r="K112" s="251"/>
      <c r="L112" s="252"/>
      <c r="M112" s="240"/>
      <c r="N112" s="247"/>
      <c r="O112" s="248"/>
      <c r="Q112" s="211" t="e">
        <f>+I205+I218+I258+#REF!+#REF!+I505+I506+I522+I577+I588+I223+I260</f>
        <v>#REF!</v>
      </c>
    </row>
    <row r="113" spans="1:17" ht="30" hidden="1" customHeight="1" x14ac:dyDescent="0.2">
      <c r="A113" s="221"/>
      <c r="B113" s="209"/>
      <c r="C113" s="240"/>
      <c r="D113" s="209" t="s">
        <v>18</v>
      </c>
      <c r="E113" s="209" t="s">
        <v>184</v>
      </c>
      <c r="F113" s="209" t="s">
        <v>185</v>
      </c>
      <c r="G113" s="295" t="str">
        <f>+'[2]Egresos Programa III General'!B14</f>
        <v>Construcción de comedor Escuela Rafael Alberto Luna Herrera</v>
      </c>
      <c r="H113" s="295"/>
      <c r="I113" s="255">
        <f>+'[2]Egresos Programa III General'!C14</f>
        <v>0</v>
      </c>
      <c r="J113" s="250"/>
      <c r="K113" s="251"/>
      <c r="L113" s="252"/>
      <c r="M113" s="240"/>
      <c r="N113" s="247"/>
      <c r="O113" s="248"/>
    </row>
    <row r="114" spans="1:17" ht="30" hidden="1" customHeight="1" x14ac:dyDescent="0.2">
      <c r="A114" s="221"/>
      <c r="B114" s="209"/>
      <c r="C114" s="240"/>
      <c r="D114" s="209" t="s">
        <v>18</v>
      </c>
      <c r="E114" s="209" t="s">
        <v>184</v>
      </c>
      <c r="F114" s="209" t="s">
        <v>193</v>
      </c>
      <c r="G114" s="295" t="str">
        <f>+'[2]Egresos Programa III General'!B15</f>
        <v>Mejoras en Cancha Multiusos Lote Murillo</v>
      </c>
      <c r="H114" s="295"/>
      <c r="I114" s="255">
        <f>+'[2]Egresos Programa III General'!C15</f>
        <v>0</v>
      </c>
      <c r="J114" s="250"/>
      <c r="K114" s="251"/>
      <c r="L114" s="252"/>
      <c r="M114" s="240"/>
      <c r="N114" s="247"/>
      <c r="O114" s="248"/>
    </row>
    <row r="115" spans="1:17" ht="30" hidden="1" customHeight="1" x14ac:dyDescent="0.2">
      <c r="A115" s="221"/>
      <c r="B115" s="209"/>
      <c r="C115" s="240"/>
      <c r="D115" s="209" t="s">
        <v>18</v>
      </c>
      <c r="E115" s="209" t="s">
        <v>184</v>
      </c>
      <c r="F115" s="209" t="s">
        <v>191</v>
      </c>
      <c r="G115" s="296" t="str">
        <f>+'[2]Egresos Programa III General'!B16</f>
        <v>Construcción de gimnasio multiuso de Occidente, II Etapa</v>
      </c>
      <c r="H115" s="296"/>
      <c r="I115" s="255">
        <f>+'[2]Egresos Programa III General'!C16</f>
        <v>0</v>
      </c>
      <c r="J115" s="250"/>
      <c r="K115" s="251"/>
      <c r="L115" s="252"/>
      <c r="M115" s="240"/>
      <c r="N115" s="247"/>
      <c r="O115" s="248">
        <f>SUM(I113:I118)</f>
        <v>0</v>
      </c>
    </row>
    <row r="116" spans="1:17" ht="30" hidden="1" customHeight="1" x14ac:dyDescent="0.2">
      <c r="A116" s="221"/>
      <c r="B116" s="209"/>
      <c r="C116" s="240"/>
      <c r="D116" s="209" t="s">
        <v>18</v>
      </c>
      <c r="E116" s="209" t="s">
        <v>184</v>
      </c>
      <c r="F116" s="209" t="s">
        <v>182</v>
      </c>
      <c r="G116" s="296" t="str">
        <f>+'[2]Egresos Programa III General'!B17</f>
        <v>Construcción de Salón Multiusos en Urbanización Las Abras</v>
      </c>
      <c r="H116" s="296"/>
      <c r="I116" s="255">
        <f>+'[2]Egresos Programa III General'!C17</f>
        <v>0</v>
      </c>
      <c r="J116" s="250"/>
      <c r="K116" s="251"/>
      <c r="L116" s="252"/>
      <c r="M116" s="240"/>
      <c r="N116" s="247"/>
      <c r="O116" s="248"/>
    </row>
    <row r="117" spans="1:17" ht="30" hidden="1" customHeight="1" x14ac:dyDescent="0.2">
      <c r="A117" s="221"/>
      <c r="B117" s="209"/>
      <c r="C117" s="240"/>
      <c r="D117" s="209" t="s">
        <v>18</v>
      </c>
      <c r="E117" s="209" t="s">
        <v>184</v>
      </c>
      <c r="F117" s="209" t="s">
        <v>183</v>
      </c>
      <c r="G117" s="296" t="str">
        <f>+'[2]Egresos Programa III General'!B18</f>
        <v>Construcción salón comunal Urbanización San Gerardo, III Etapa</v>
      </c>
      <c r="H117" s="296"/>
      <c r="I117" s="255">
        <f>+'[2]Egresos Programa III General'!C18</f>
        <v>0</v>
      </c>
      <c r="J117" s="250"/>
      <c r="K117" s="251"/>
      <c r="L117" s="252"/>
      <c r="M117" s="240"/>
      <c r="N117" s="247"/>
      <c r="O117" s="248"/>
    </row>
    <row r="118" spans="1:17" ht="30" hidden="1" customHeight="1" x14ac:dyDescent="0.2">
      <c r="A118" s="221"/>
      <c r="B118" s="209"/>
      <c r="C118" s="240"/>
      <c r="D118" s="209" t="s">
        <v>18</v>
      </c>
      <c r="E118" s="209" t="s">
        <v>184</v>
      </c>
      <c r="F118" s="209" t="s">
        <v>189</v>
      </c>
      <c r="G118" s="296" t="str">
        <f>+'[2]Egresos Programa III General'!B19</f>
        <v xml:space="preserve">Mejoras Infraestructura de la Escuela Luis Demetrio Tinoco </v>
      </c>
      <c r="H118" s="296"/>
      <c r="I118" s="255">
        <f>+'[2]Egresos Programa III General'!C19</f>
        <v>0</v>
      </c>
      <c r="J118" s="250"/>
      <c r="K118" s="251"/>
      <c r="L118" s="252"/>
      <c r="M118" s="240"/>
      <c r="N118" s="247"/>
      <c r="O118" s="248"/>
    </row>
    <row r="119" spans="1:17" ht="30" hidden="1" customHeight="1" x14ac:dyDescent="0.2">
      <c r="A119" s="221"/>
      <c r="B119" s="209"/>
      <c r="C119" s="240"/>
      <c r="D119" s="209" t="s">
        <v>18</v>
      </c>
      <c r="E119" s="209" t="s">
        <v>184</v>
      </c>
      <c r="F119" s="209" t="s">
        <v>241</v>
      </c>
      <c r="G119" s="296" t="str">
        <f>+'[2]Egresos Programa III General'!B20</f>
        <v>Remodelación del Gimnasio Invu Las Cañas 2</v>
      </c>
      <c r="H119" s="296"/>
      <c r="I119" s="255">
        <f>+'[2]Egresos Programa III General'!C20</f>
        <v>0</v>
      </c>
      <c r="J119" s="250"/>
      <c r="K119" s="251"/>
      <c r="L119" s="252"/>
      <c r="M119" s="240"/>
      <c r="N119" s="247"/>
      <c r="O119" s="248"/>
    </row>
    <row r="120" spans="1:17" ht="30" hidden="1" customHeight="1" x14ac:dyDescent="0.2">
      <c r="A120" s="221"/>
      <c r="B120" s="209"/>
      <c r="C120" s="240"/>
      <c r="D120" s="209" t="s">
        <v>18</v>
      </c>
      <c r="E120" s="209" t="s">
        <v>184</v>
      </c>
      <c r="F120" s="209" t="s">
        <v>187</v>
      </c>
      <c r="G120" s="296" t="str">
        <f>+'[2]Egresos Programa III General'!B21</f>
        <v xml:space="preserve"> Construcción de gimnasio multiuso de Occidente</v>
      </c>
      <c r="H120" s="296"/>
      <c r="I120" s="255">
        <f>+'[2]Egresos Programa III General'!C21</f>
        <v>0</v>
      </c>
      <c r="J120" s="250"/>
      <c r="K120" s="251"/>
      <c r="L120" s="252"/>
      <c r="M120" s="240"/>
      <c r="N120" s="247"/>
      <c r="O120" s="248"/>
    </row>
    <row r="121" spans="1:17" ht="30" hidden="1" customHeight="1" x14ac:dyDescent="0.2">
      <c r="A121" s="221"/>
      <c r="B121" s="209"/>
      <c r="C121" s="240"/>
      <c r="D121" s="209" t="s">
        <v>18</v>
      </c>
      <c r="E121" s="209" t="s">
        <v>184</v>
      </c>
      <c r="F121" s="209">
        <v>10</v>
      </c>
      <c r="G121" s="296" t="str">
        <f>+'[2]Egresos Programa III General'!B22</f>
        <v>Salón Multiuso en Urbanización La Perla del Distrito de San Rafael</v>
      </c>
      <c r="H121" s="296"/>
      <c r="I121" s="255">
        <f>+'[2]Egresos Programa III General'!C22</f>
        <v>0</v>
      </c>
      <c r="J121" s="250"/>
      <c r="K121" s="251"/>
      <c r="L121" s="252"/>
      <c r="M121" s="240"/>
      <c r="N121" s="247"/>
      <c r="O121" s="248"/>
    </row>
    <row r="122" spans="1:17" ht="30" hidden="1" customHeight="1" x14ac:dyDescent="0.2">
      <c r="A122" s="221"/>
      <c r="B122" s="209"/>
      <c r="C122" s="240"/>
      <c r="D122" s="209" t="s">
        <v>18</v>
      </c>
      <c r="E122" s="209" t="s">
        <v>184</v>
      </c>
      <c r="F122" s="209">
        <v>11</v>
      </c>
      <c r="G122" s="296" t="str">
        <f>+'[2]Egresos Programa III General'!B23</f>
        <v>Construcción Salón Comunal Urbanización Las Abras Distrito de San Rafael</v>
      </c>
      <c r="H122" s="296"/>
      <c r="I122" s="255">
        <f>+'[2]Egresos Programa III General'!C23</f>
        <v>0</v>
      </c>
      <c r="J122" s="250"/>
      <c r="K122" s="251"/>
      <c r="L122" s="252"/>
      <c r="M122" s="240"/>
      <c r="N122" s="247"/>
      <c r="O122" s="248"/>
    </row>
    <row r="123" spans="1:17" ht="30" hidden="1" customHeight="1" x14ac:dyDescent="0.2">
      <c r="A123" s="221"/>
      <c r="B123" s="209"/>
      <c r="C123" s="240"/>
      <c r="D123" s="209" t="s">
        <v>18</v>
      </c>
      <c r="E123" s="209" t="s">
        <v>184</v>
      </c>
      <c r="F123" s="209">
        <v>12</v>
      </c>
      <c r="G123" s="296" t="str">
        <f>+'[2]Egresos Programa III General'!B24</f>
        <v>Construcción Salón multiuso Urbanización San Gerardo, Distrito de San Rafael</v>
      </c>
      <c r="H123" s="296"/>
      <c r="I123" s="255">
        <f>+'[2]Egresos Programa III General'!C24</f>
        <v>0</v>
      </c>
      <c r="J123" s="250"/>
      <c r="K123" s="251"/>
      <c r="L123" s="252"/>
      <c r="M123" s="240"/>
      <c r="N123" s="247"/>
      <c r="O123" s="248"/>
    </row>
    <row r="124" spans="1:17" ht="30" hidden="1" customHeight="1" x14ac:dyDescent="0.2">
      <c r="A124" s="221"/>
      <c r="B124" s="209"/>
      <c r="C124" s="240"/>
      <c r="D124" s="209" t="s">
        <v>18</v>
      </c>
      <c r="E124" s="209" t="s">
        <v>184</v>
      </c>
      <c r="F124" s="209">
        <v>13</v>
      </c>
      <c r="G124" s="296" t="str">
        <f>+'[2]Egresos Programa III General'!B25</f>
        <v>Construcción Centro de Cuidados Paliativos de San Rafael de Alajuela</v>
      </c>
      <c r="H124" s="296"/>
      <c r="I124" s="255">
        <f>+'[2]Egresos Programa III General'!C25</f>
        <v>0</v>
      </c>
      <c r="J124" s="250"/>
      <c r="K124" s="251"/>
      <c r="L124" s="252"/>
      <c r="M124" s="240"/>
      <c r="N124" s="247"/>
      <c r="O124" s="248"/>
    </row>
    <row r="125" spans="1:17" x14ac:dyDescent="0.2">
      <c r="A125" s="221"/>
      <c r="B125" s="209"/>
      <c r="C125" s="240"/>
      <c r="D125" s="209"/>
      <c r="E125" s="209"/>
      <c r="F125" s="209"/>
      <c r="G125" s="241" t="s">
        <v>9</v>
      </c>
      <c r="H125" s="296"/>
      <c r="I125" s="255">
        <v>19780000</v>
      </c>
      <c r="J125" s="250">
        <f>+I125</f>
        <v>19780000</v>
      </c>
      <c r="K125" s="251"/>
      <c r="L125" s="252"/>
      <c r="M125" s="240"/>
      <c r="N125" s="247"/>
      <c r="O125" s="248"/>
    </row>
    <row r="126" spans="1:17" x14ac:dyDescent="0.2">
      <c r="A126" s="221"/>
      <c r="B126" s="209"/>
      <c r="C126" s="240"/>
      <c r="D126" s="209"/>
      <c r="E126" s="209"/>
      <c r="F126" s="209"/>
      <c r="G126" s="296"/>
      <c r="H126" s="296"/>
      <c r="I126" s="255"/>
      <c r="J126" s="250"/>
      <c r="K126" s="251"/>
      <c r="L126" s="252"/>
      <c r="M126" s="240"/>
      <c r="N126" s="247"/>
      <c r="O126" s="248"/>
    </row>
    <row r="127" spans="1:17" x14ac:dyDescent="0.2">
      <c r="A127" s="221"/>
      <c r="B127" s="209"/>
      <c r="C127" s="240"/>
      <c r="D127" s="209" t="s">
        <v>18</v>
      </c>
      <c r="E127" s="209" t="s">
        <v>185</v>
      </c>
      <c r="F127" s="209" t="s">
        <v>184</v>
      </c>
      <c r="G127" s="241" t="s">
        <v>196</v>
      </c>
      <c r="H127" s="241"/>
      <c r="I127" s="249">
        <f>+'[2]Egresos Programa III General'!C41-'Origen y Aplicación (2)'!I600-I456-I209-I622</f>
        <v>943699200.03723788</v>
      </c>
      <c r="J127" s="250"/>
      <c r="K127" s="251"/>
      <c r="L127" s="252"/>
      <c r="M127" s="240"/>
      <c r="N127" s="247"/>
      <c r="O127" s="248" t="s">
        <v>15</v>
      </c>
      <c r="P127" s="297">
        <f>I622+I127+I600+I209</f>
        <v>967679105.55723786</v>
      </c>
      <c r="Q127" s="211" t="e">
        <f>+I191+I192+I193+I233+I264+I267+I343+I458+#REF!+#REF!+I528+I578+I579+I583+I590+I182</f>
        <v>#REF!</v>
      </c>
    </row>
    <row r="128" spans="1:17" hidden="1" x14ac:dyDescent="0.2">
      <c r="A128" s="221"/>
      <c r="B128" s="209"/>
      <c r="C128" s="240"/>
      <c r="D128" s="209" t="s">
        <v>18</v>
      </c>
      <c r="E128" s="209" t="s">
        <v>185</v>
      </c>
      <c r="F128" s="209" t="s">
        <v>185</v>
      </c>
      <c r="G128" s="241" t="s">
        <v>221</v>
      </c>
      <c r="H128" s="241"/>
      <c r="I128" s="255">
        <f>+'[2]Egresos Programa III General'!C42-I601</f>
        <v>0</v>
      </c>
      <c r="J128" s="250"/>
      <c r="K128" s="251"/>
      <c r="L128" s="252"/>
      <c r="M128" s="240"/>
      <c r="N128" s="247"/>
      <c r="O128" s="248"/>
      <c r="P128" s="210" t="e">
        <f>+I128+I229+I233+I260+I458+#REF!+I527+I555+I583</f>
        <v>#REF!</v>
      </c>
    </row>
    <row r="129" spans="1:17" x14ac:dyDescent="0.2">
      <c r="A129" s="221"/>
      <c r="B129" s="209"/>
      <c r="C129" s="240"/>
      <c r="D129" s="209"/>
      <c r="E129" s="209"/>
      <c r="F129" s="209"/>
      <c r="G129" s="241" t="s">
        <v>9</v>
      </c>
      <c r="H129" s="241"/>
      <c r="I129" s="255">
        <v>433694130.76999998</v>
      </c>
      <c r="J129" s="250"/>
      <c r="K129" s="251">
        <f>+I129</f>
        <v>433694130.76999998</v>
      </c>
      <c r="L129" s="252"/>
      <c r="M129" s="240"/>
      <c r="N129" s="247"/>
      <c r="O129" s="248"/>
    </row>
    <row r="130" spans="1:17" x14ac:dyDescent="0.2">
      <c r="A130" s="221"/>
      <c r="B130" s="209"/>
      <c r="C130" s="240"/>
      <c r="D130" s="209"/>
      <c r="E130" s="209"/>
      <c r="F130" s="209"/>
      <c r="G130" s="241" t="s">
        <v>10</v>
      </c>
      <c r="H130" s="241"/>
      <c r="I130" s="255">
        <v>124444851.08</v>
      </c>
      <c r="J130" s="250"/>
      <c r="K130" s="251">
        <f>+I130</f>
        <v>124444851.08</v>
      </c>
      <c r="L130" s="252"/>
      <c r="M130" s="240"/>
      <c r="N130" s="247"/>
      <c r="O130" s="248"/>
    </row>
    <row r="131" spans="1:17" x14ac:dyDescent="0.2">
      <c r="A131" s="221"/>
      <c r="B131" s="209"/>
      <c r="C131" s="240"/>
      <c r="D131" s="209"/>
      <c r="E131" s="209"/>
      <c r="F131" s="209"/>
      <c r="G131" s="241" t="s">
        <v>276</v>
      </c>
      <c r="H131" s="241"/>
      <c r="I131" s="255">
        <v>274779905.51999998</v>
      </c>
      <c r="J131" s="250"/>
      <c r="K131" s="251">
        <f>+I131</f>
        <v>274779905.51999998</v>
      </c>
      <c r="L131" s="252"/>
      <c r="M131" s="240"/>
      <c r="N131" s="247"/>
      <c r="O131" s="248"/>
    </row>
    <row r="132" spans="1:17" x14ac:dyDescent="0.2">
      <c r="A132" s="221"/>
      <c r="B132" s="209"/>
      <c r="C132" s="240"/>
      <c r="D132" s="209"/>
      <c r="E132" s="209"/>
      <c r="F132" s="209"/>
      <c r="G132" s="241" t="s">
        <v>181</v>
      </c>
      <c r="H132" s="241"/>
      <c r="I132" s="269">
        <f>113300000-23979905.51</f>
        <v>89320094.489999995</v>
      </c>
      <c r="J132" s="250"/>
      <c r="K132" s="251">
        <f>+I132</f>
        <v>89320094.489999995</v>
      </c>
      <c r="L132" s="252"/>
      <c r="M132" s="240"/>
      <c r="N132" s="247"/>
      <c r="O132" s="248"/>
    </row>
    <row r="133" spans="1:17" x14ac:dyDescent="0.2">
      <c r="A133" s="221"/>
      <c r="B133" s="209"/>
      <c r="C133" s="240"/>
      <c r="D133" s="209"/>
      <c r="E133" s="209"/>
      <c r="F133" s="209"/>
      <c r="G133" s="241" t="s">
        <v>207</v>
      </c>
      <c r="H133" s="241"/>
      <c r="I133" s="269">
        <v>21460218.18</v>
      </c>
      <c r="J133" s="250">
        <f>+I133</f>
        <v>21460218.18</v>
      </c>
      <c r="K133" s="251"/>
      <c r="L133" s="252"/>
      <c r="M133" s="240"/>
      <c r="N133" s="247"/>
      <c r="O133" s="248"/>
    </row>
    <row r="134" spans="1:17" x14ac:dyDescent="0.2">
      <c r="A134" s="221"/>
      <c r="B134" s="209"/>
      <c r="C134" s="240"/>
      <c r="D134" s="209"/>
      <c r="E134" s="209"/>
      <c r="F134" s="209"/>
      <c r="G134" s="241"/>
      <c r="H134" s="241"/>
      <c r="I134" s="255"/>
      <c r="J134" s="250"/>
      <c r="K134" s="251"/>
      <c r="L134" s="252"/>
      <c r="M134" s="240"/>
      <c r="N134" s="247"/>
      <c r="O134" s="248"/>
    </row>
    <row r="135" spans="1:17" x14ac:dyDescent="0.2">
      <c r="A135" s="221"/>
      <c r="B135" s="209"/>
      <c r="C135" s="240"/>
      <c r="D135" s="209" t="s">
        <v>18</v>
      </c>
      <c r="E135" s="209" t="s">
        <v>185</v>
      </c>
      <c r="F135" s="209" t="s">
        <v>193</v>
      </c>
      <c r="G135" s="241" t="s">
        <v>192</v>
      </c>
      <c r="H135" s="241"/>
      <c r="I135" s="249">
        <f>+'[2]Egresos Programa III General'!C43-I602-I642</f>
        <v>230000000</v>
      </c>
      <c r="J135" s="250"/>
      <c r="K135" s="251"/>
      <c r="L135" s="252"/>
      <c r="M135" s="240"/>
      <c r="N135" s="247"/>
      <c r="O135" s="248">
        <f>+I135+I286</f>
        <v>230000000</v>
      </c>
      <c r="P135" s="210">
        <f>+I135+I217+I602+I537</f>
        <v>1303302108</v>
      </c>
      <c r="Q135" s="211" t="e">
        <f>+I135+I127+P184+#REF!</f>
        <v>#REF!</v>
      </c>
    </row>
    <row r="136" spans="1:17" hidden="1" x14ac:dyDescent="0.2">
      <c r="A136" s="298"/>
      <c r="I136" s="300"/>
      <c r="J136" s="301"/>
      <c r="K136" s="302"/>
      <c r="L136" s="303"/>
      <c r="N136" s="237"/>
    </row>
    <row r="137" spans="1:17" hidden="1" x14ac:dyDescent="0.2">
      <c r="A137" s="221"/>
      <c r="B137" s="209"/>
      <c r="C137" s="240"/>
      <c r="D137" s="209" t="s">
        <v>18</v>
      </c>
      <c r="E137" s="209" t="s">
        <v>185</v>
      </c>
      <c r="F137" s="209" t="s">
        <v>182</v>
      </c>
      <c r="G137" s="241" t="str">
        <f>+'[2]Egresos Programa III General'!B45</f>
        <v>Mejoras y asfaltado de Comunidad Calle Rojas</v>
      </c>
      <c r="H137" s="241"/>
      <c r="I137" s="304">
        <f>+'[2]Egresos Programa III General'!C45</f>
        <v>0</v>
      </c>
      <c r="J137" s="305"/>
      <c r="K137" s="306"/>
      <c r="L137" s="307"/>
      <c r="M137" s="308"/>
      <c r="N137" s="247"/>
      <c r="O137" s="248"/>
    </row>
    <row r="138" spans="1:17" ht="25.5" hidden="1" x14ac:dyDescent="0.2">
      <c r="A138" s="221"/>
      <c r="B138" s="309"/>
      <c r="C138" s="240"/>
      <c r="D138" s="209" t="s">
        <v>18</v>
      </c>
      <c r="E138" s="209" t="s">
        <v>185</v>
      </c>
      <c r="F138" s="209" t="s">
        <v>183</v>
      </c>
      <c r="G138" s="310" t="str">
        <f>+'[2]Egresos Programa III General'!B46</f>
        <v>Carpeta Asfaltica en Urbanización las Melisas</v>
      </c>
      <c r="H138" s="310"/>
      <c r="I138" s="304">
        <f>+'[2]Egresos Programa III General'!C46</f>
        <v>0</v>
      </c>
      <c r="J138" s="305"/>
      <c r="K138" s="306"/>
      <c r="L138" s="307"/>
      <c r="M138" s="308"/>
      <c r="N138" s="300"/>
      <c r="O138" s="236"/>
    </row>
    <row r="139" spans="1:17" hidden="1" x14ac:dyDescent="0.2">
      <c r="A139" s="221"/>
      <c r="B139" s="309"/>
      <c r="C139" s="240"/>
      <c r="D139" s="209" t="s">
        <v>18</v>
      </c>
      <c r="E139" s="209" t="s">
        <v>185</v>
      </c>
      <c r="F139" s="209" t="s">
        <v>191</v>
      </c>
      <c r="G139" s="296" t="str">
        <f>+'[2]Egresos Programa III General'!B44</f>
        <v>Rampas de Accesibilidad Universales</v>
      </c>
      <c r="H139" s="296"/>
      <c r="I139" s="300">
        <f>+'[2]Egresos Programa III General'!C44</f>
        <v>0</v>
      </c>
      <c r="J139" s="301"/>
      <c r="K139" s="302"/>
      <c r="L139" s="303"/>
      <c r="N139" s="300"/>
      <c r="O139" s="236"/>
    </row>
    <row r="140" spans="1:17" ht="27.75" hidden="1" customHeight="1" x14ac:dyDescent="0.2">
      <c r="A140" s="221"/>
      <c r="B140" s="309"/>
      <c r="C140" s="240"/>
      <c r="D140" s="209" t="s">
        <v>18</v>
      </c>
      <c r="E140" s="209" t="s">
        <v>182</v>
      </c>
      <c r="F140" s="209" t="s">
        <v>185</v>
      </c>
      <c r="G140" s="296" t="str">
        <f>+'[2]Egresos Programa III General'!B70</f>
        <v>Mejoras en la Infraestructura de la Calle Puente Negro a Pavas de Carrizal</v>
      </c>
      <c r="H140" s="296"/>
      <c r="I140" s="300">
        <f>+'[2]Egresos Programa III General'!C70</f>
        <v>0</v>
      </c>
      <c r="J140" s="301"/>
      <c r="K140" s="302"/>
      <c r="L140" s="303"/>
      <c r="N140" s="300"/>
      <c r="O140" s="236">
        <f>SUM(I140:I143)</f>
        <v>550656250</v>
      </c>
    </row>
    <row r="141" spans="1:17" x14ac:dyDescent="0.2">
      <c r="A141" s="221"/>
      <c r="B141" s="309"/>
      <c r="C141" s="240"/>
      <c r="D141" s="209"/>
      <c r="E141" s="209"/>
      <c r="F141" s="209"/>
      <c r="G141" s="241" t="s">
        <v>181</v>
      </c>
      <c r="H141" s="296"/>
      <c r="I141" s="300">
        <v>230000000</v>
      </c>
      <c r="J141" s="301"/>
      <c r="K141" s="302">
        <v>230000000</v>
      </c>
      <c r="L141" s="303"/>
      <c r="N141" s="300"/>
      <c r="O141" s="236"/>
    </row>
    <row r="142" spans="1:17" x14ac:dyDescent="0.2">
      <c r="A142" s="221"/>
      <c r="B142" s="309"/>
      <c r="C142" s="240"/>
      <c r="D142" s="209"/>
      <c r="E142" s="209"/>
      <c r="F142" s="209"/>
      <c r="G142" s="296"/>
      <c r="H142" s="296"/>
      <c r="I142" s="300"/>
      <c r="J142" s="301"/>
      <c r="K142" s="302"/>
      <c r="L142" s="303"/>
      <c r="N142" s="300"/>
      <c r="O142" s="236"/>
    </row>
    <row r="143" spans="1:17" ht="25.5" x14ac:dyDescent="0.2">
      <c r="A143" s="221"/>
      <c r="B143" s="209"/>
      <c r="C143" s="240"/>
      <c r="D143" s="209" t="s">
        <v>18</v>
      </c>
      <c r="E143" s="209" t="s">
        <v>182</v>
      </c>
      <c r="F143" s="209" t="s">
        <v>185</v>
      </c>
      <c r="G143" s="311" t="str">
        <f>+'[2]Egresos Programa III General'!B72</f>
        <v>Mejoras Pluviales la Guacima Centro-Las vueltas</v>
      </c>
      <c r="H143" s="311"/>
      <c r="I143" s="312">
        <f>+'[2]Egresos Programa III General'!C72</f>
        <v>320656250</v>
      </c>
      <c r="J143" s="313"/>
      <c r="K143" s="314"/>
      <c r="L143" s="315"/>
      <c r="M143" s="248"/>
      <c r="N143" s="242"/>
      <c r="O143" s="246"/>
      <c r="P143" s="212"/>
      <c r="Q143" s="212"/>
    </row>
    <row r="144" spans="1:17" x14ac:dyDescent="0.2">
      <c r="A144" s="221"/>
      <c r="B144" s="209"/>
      <c r="C144" s="240"/>
      <c r="D144" s="209"/>
      <c r="E144" s="209"/>
      <c r="F144" s="209"/>
      <c r="G144" s="241" t="s">
        <v>181</v>
      </c>
      <c r="H144" s="311"/>
      <c r="I144" s="247">
        <v>320656250</v>
      </c>
      <c r="J144" s="313"/>
      <c r="K144" s="314">
        <f>+I144</f>
        <v>320656250</v>
      </c>
      <c r="L144" s="315"/>
      <c r="M144" s="248"/>
      <c r="N144" s="242"/>
      <c r="O144" s="246"/>
      <c r="P144" s="212"/>
      <c r="Q144" s="212"/>
    </row>
    <row r="145" spans="1:17" x14ac:dyDescent="0.2">
      <c r="A145" s="221"/>
      <c r="B145" s="209"/>
      <c r="C145" s="240"/>
      <c r="D145" s="209"/>
      <c r="E145" s="209"/>
      <c r="F145" s="209"/>
      <c r="G145" s="311"/>
      <c r="H145" s="311"/>
      <c r="I145" s="247"/>
      <c r="J145" s="313"/>
      <c r="K145" s="314"/>
      <c r="L145" s="315"/>
      <c r="M145" s="248"/>
      <c r="N145" s="242"/>
      <c r="O145" s="246"/>
      <c r="P145" s="212"/>
      <c r="Q145" s="212"/>
    </row>
    <row r="146" spans="1:17" hidden="1" x14ac:dyDescent="0.2">
      <c r="A146" s="221"/>
      <c r="B146" s="309"/>
      <c r="C146" s="240"/>
      <c r="D146" s="209" t="s">
        <v>18</v>
      </c>
      <c r="E146" s="209" t="s">
        <v>182</v>
      </c>
      <c r="F146" s="209" t="s">
        <v>191</v>
      </c>
      <c r="G146" s="310" t="str">
        <f>+'[2]Egresos Programa III General'!B73</f>
        <v>Mejoramiento Pluvial el Coyol</v>
      </c>
      <c r="H146" s="310"/>
      <c r="I146" s="242">
        <f>+'[2]Egresos Programa III General'!C73</f>
        <v>0</v>
      </c>
      <c r="J146" s="243"/>
      <c r="K146" s="244"/>
      <c r="L146" s="245"/>
      <c r="M146" s="246"/>
      <c r="N146" s="300"/>
      <c r="O146" s="236"/>
      <c r="P146" s="212"/>
      <c r="Q146" s="212"/>
    </row>
    <row r="147" spans="1:17" ht="30.75" hidden="1" customHeight="1" x14ac:dyDescent="0.2">
      <c r="A147" s="221"/>
      <c r="B147" s="309"/>
      <c r="C147" s="240"/>
      <c r="D147" s="209" t="s">
        <v>18</v>
      </c>
      <c r="E147" s="209" t="s">
        <v>182</v>
      </c>
      <c r="F147" s="209" t="s">
        <v>182</v>
      </c>
      <c r="G147" s="311" t="str">
        <f>+'[2]Egresos Programa III General'!B74</f>
        <v>Mejoramiento Pluvial Imas 2</v>
      </c>
      <c r="H147" s="311"/>
      <c r="I147" s="304">
        <f>+'[2]Egresos Programa III General'!C74</f>
        <v>0</v>
      </c>
      <c r="J147" s="305"/>
      <c r="K147" s="306"/>
      <c r="L147" s="307"/>
      <c r="M147" s="308"/>
      <c r="N147" s="300"/>
      <c r="O147" s="236"/>
    </row>
    <row r="148" spans="1:17" x14ac:dyDescent="0.2">
      <c r="A148" s="221"/>
      <c r="B148" s="209"/>
      <c r="C148" s="240"/>
      <c r="D148" s="209" t="s">
        <v>18</v>
      </c>
      <c r="E148" s="209" t="s">
        <v>183</v>
      </c>
      <c r="F148" s="209" t="s">
        <v>183</v>
      </c>
      <c r="G148" s="241" t="s">
        <v>277</v>
      </c>
      <c r="H148" s="241"/>
      <c r="I148" s="316">
        <f>+'[2]Egresos Programa III General'!C97-I255</f>
        <v>2073265592.6695101</v>
      </c>
      <c r="J148" s="305"/>
      <c r="K148" s="306"/>
      <c r="L148" s="307"/>
      <c r="M148" s="308"/>
      <c r="N148" s="247"/>
      <c r="O148" s="248"/>
      <c r="P148" s="210">
        <f>+I148+I218+I255+I583+I646</f>
        <v>2081561855.7995102</v>
      </c>
    </row>
    <row r="149" spans="1:17" x14ac:dyDescent="0.2">
      <c r="A149" s="221"/>
      <c r="B149" s="209"/>
      <c r="C149" s="240"/>
      <c r="D149" s="209"/>
      <c r="E149" s="209"/>
      <c r="F149" s="209"/>
      <c r="G149" s="241" t="s">
        <v>9</v>
      </c>
      <c r="H149" s="241"/>
      <c r="I149" s="304">
        <v>1056564661.728</v>
      </c>
      <c r="J149" s="305">
        <f>+I149</f>
        <v>1056564661.728</v>
      </c>
      <c r="K149" s="306"/>
      <c r="L149" s="307"/>
      <c r="M149" s="308"/>
      <c r="N149" s="247"/>
      <c r="O149" s="248"/>
    </row>
    <row r="150" spans="1:17" x14ac:dyDescent="0.2">
      <c r="A150" s="221"/>
      <c r="B150" s="209"/>
      <c r="C150" s="240"/>
      <c r="D150" s="209"/>
      <c r="E150" s="209"/>
      <c r="F150" s="209"/>
      <c r="G150" s="241" t="s">
        <v>10</v>
      </c>
      <c r="H150" s="241"/>
      <c r="I150" s="304">
        <v>167897194.09999999</v>
      </c>
      <c r="J150" s="305">
        <f>+I150</f>
        <v>167897194.09999999</v>
      </c>
      <c r="K150" s="306"/>
      <c r="L150" s="307"/>
      <c r="M150" s="308"/>
      <c r="N150" s="247"/>
      <c r="O150" s="248"/>
    </row>
    <row r="151" spans="1:17" x14ac:dyDescent="0.2">
      <c r="A151" s="221"/>
      <c r="B151" s="209"/>
      <c r="C151" s="240"/>
      <c r="D151" s="209"/>
      <c r="E151" s="209"/>
      <c r="F151" s="209"/>
      <c r="G151" s="241" t="s">
        <v>276</v>
      </c>
      <c r="H151" s="241"/>
      <c r="I151" s="304">
        <v>206650000</v>
      </c>
      <c r="J151" s="305">
        <f>+I151</f>
        <v>206650000</v>
      </c>
      <c r="K151" s="306"/>
      <c r="L151" s="307"/>
      <c r="M151" s="308"/>
      <c r="N151" s="247"/>
      <c r="O151" s="248"/>
    </row>
    <row r="152" spans="1:17" x14ac:dyDescent="0.2">
      <c r="A152" s="221"/>
      <c r="B152" s="209"/>
      <c r="C152" s="240"/>
      <c r="D152" s="209"/>
      <c r="E152" s="209"/>
      <c r="F152" s="209"/>
      <c r="G152" s="241" t="s">
        <v>181</v>
      </c>
      <c r="H152" s="241"/>
      <c r="I152" s="304">
        <v>631950000</v>
      </c>
      <c r="J152" s="305"/>
      <c r="K152" s="306">
        <f>+I152</f>
        <v>631950000</v>
      </c>
      <c r="L152" s="307"/>
      <c r="M152" s="308"/>
      <c r="N152" s="247"/>
      <c r="O152" s="248"/>
    </row>
    <row r="153" spans="1:17" x14ac:dyDescent="0.2">
      <c r="A153" s="221"/>
      <c r="B153" s="209"/>
      <c r="C153" s="240"/>
      <c r="D153" s="209"/>
      <c r="E153" s="209"/>
      <c r="F153" s="209"/>
      <c r="G153" s="241" t="s">
        <v>207</v>
      </c>
      <c r="H153" s="241"/>
      <c r="I153" s="304">
        <f>18500000-8296263.13</f>
        <v>10203736.870000001</v>
      </c>
      <c r="J153" s="305">
        <f>+I153</f>
        <v>10203736.870000001</v>
      </c>
      <c r="K153" s="306"/>
      <c r="L153" s="307"/>
      <c r="M153" s="308"/>
      <c r="N153" s="247"/>
      <c r="O153" s="248"/>
    </row>
    <row r="154" spans="1:17" x14ac:dyDescent="0.2">
      <c r="A154" s="221"/>
      <c r="B154" s="209"/>
      <c r="C154" s="240"/>
      <c r="D154" s="209"/>
      <c r="E154" s="209"/>
      <c r="F154" s="209"/>
      <c r="G154" s="241"/>
      <c r="H154" s="241"/>
      <c r="I154" s="304"/>
      <c r="J154" s="305"/>
      <c r="K154" s="306"/>
      <c r="L154" s="307"/>
      <c r="M154" s="308"/>
      <c r="N154" s="247"/>
      <c r="O154" s="248"/>
    </row>
    <row r="155" spans="1:17" x14ac:dyDescent="0.2">
      <c r="A155" s="221"/>
      <c r="B155" s="209"/>
      <c r="C155" s="240"/>
      <c r="D155" s="209" t="s">
        <v>18</v>
      </c>
      <c r="E155" s="209" t="s">
        <v>183</v>
      </c>
      <c r="F155" s="209" t="s">
        <v>185</v>
      </c>
      <c r="G155" s="258" t="str">
        <f>+'[2]Egresos Programa III General'!B98</f>
        <v>Catastro Multifinalitario</v>
      </c>
      <c r="H155" s="258"/>
      <c r="I155" s="316">
        <f>+'[2]Egresos Programa III General'!C98</f>
        <v>140851690.66039291</v>
      </c>
      <c r="J155" s="305"/>
      <c r="K155" s="306"/>
      <c r="L155" s="307"/>
      <c r="M155" s="308"/>
      <c r="N155" s="247"/>
      <c r="O155" s="248"/>
    </row>
    <row r="156" spans="1:17" x14ac:dyDescent="0.2">
      <c r="A156" s="221"/>
      <c r="B156" s="209"/>
      <c r="C156" s="240"/>
      <c r="D156" s="209"/>
      <c r="E156" s="209"/>
      <c r="F156" s="209"/>
      <c r="G156" s="241" t="s">
        <v>9</v>
      </c>
      <c r="H156" s="258"/>
      <c r="I156" s="304">
        <v>132264536.02</v>
      </c>
      <c r="J156" s="305">
        <f>+I156</f>
        <v>132264536.02</v>
      </c>
      <c r="K156" s="306"/>
      <c r="L156" s="307"/>
      <c r="M156" s="308"/>
      <c r="N156" s="247"/>
      <c r="O156" s="248"/>
    </row>
    <row r="157" spans="1:17" x14ac:dyDescent="0.2">
      <c r="A157" s="221"/>
      <c r="B157" s="209"/>
      <c r="C157" s="240"/>
      <c r="D157" s="209"/>
      <c r="E157" s="209"/>
      <c r="F157" s="209"/>
      <c r="G157" s="241" t="s">
        <v>10</v>
      </c>
      <c r="H157" s="258"/>
      <c r="I157" s="304">
        <v>4768154.6399999997</v>
      </c>
      <c r="J157" s="305">
        <f>+I157</f>
        <v>4768154.6399999997</v>
      </c>
      <c r="K157" s="306"/>
      <c r="L157" s="307"/>
      <c r="M157" s="308"/>
      <c r="N157" s="247"/>
      <c r="O157" s="248"/>
    </row>
    <row r="158" spans="1:17" x14ac:dyDescent="0.2">
      <c r="A158" s="221"/>
      <c r="B158" s="209"/>
      <c r="C158" s="240"/>
      <c r="D158" s="209"/>
      <c r="E158" s="209"/>
      <c r="F158" s="209"/>
      <c r="G158" s="241" t="s">
        <v>276</v>
      </c>
      <c r="H158" s="258"/>
      <c r="I158" s="304">
        <v>1109000</v>
      </c>
      <c r="J158" s="305">
        <f>+I158</f>
        <v>1109000</v>
      </c>
      <c r="K158" s="306"/>
      <c r="L158" s="307"/>
      <c r="M158" s="308"/>
      <c r="N158" s="247"/>
      <c r="O158" s="248"/>
    </row>
    <row r="159" spans="1:17" x14ac:dyDescent="0.2">
      <c r="A159" s="221"/>
      <c r="B159" s="209"/>
      <c r="C159" s="240"/>
      <c r="D159" s="209"/>
      <c r="E159" s="209"/>
      <c r="F159" s="209"/>
      <c r="G159" s="241" t="s">
        <v>181</v>
      </c>
      <c r="H159" s="258"/>
      <c r="I159" s="304">
        <v>110000</v>
      </c>
      <c r="J159" s="305"/>
      <c r="K159" s="306">
        <f>+I159</f>
        <v>110000</v>
      </c>
      <c r="L159" s="307"/>
      <c r="M159" s="308"/>
      <c r="N159" s="247"/>
      <c r="O159" s="248"/>
    </row>
    <row r="160" spans="1:17" x14ac:dyDescent="0.2">
      <c r="A160" s="221"/>
      <c r="B160" s="209"/>
      <c r="C160" s="240"/>
      <c r="D160" s="209"/>
      <c r="E160" s="209"/>
      <c r="F160" s="209"/>
      <c r="G160" s="241" t="s">
        <v>207</v>
      </c>
      <c r="H160" s="258"/>
      <c r="I160" s="304">
        <v>2600000</v>
      </c>
      <c r="J160" s="305">
        <f>+I160</f>
        <v>2600000</v>
      </c>
      <c r="K160" s="306"/>
      <c r="L160" s="307"/>
      <c r="M160" s="308"/>
      <c r="N160" s="247"/>
      <c r="O160" s="248"/>
    </row>
    <row r="161" spans="1:16" ht="13.5" thickBot="1" x14ac:dyDescent="0.25">
      <c r="A161" s="221"/>
      <c r="B161" s="209"/>
      <c r="C161" s="240"/>
      <c r="D161" s="209"/>
      <c r="E161" s="209"/>
      <c r="F161" s="209"/>
      <c r="G161" s="258"/>
      <c r="H161" s="258"/>
      <c r="I161" s="304"/>
      <c r="J161" s="305"/>
      <c r="K161" s="306"/>
      <c r="L161" s="307"/>
      <c r="M161" s="308"/>
      <c r="N161" s="247"/>
      <c r="O161" s="248"/>
    </row>
    <row r="162" spans="1:16" ht="13.5" hidden="1" thickBot="1" x14ac:dyDescent="0.25">
      <c r="A162" s="221"/>
      <c r="B162" s="209"/>
      <c r="C162" s="240"/>
      <c r="D162" s="209"/>
      <c r="E162" s="209"/>
      <c r="F162" s="209"/>
      <c r="G162" s="258"/>
      <c r="H162" s="258"/>
      <c r="I162" s="304"/>
      <c r="J162" s="305"/>
      <c r="K162" s="306"/>
      <c r="L162" s="307"/>
      <c r="M162" s="308"/>
      <c r="N162" s="247"/>
      <c r="O162" s="248"/>
    </row>
    <row r="163" spans="1:16" ht="13.5" hidden="1" thickBot="1" x14ac:dyDescent="0.25">
      <c r="A163" s="221"/>
      <c r="B163" s="209"/>
      <c r="C163" s="240"/>
      <c r="D163" s="209"/>
      <c r="E163" s="209"/>
      <c r="F163" s="209"/>
      <c r="G163" s="258"/>
      <c r="H163" s="258"/>
      <c r="I163" s="304"/>
      <c r="J163" s="305"/>
      <c r="K163" s="306"/>
      <c r="L163" s="307"/>
      <c r="M163" s="308"/>
      <c r="N163" s="247"/>
      <c r="O163" s="248"/>
    </row>
    <row r="164" spans="1:16" ht="13.5" hidden="1" thickBot="1" x14ac:dyDescent="0.25">
      <c r="A164" s="221"/>
      <c r="B164" s="209"/>
      <c r="C164" s="240"/>
      <c r="D164" s="209"/>
      <c r="E164" s="209"/>
      <c r="F164" s="209"/>
      <c r="G164" s="258"/>
      <c r="H164" s="258"/>
      <c r="I164" s="304"/>
      <c r="J164" s="305"/>
      <c r="K164" s="306"/>
      <c r="L164" s="307"/>
      <c r="M164" s="308"/>
      <c r="N164" s="247"/>
      <c r="O164" s="248"/>
    </row>
    <row r="165" spans="1:16" ht="13.5" hidden="1" thickBot="1" x14ac:dyDescent="0.25">
      <c r="A165" s="221"/>
      <c r="B165" s="209"/>
      <c r="C165" s="240"/>
      <c r="D165" s="209"/>
      <c r="E165" s="209"/>
      <c r="F165" s="209"/>
      <c r="G165" s="258"/>
      <c r="H165" s="258"/>
      <c r="I165" s="304"/>
      <c r="J165" s="305"/>
      <c r="K165" s="306"/>
      <c r="L165" s="307"/>
      <c r="M165" s="308"/>
      <c r="N165" s="247"/>
      <c r="O165" s="248"/>
    </row>
    <row r="166" spans="1:16" ht="13.5" hidden="1" thickBot="1" x14ac:dyDescent="0.25">
      <c r="A166" s="221"/>
      <c r="B166" s="209"/>
      <c r="C166" s="240"/>
      <c r="D166" s="209"/>
      <c r="E166" s="209"/>
      <c r="F166" s="209"/>
      <c r="G166" s="258"/>
      <c r="H166" s="258"/>
      <c r="I166" s="304"/>
      <c r="J166" s="305"/>
      <c r="K166" s="306"/>
      <c r="L166" s="307"/>
      <c r="M166" s="308"/>
      <c r="N166" s="247"/>
      <c r="O166" s="248"/>
    </row>
    <row r="167" spans="1:16" ht="13.5" hidden="1" thickBot="1" x14ac:dyDescent="0.25">
      <c r="A167" s="221"/>
      <c r="B167" s="209"/>
      <c r="C167" s="240"/>
      <c r="D167" s="209"/>
      <c r="E167" s="209"/>
      <c r="F167" s="209"/>
      <c r="G167" s="258"/>
      <c r="H167" s="258"/>
      <c r="I167" s="304"/>
      <c r="J167" s="305"/>
      <c r="K167" s="306"/>
      <c r="L167" s="307"/>
      <c r="M167" s="308"/>
      <c r="N167" s="247"/>
      <c r="O167" s="248"/>
    </row>
    <row r="168" spans="1:16" ht="13.5" hidden="1" thickBot="1" x14ac:dyDescent="0.25">
      <c r="A168" s="221"/>
      <c r="B168" s="209"/>
      <c r="C168" s="240"/>
      <c r="D168" s="209"/>
      <c r="E168" s="209"/>
      <c r="F168" s="209"/>
      <c r="G168" s="258"/>
      <c r="H168" s="258"/>
      <c r="I168" s="304"/>
      <c r="J168" s="305"/>
      <c r="K168" s="306"/>
      <c r="L168" s="307"/>
      <c r="M168" s="308"/>
      <c r="N168" s="247"/>
      <c r="O168" s="248"/>
    </row>
    <row r="169" spans="1:16" ht="13.5" hidden="1" thickBot="1" x14ac:dyDescent="0.25">
      <c r="A169" s="221"/>
      <c r="B169" s="209"/>
      <c r="C169" s="240"/>
      <c r="D169" s="209" t="s">
        <v>18</v>
      </c>
      <c r="E169" s="209" t="s">
        <v>183</v>
      </c>
      <c r="F169" s="209" t="s">
        <v>193</v>
      </c>
      <c r="G169" s="295" t="str">
        <f>+'[2]Egresos Programa III General'!B99</f>
        <v>Plan Mercadeo Turistico de Alajuela</v>
      </c>
      <c r="H169" s="295"/>
      <c r="I169" s="304">
        <f>+'[2]Egresos Programa III General'!C99</f>
        <v>0</v>
      </c>
      <c r="J169" s="305"/>
      <c r="K169" s="306"/>
      <c r="L169" s="307"/>
      <c r="M169" s="308"/>
      <c r="N169" s="247"/>
      <c r="O169" s="248"/>
    </row>
    <row r="170" spans="1:16" ht="13.5" hidden="1" thickBot="1" x14ac:dyDescent="0.25">
      <c r="A170" s="221"/>
      <c r="B170" s="209"/>
      <c r="C170" s="240"/>
      <c r="D170" s="209" t="s">
        <v>18</v>
      </c>
      <c r="E170" s="209" t="s">
        <v>183</v>
      </c>
      <c r="F170" s="209" t="s">
        <v>191</v>
      </c>
      <c r="G170" s="295" t="str">
        <f>+'[2]Egresos Programa III General'!B101</f>
        <v>Alajuela Ciudad Segura</v>
      </c>
      <c r="H170" s="295"/>
      <c r="I170" s="304"/>
      <c r="J170" s="305"/>
      <c r="K170" s="306"/>
      <c r="L170" s="307"/>
      <c r="M170" s="308"/>
      <c r="N170" s="247"/>
      <c r="O170" s="248">
        <f>SUM(I170:I172)</f>
        <v>0</v>
      </c>
    </row>
    <row r="171" spans="1:16" ht="12" hidden="1" customHeight="1" x14ac:dyDescent="0.2">
      <c r="A171" s="221"/>
      <c r="B171" s="209"/>
      <c r="C171" s="240"/>
      <c r="D171" s="209" t="s">
        <v>18</v>
      </c>
      <c r="E171" s="209" t="s">
        <v>183</v>
      </c>
      <c r="F171" s="209" t="s">
        <v>183</v>
      </c>
      <c r="G171" s="296" t="str">
        <f>+'[2]Egresos Programa III General'!B103</f>
        <v>Mejoras Parques de Urbanización Doña Rosa</v>
      </c>
      <c r="H171" s="296"/>
      <c r="I171" s="304">
        <f>+'[2]Egresos Programa III General'!C103</f>
        <v>0</v>
      </c>
      <c r="J171" s="305"/>
      <c r="K171" s="306"/>
      <c r="L171" s="307"/>
      <c r="M171" s="308"/>
      <c r="N171" s="247"/>
      <c r="O171" s="248"/>
      <c r="P171" s="210" t="e">
        <f>+I171+#REF!</f>
        <v>#REF!</v>
      </c>
    </row>
    <row r="172" spans="1:16" ht="12" hidden="1" customHeight="1" x14ac:dyDescent="0.2">
      <c r="A172" s="221"/>
      <c r="B172" s="209"/>
      <c r="C172" s="240"/>
      <c r="D172" s="209" t="s">
        <v>18</v>
      </c>
      <c r="E172" s="209" t="s">
        <v>183</v>
      </c>
      <c r="F172" s="209" t="s">
        <v>189</v>
      </c>
      <c r="G172" s="296" t="str">
        <f>+'[2]Egresos Programa III General'!B104</f>
        <v>Mejoras Infraestructura Parque de la Garita</v>
      </c>
      <c r="H172" s="296"/>
      <c r="I172" s="304">
        <f>+'[2]Egresos Programa III General'!C104</f>
        <v>0</v>
      </c>
      <c r="J172" s="305"/>
      <c r="K172" s="306"/>
      <c r="L172" s="307"/>
      <c r="M172" s="308"/>
      <c r="N172" s="247"/>
      <c r="O172" s="248"/>
    </row>
    <row r="173" spans="1:16" ht="12" hidden="1" customHeight="1" x14ac:dyDescent="0.2">
      <c r="A173" s="221"/>
      <c r="B173" s="209"/>
      <c r="C173" s="240"/>
      <c r="D173" s="209" t="s">
        <v>18</v>
      </c>
      <c r="E173" s="209" t="s">
        <v>183</v>
      </c>
      <c r="F173" s="209">
        <v>10</v>
      </c>
      <c r="G173" s="241" t="str">
        <f>+'[2]Egresos Programa III General'!B106</f>
        <v>Mejora áreas recreativas Urbanización Silvia Eugenia</v>
      </c>
      <c r="H173" s="241"/>
      <c r="I173" s="304">
        <f>+'[2]Egresos Programa III General'!C106</f>
        <v>0</v>
      </c>
      <c r="J173" s="305"/>
      <c r="K173" s="306"/>
      <c r="L173" s="307"/>
      <c r="M173" s="308"/>
      <c r="N173" s="247"/>
      <c r="O173" s="248"/>
    </row>
    <row r="174" spans="1:16" ht="12" hidden="1" customHeight="1" x14ac:dyDescent="0.2">
      <c r="A174" s="221"/>
      <c r="B174" s="209"/>
      <c r="C174" s="240"/>
      <c r="D174" s="209" t="s">
        <v>18</v>
      </c>
      <c r="E174" s="209" t="s">
        <v>183</v>
      </c>
      <c r="F174" s="209">
        <v>11</v>
      </c>
      <c r="G174" s="296" t="str">
        <f>+'[2]Egresos Programa III General'!B107</f>
        <v>Compra de Terreno para Salón Comunal Río Segundo</v>
      </c>
      <c r="H174" s="296"/>
      <c r="I174" s="304">
        <f>+'[2]Egresos Programa III General'!C107-I651</f>
        <v>0</v>
      </c>
      <c r="J174" s="305"/>
      <c r="K174" s="306"/>
      <c r="L174" s="307"/>
      <c r="M174" s="308"/>
      <c r="N174" s="247"/>
      <c r="O174" s="248"/>
    </row>
    <row r="175" spans="1:16" ht="12" hidden="1" customHeight="1" x14ac:dyDescent="0.2">
      <c r="A175" s="221"/>
      <c r="B175" s="209"/>
      <c r="C175" s="240"/>
      <c r="D175" s="209" t="s">
        <v>18</v>
      </c>
      <c r="E175" s="209" t="s">
        <v>183</v>
      </c>
      <c r="F175" s="209">
        <v>12</v>
      </c>
      <c r="G175" s="296" t="str">
        <f>+'[2]Egresos Programa III General'!B108</f>
        <v>Equipamiento parque infantil urbanización Sacramento</v>
      </c>
      <c r="H175" s="296"/>
      <c r="I175" s="304">
        <f>+'[2]Egresos Programa III General'!C108</f>
        <v>0</v>
      </c>
      <c r="J175" s="305"/>
      <c r="K175" s="306"/>
      <c r="L175" s="307"/>
      <c r="M175" s="308"/>
      <c r="N175" s="247"/>
      <c r="O175" s="248"/>
    </row>
    <row r="176" spans="1:16" ht="12" hidden="1" customHeight="1" x14ac:dyDescent="0.2">
      <c r="A176" s="221"/>
      <c r="B176" s="209"/>
      <c r="C176" s="240"/>
      <c r="D176" s="209" t="s">
        <v>18</v>
      </c>
      <c r="E176" s="209" t="s">
        <v>183</v>
      </c>
      <c r="F176" s="209">
        <v>13</v>
      </c>
      <c r="G176" s="296" t="str">
        <f>+'[2]Egresos Programa III General'!B109</f>
        <v xml:space="preserve"> Mejoras en la cancha multiuso de la Urbanización María Auxiliadora, Distrito de San Rafael</v>
      </c>
      <c r="H176" s="296"/>
      <c r="I176" s="304">
        <f>+'[2]Egresos Programa III General'!C109</f>
        <v>0</v>
      </c>
      <c r="J176" s="305"/>
      <c r="K176" s="306"/>
      <c r="L176" s="307"/>
      <c r="M176" s="308"/>
      <c r="N176" s="247"/>
      <c r="O176" s="248"/>
    </row>
    <row r="177" spans="1:17" ht="12" hidden="1" customHeight="1" x14ac:dyDescent="0.2">
      <c r="A177" s="221"/>
      <c r="B177" s="209"/>
      <c r="C177" s="240"/>
      <c r="D177" s="209" t="s">
        <v>18</v>
      </c>
      <c r="E177" s="209" t="s">
        <v>183</v>
      </c>
      <c r="F177" s="209">
        <v>13</v>
      </c>
      <c r="G177" s="296" t="str">
        <f>+'[2]Egresos Programa III General'!B110</f>
        <v xml:space="preserve"> Mejoramiento plaza de deportes INVU Las Cañas de Desamparado</v>
      </c>
      <c r="H177" s="296"/>
      <c r="I177" s="304">
        <f>+'[2]Egresos Programa III General'!C110</f>
        <v>0</v>
      </c>
      <c r="J177" s="305"/>
      <c r="K177" s="306"/>
      <c r="L177" s="307"/>
      <c r="M177" s="308"/>
      <c r="N177" s="247"/>
      <c r="O177" s="248">
        <f>+I177+I209</f>
        <v>0</v>
      </c>
    </row>
    <row r="178" spans="1:17" ht="12" hidden="1" customHeight="1" x14ac:dyDescent="0.2">
      <c r="A178" s="221"/>
      <c r="B178" s="209"/>
      <c r="C178" s="240"/>
      <c r="D178" s="209" t="s">
        <v>18</v>
      </c>
      <c r="E178" s="209" t="s">
        <v>183</v>
      </c>
      <c r="F178" s="209">
        <v>15</v>
      </c>
      <c r="G178" s="296" t="str">
        <f>+'[2]Egresos Programa III General'!B111</f>
        <v>Mejoras infraestructura en cancha de futbol de la Urbanización Gregorio José Ramírez, Montecillos</v>
      </c>
      <c r="H178" s="296"/>
      <c r="I178" s="304">
        <f>+'[2]Egresos Programa III General'!C111</f>
        <v>0</v>
      </c>
      <c r="J178" s="305"/>
      <c r="K178" s="306"/>
      <c r="L178" s="307"/>
      <c r="M178" s="308"/>
      <c r="N178" s="247"/>
      <c r="O178" s="248"/>
    </row>
    <row r="179" spans="1:17" ht="12" hidden="1" customHeight="1" x14ac:dyDescent="0.2">
      <c r="A179" s="221"/>
      <c r="B179" s="209"/>
      <c r="C179" s="240"/>
      <c r="D179" s="209" t="s">
        <v>18</v>
      </c>
      <c r="E179" s="209" t="s">
        <v>183</v>
      </c>
      <c r="F179" s="209">
        <v>16</v>
      </c>
      <c r="G179" s="296" t="str">
        <f>+'[2]Egresos Programa III General'!B112</f>
        <v>III-06-16</v>
      </c>
      <c r="H179" s="296"/>
      <c r="I179" s="304">
        <f>+'[2]Egresos Programa III General'!C112</f>
        <v>0</v>
      </c>
      <c r="J179" s="305"/>
      <c r="K179" s="306"/>
      <c r="L179" s="307"/>
      <c r="M179" s="308"/>
      <c r="N179" s="247"/>
      <c r="O179" s="248"/>
    </row>
    <row r="180" spans="1:17" ht="12" hidden="1" customHeight="1" x14ac:dyDescent="0.2">
      <c r="A180" s="221"/>
      <c r="B180" s="209"/>
      <c r="C180" s="240"/>
      <c r="D180" s="209" t="s">
        <v>18</v>
      </c>
      <c r="E180" s="209" t="s">
        <v>183</v>
      </c>
      <c r="F180" s="209">
        <v>17</v>
      </c>
      <c r="G180" s="296" t="str">
        <f>+'[2]Egresos Programa III General'!B113</f>
        <v>III-06-17</v>
      </c>
      <c r="H180" s="296"/>
      <c r="I180" s="300">
        <f>+'[2]Egresos Programa III General'!C113</f>
        <v>0</v>
      </c>
      <c r="J180" s="301"/>
      <c r="K180" s="302"/>
      <c r="L180" s="303"/>
      <c r="N180" s="300"/>
      <c r="O180" s="236"/>
    </row>
    <row r="181" spans="1:17" ht="12" hidden="1" customHeight="1" x14ac:dyDescent="0.2">
      <c r="A181" s="221"/>
      <c r="B181" s="209"/>
      <c r="C181" s="240"/>
      <c r="D181" s="209" t="s">
        <v>18</v>
      </c>
      <c r="E181" s="209" t="s">
        <v>189</v>
      </c>
      <c r="F181" s="209"/>
      <c r="G181" s="296" t="s">
        <v>190</v>
      </c>
      <c r="H181" s="296"/>
      <c r="I181" s="304">
        <v>0</v>
      </c>
      <c r="J181" s="305"/>
      <c r="K181" s="306"/>
      <c r="L181" s="307"/>
      <c r="M181" s="308"/>
      <c r="N181" s="247"/>
      <c r="O181" s="248">
        <f>SUM(I181:I182)</f>
        <v>0</v>
      </c>
    </row>
    <row r="182" spans="1:17" s="319" customFormat="1" ht="12" hidden="1" customHeight="1" x14ac:dyDescent="0.2">
      <c r="A182" s="298"/>
      <c r="B182" s="212"/>
      <c r="C182" s="240"/>
      <c r="D182" s="209" t="s">
        <v>18</v>
      </c>
      <c r="E182" s="209" t="s">
        <v>189</v>
      </c>
      <c r="F182" s="209"/>
      <c r="G182" s="241" t="s">
        <v>188</v>
      </c>
      <c r="H182" s="241"/>
      <c r="I182" s="304">
        <f>+'[3]Prog III'!$G$161</f>
        <v>0</v>
      </c>
      <c r="J182" s="305"/>
      <c r="K182" s="306"/>
      <c r="L182" s="307"/>
      <c r="M182" s="308"/>
      <c r="N182" s="247"/>
      <c r="O182" s="248"/>
      <c r="P182" s="317">
        <f>+I182+I181+I183+I266+I588+I606+I199+I267</f>
        <v>77637358.98105</v>
      </c>
      <c r="Q182" s="318"/>
    </row>
    <row r="183" spans="1:17" s="319" customFormat="1" ht="13.5" hidden="1" thickBot="1" x14ac:dyDescent="0.25">
      <c r="A183" s="320"/>
      <c r="B183" s="321"/>
      <c r="C183" s="273"/>
      <c r="D183" s="272" t="s">
        <v>18</v>
      </c>
      <c r="E183" s="272" t="s">
        <v>189</v>
      </c>
      <c r="F183" s="272"/>
      <c r="G183" s="274" t="s">
        <v>275</v>
      </c>
      <c r="H183" s="274"/>
      <c r="I183" s="322">
        <v>0</v>
      </c>
      <c r="J183" s="305"/>
      <c r="K183" s="306"/>
      <c r="L183" s="307"/>
      <c r="M183" s="308"/>
      <c r="N183" s="247"/>
      <c r="O183" s="248"/>
      <c r="P183" s="317">
        <f>+O183-I183</f>
        <v>0</v>
      </c>
      <c r="Q183" s="318">
        <f>+P183-75000000</f>
        <v>-75000000</v>
      </c>
    </row>
    <row r="184" spans="1:17" s="239" customFormat="1" ht="13.5" thickBot="1" x14ac:dyDescent="0.25">
      <c r="A184" s="323" t="s">
        <v>180</v>
      </c>
      <c r="B184" s="324"/>
      <c r="C184" s="325">
        <f>SUM(C10)</f>
        <v>7800000000</v>
      </c>
      <c r="D184" s="326"/>
      <c r="E184" s="326"/>
      <c r="F184" s="326"/>
      <c r="G184" s="327"/>
      <c r="H184" s="327"/>
      <c r="I184" s="328">
        <f>SUM(I11:I183)/2</f>
        <v>7800000000.0030708</v>
      </c>
      <c r="J184" s="329"/>
      <c r="K184" s="330"/>
      <c r="L184" s="331"/>
      <c r="M184" s="332"/>
      <c r="N184" s="333">
        <f>+C184-I184</f>
        <v>-3.070831298828125E-3</v>
      </c>
      <c r="O184" s="332"/>
      <c r="P184" s="334">
        <f>+I183+I219+I497</f>
        <v>0</v>
      </c>
      <c r="Q184" s="335">
        <f>+C184-I184</f>
        <v>-3.070831298828125E-3</v>
      </c>
    </row>
    <row r="185" spans="1:17" ht="13.5" hidden="1" thickBot="1" x14ac:dyDescent="0.25">
      <c r="A185" s="336"/>
      <c r="B185" s="229"/>
      <c r="C185" s="230"/>
      <c r="D185" s="207"/>
      <c r="E185" s="207"/>
      <c r="F185" s="207"/>
      <c r="G185" s="231"/>
      <c r="H185" s="231"/>
      <c r="I185" s="232"/>
      <c r="J185" s="301"/>
      <c r="K185" s="302"/>
      <c r="L185" s="303"/>
      <c r="N185" s="237"/>
    </row>
    <row r="186" spans="1:17" ht="13.5" hidden="1" thickBot="1" x14ac:dyDescent="0.25">
      <c r="A186" s="238" t="str">
        <f>+'[1]Clasific. Económica de Ingr (3)'!A17</f>
        <v>1.1.2.2.02.00.0.0.000</v>
      </c>
      <c r="B186" s="239" t="s">
        <v>274</v>
      </c>
      <c r="C186" s="240">
        <f>SUM('[1]Clasific. Económica de Ingr (3)'!C17)</f>
        <v>0</v>
      </c>
      <c r="D186" s="209"/>
      <c r="E186" s="209"/>
      <c r="F186" s="209"/>
      <c r="G186" s="241"/>
      <c r="H186" s="241"/>
      <c r="I186" s="300"/>
      <c r="J186" s="301"/>
      <c r="K186" s="302"/>
      <c r="L186" s="303"/>
      <c r="N186" s="237"/>
    </row>
    <row r="187" spans="1:17" ht="13.5" hidden="1" thickBot="1" x14ac:dyDescent="0.25">
      <c r="A187" s="337"/>
      <c r="B187" s="338"/>
      <c r="C187" s="339"/>
      <c r="D187" s="209" t="s">
        <v>8</v>
      </c>
      <c r="E187" s="209" t="s">
        <v>184</v>
      </c>
      <c r="F187" s="209" t="s">
        <v>209</v>
      </c>
      <c r="G187" s="241" t="s">
        <v>213</v>
      </c>
      <c r="H187" s="241"/>
      <c r="I187" s="304">
        <v>0</v>
      </c>
      <c r="J187" s="305"/>
      <c r="K187" s="306"/>
      <c r="L187" s="307"/>
      <c r="M187" s="308"/>
      <c r="N187" s="242"/>
      <c r="O187" s="246"/>
    </row>
    <row r="188" spans="1:17" ht="13.5" hidden="1" thickBot="1" x14ac:dyDescent="0.25">
      <c r="A188" s="298"/>
      <c r="C188" s="240"/>
      <c r="D188" s="209" t="s">
        <v>8</v>
      </c>
      <c r="E188" s="209" t="s">
        <v>191</v>
      </c>
      <c r="F188" s="209" t="s">
        <v>209</v>
      </c>
      <c r="G188" s="241" t="str">
        <f>+[2]ProgramaI!B24</f>
        <v>Aporte Junta Admva.Registro Nac. Ley 7509y 7729</v>
      </c>
      <c r="H188" s="241"/>
      <c r="I188" s="304">
        <v>0</v>
      </c>
      <c r="J188" s="305"/>
      <c r="K188" s="306"/>
      <c r="L188" s="307"/>
      <c r="M188" s="308"/>
      <c r="N188" s="242"/>
      <c r="O188" s="246"/>
      <c r="P188" s="210">
        <f>+I128+I204+I217+I246+I458+I672+I576</f>
        <v>2018948573.45</v>
      </c>
    </row>
    <row r="189" spans="1:17" ht="13.5" hidden="1" thickBot="1" x14ac:dyDescent="0.25">
      <c r="A189" s="298"/>
      <c r="C189" s="240"/>
      <c r="D189" s="209" t="s">
        <v>8</v>
      </c>
      <c r="E189" s="209" t="s">
        <v>191</v>
      </c>
      <c r="F189" s="209" t="s">
        <v>209</v>
      </c>
      <c r="G189" s="241" t="str">
        <f>+[2]ProgramaI!B29</f>
        <v xml:space="preserve">Aporte a IFAM, Ley Nº 7509 </v>
      </c>
      <c r="H189" s="241"/>
      <c r="I189" s="304">
        <v>0</v>
      </c>
      <c r="J189" s="305"/>
      <c r="K189" s="306"/>
      <c r="L189" s="307"/>
      <c r="M189" s="308"/>
      <c r="N189" s="242"/>
      <c r="O189" s="246"/>
    </row>
    <row r="190" spans="1:17" ht="13.5" hidden="1" thickBot="1" x14ac:dyDescent="0.25">
      <c r="A190" s="298"/>
      <c r="C190" s="240"/>
      <c r="D190" s="209" t="s">
        <v>8</v>
      </c>
      <c r="E190" s="209" t="s">
        <v>191</v>
      </c>
      <c r="F190" s="209" t="s">
        <v>209</v>
      </c>
      <c r="G190" s="241" t="str">
        <f>+[2]ProgramaI!B30</f>
        <v>Juntas de Educación, Ley 7509 y 7729</v>
      </c>
      <c r="H190" s="241"/>
      <c r="I190" s="304">
        <v>0</v>
      </c>
      <c r="J190" s="305"/>
      <c r="K190" s="306"/>
      <c r="L190" s="307"/>
      <c r="M190" s="308"/>
      <c r="N190" s="242"/>
      <c r="O190" s="246"/>
    </row>
    <row r="191" spans="1:17" ht="13.5" hidden="1" thickBot="1" x14ac:dyDescent="0.25">
      <c r="A191" s="298"/>
      <c r="C191" s="240"/>
      <c r="D191" s="209" t="s">
        <v>8</v>
      </c>
      <c r="E191" s="209" t="s">
        <v>191</v>
      </c>
      <c r="F191" s="340" t="s">
        <v>15</v>
      </c>
      <c r="G191" s="241" t="str">
        <f>+'[2]Programa III'!B33</f>
        <v>IFAM Ley 7509</v>
      </c>
      <c r="H191" s="241"/>
      <c r="I191" s="304">
        <v>0</v>
      </c>
      <c r="J191" s="305"/>
      <c r="K191" s="306"/>
      <c r="L191" s="307"/>
      <c r="M191" s="308"/>
      <c r="N191" s="242"/>
      <c r="O191" s="246"/>
    </row>
    <row r="192" spans="1:17" ht="13.5" hidden="1" thickBot="1" x14ac:dyDescent="0.25">
      <c r="A192" s="298"/>
      <c r="C192" s="240"/>
      <c r="D192" s="209" t="s">
        <v>8</v>
      </c>
      <c r="E192" s="209" t="s">
        <v>191</v>
      </c>
      <c r="F192" s="209" t="s">
        <v>209</v>
      </c>
      <c r="G192" s="241" t="str">
        <f>+'[2]Programa III'!B36</f>
        <v>Fondo de Desarrollo Municipal Ley 7509</v>
      </c>
      <c r="H192" s="241"/>
      <c r="I192" s="304">
        <v>0</v>
      </c>
      <c r="J192" s="305"/>
      <c r="K192" s="306"/>
      <c r="L192" s="307"/>
      <c r="M192" s="308"/>
      <c r="N192" s="242"/>
      <c r="O192" s="246"/>
    </row>
    <row r="193" spans="1:17" s="319" customFormat="1" ht="13.5" hidden="1" thickBot="1" x14ac:dyDescent="0.25">
      <c r="A193" s="298"/>
      <c r="B193" s="212"/>
      <c r="C193" s="240"/>
      <c r="D193" s="209" t="s">
        <v>18</v>
      </c>
      <c r="E193" s="209" t="s">
        <v>189</v>
      </c>
      <c r="F193" s="209"/>
      <c r="G193" s="241" t="s">
        <v>220</v>
      </c>
      <c r="H193" s="241"/>
      <c r="I193" s="304">
        <v>0</v>
      </c>
      <c r="J193" s="305"/>
      <c r="K193" s="306"/>
      <c r="L193" s="307"/>
      <c r="M193" s="308"/>
      <c r="N193" s="242"/>
      <c r="O193" s="246"/>
      <c r="P193" s="317"/>
      <c r="Q193" s="318"/>
    </row>
    <row r="194" spans="1:17" s="239" customFormat="1" ht="13.5" hidden="1" thickBot="1" x14ac:dyDescent="0.25">
      <c r="A194" s="323" t="s">
        <v>180</v>
      </c>
      <c r="B194" s="324"/>
      <c r="C194" s="325">
        <f>SUM(C186:C193)</f>
        <v>0</v>
      </c>
      <c r="D194" s="326"/>
      <c r="E194" s="326"/>
      <c r="F194" s="326"/>
      <c r="G194" s="327"/>
      <c r="H194" s="327"/>
      <c r="I194" s="341">
        <f>SUM(I187:I193)</f>
        <v>0</v>
      </c>
      <c r="J194" s="342"/>
      <c r="K194" s="343"/>
      <c r="L194" s="344"/>
      <c r="M194" s="345"/>
      <c r="N194" s="333">
        <f>+C194-I194</f>
        <v>0</v>
      </c>
      <c r="O194" s="345"/>
      <c r="P194" s="334">
        <f>+C194-I194</f>
        <v>0</v>
      </c>
      <c r="Q194" s="335">
        <f>+C194-I194</f>
        <v>0</v>
      </c>
    </row>
    <row r="195" spans="1:17" s="358" customFormat="1" ht="25.5" x14ac:dyDescent="0.2">
      <c r="A195" s="346" t="str">
        <f>+'[1]Clasific. Económica de Ingr (3)'!A23</f>
        <v>1.1.3.2.01.02.0.0.001</v>
      </c>
      <c r="B195" s="347" t="s">
        <v>273</v>
      </c>
      <c r="C195" s="348">
        <f>SUM('[1]Clasific. Económica de Ingr (3)'!C23)</f>
        <v>81244000</v>
      </c>
      <c r="D195" s="349"/>
      <c r="E195" s="349"/>
      <c r="F195" s="349"/>
      <c r="G195" s="350"/>
      <c r="H195" s="350"/>
      <c r="I195" s="351"/>
      <c r="J195" s="352"/>
      <c r="K195" s="353"/>
      <c r="L195" s="354"/>
      <c r="M195" s="355"/>
      <c r="N195" s="356"/>
      <c r="O195" s="355"/>
      <c r="P195" s="297"/>
      <c r="Q195" s="357"/>
    </row>
    <row r="196" spans="1:17" s="358" customFormat="1" x14ac:dyDescent="0.2">
      <c r="A196" s="359"/>
      <c r="B196" s="360"/>
      <c r="C196" s="361"/>
      <c r="D196" s="362" t="s">
        <v>272</v>
      </c>
      <c r="E196" s="362" t="s">
        <v>271</v>
      </c>
      <c r="F196" s="362"/>
      <c r="G196" s="363" t="s">
        <v>17</v>
      </c>
      <c r="H196" s="363"/>
      <c r="I196" s="364">
        <f>SUM(I197)</f>
        <v>3606641.02</v>
      </c>
      <c r="J196" s="352"/>
      <c r="K196" s="353"/>
      <c r="L196" s="354"/>
      <c r="M196" s="355"/>
      <c r="N196" s="356"/>
      <c r="O196" s="355"/>
      <c r="P196" s="297"/>
      <c r="Q196" s="357"/>
    </row>
    <row r="197" spans="1:17" s="358" customFormat="1" x14ac:dyDescent="0.2">
      <c r="A197" s="359"/>
      <c r="B197" s="360"/>
      <c r="C197" s="361"/>
      <c r="D197" s="362"/>
      <c r="E197" s="362"/>
      <c r="F197" s="362"/>
      <c r="G197" s="363" t="s">
        <v>10</v>
      </c>
      <c r="H197" s="363"/>
      <c r="I197" s="356">
        <v>3606641.02</v>
      </c>
      <c r="J197" s="352">
        <v>3606641.02</v>
      </c>
      <c r="K197" s="353"/>
      <c r="L197" s="354"/>
      <c r="M197" s="355"/>
      <c r="N197" s="356"/>
      <c r="O197" s="355"/>
      <c r="P197" s="297"/>
      <c r="Q197" s="357"/>
    </row>
    <row r="198" spans="1:17" s="358" customFormat="1" x14ac:dyDescent="0.2">
      <c r="A198" s="359"/>
      <c r="B198" s="360"/>
      <c r="C198" s="361"/>
      <c r="D198" s="362"/>
      <c r="E198" s="362"/>
      <c r="F198" s="362"/>
      <c r="G198" s="363"/>
      <c r="H198" s="363"/>
      <c r="I198" s="356"/>
      <c r="J198" s="352"/>
      <c r="K198" s="353"/>
      <c r="L198" s="354"/>
      <c r="M198" s="355"/>
      <c r="N198" s="356"/>
      <c r="O198" s="355"/>
      <c r="P198" s="297"/>
      <c r="Q198" s="357"/>
    </row>
    <row r="199" spans="1:17" s="358" customFormat="1" x14ac:dyDescent="0.2">
      <c r="A199" s="359"/>
      <c r="B199" s="365"/>
      <c r="C199" s="361"/>
      <c r="D199" s="362" t="s">
        <v>8</v>
      </c>
      <c r="E199" s="362" t="s">
        <v>191</v>
      </c>
      <c r="F199" s="362"/>
      <c r="G199" s="363" t="s">
        <v>270</v>
      </c>
      <c r="H199" s="363"/>
      <c r="I199" s="364">
        <f>+[2]ProgramaI!E33</f>
        <v>77637358.98105</v>
      </c>
      <c r="J199" s="352"/>
      <c r="K199" s="353"/>
      <c r="L199" s="354"/>
      <c r="M199" s="355"/>
      <c r="N199" s="356"/>
      <c r="O199" s="355"/>
      <c r="P199" s="297"/>
      <c r="Q199" s="357"/>
    </row>
    <row r="200" spans="1:17" s="358" customFormat="1" hidden="1" x14ac:dyDescent="0.2">
      <c r="A200" s="359"/>
      <c r="B200" s="365"/>
      <c r="C200" s="361"/>
      <c r="D200" s="362"/>
      <c r="E200" s="362"/>
      <c r="F200" s="362"/>
      <c r="G200" s="363"/>
      <c r="H200" s="363"/>
      <c r="I200" s="356"/>
      <c r="J200" s="352"/>
      <c r="K200" s="353"/>
      <c r="L200" s="354"/>
      <c r="M200" s="355"/>
      <c r="N200" s="356"/>
      <c r="O200" s="355"/>
      <c r="P200" s="297"/>
      <c r="Q200" s="357"/>
    </row>
    <row r="201" spans="1:17" s="358" customFormat="1" ht="13.5" thickBot="1" x14ac:dyDescent="0.25">
      <c r="A201" s="359"/>
      <c r="B201" s="365"/>
      <c r="C201" s="361"/>
      <c r="D201" s="362"/>
      <c r="E201" s="362"/>
      <c r="F201" s="362"/>
      <c r="G201" s="363" t="s">
        <v>207</v>
      </c>
      <c r="H201" s="363"/>
      <c r="I201" s="356">
        <v>77637358.980000004</v>
      </c>
      <c r="J201" s="352">
        <f>+I201</f>
        <v>77637358.980000004</v>
      </c>
      <c r="K201" s="353"/>
      <c r="L201" s="354"/>
      <c r="M201" s="355"/>
      <c r="N201" s="356"/>
      <c r="O201" s="355"/>
      <c r="P201" s="297"/>
      <c r="Q201" s="357"/>
    </row>
    <row r="202" spans="1:17" s="358" customFormat="1" ht="13.5" hidden="1" thickBot="1" x14ac:dyDescent="0.25">
      <c r="A202" s="359"/>
      <c r="B202" s="365"/>
      <c r="C202" s="361"/>
      <c r="D202" s="362"/>
      <c r="E202" s="362"/>
      <c r="F202" s="362"/>
      <c r="G202" s="363"/>
      <c r="H202" s="363"/>
      <c r="I202" s="356"/>
      <c r="J202" s="352"/>
      <c r="K202" s="353"/>
      <c r="L202" s="354"/>
      <c r="M202" s="355"/>
      <c r="N202" s="356"/>
      <c r="O202" s="355"/>
      <c r="P202" s="297"/>
      <c r="Q202" s="357"/>
    </row>
    <row r="203" spans="1:17" s="358" customFormat="1" ht="13.5" hidden="1" thickBot="1" x14ac:dyDescent="0.25">
      <c r="A203" s="359"/>
      <c r="B203" s="365"/>
      <c r="C203" s="361"/>
      <c r="D203" s="362"/>
      <c r="E203" s="362"/>
      <c r="F203" s="362"/>
      <c r="G203" s="363"/>
      <c r="H203" s="363"/>
      <c r="I203" s="356"/>
      <c r="J203" s="352"/>
      <c r="K203" s="353"/>
      <c r="L203" s="354"/>
      <c r="M203" s="355"/>
      <c r="N203" s="356"/>
      <c r="O203" s="355"/>
      <c r="P203" s="297"/>
      <c r="Q203" s="357"/>
    </row>
    <row r="204" spans="1:17" s="358" customFormat="1" ht="13.5" hidden="1" thickBot="1" x14ac:dyDescent="0.25">
      <c r="A204" s="359"/>
      <c r="B204" s="360"/>
      <c r="C204" s="361"/>
      <c r="D204" s="362" t="s">
        <v>18</v>
      </c>
      <c r="E204" s="362" t="s">
        <v>189</v>
      </c>
      <c r="F204" s="366"/>
      <c r="G204" s="363" t="s">
        <v>188</v>
      </c>
      <c r="H204" s="363"/>
      <c r="I204" s="356"/>
      <c r="J204" s="352"/>
      <c r="K204" s="353"/>
      <c r="L204" s="354"/>
      <c r="M204" s="355"/>
      <c r="N204" s="356"/>
      <c r="O204" s="355" t="e">
        <f>+I204+I217+I246+I458+I672+I555+I576+#REF!</f>
        <v>#REF!</v>
      </c>
      <c r="P204" s="297"/>
      <c r="Q204" s="357"/>
    </row>
    <row r="205" spans="1:17" s="358" customFormat="1" ht="13.5" hidden="1" thickBot="1" x14ac:dyDescent="0.25">
      <c r="A205" s="367"/>
      <c r="B205" s="368"/>
      <c r="C205" s="369"/>
      <c r="D205" s="368" t="s">
        <v>18</v>
      </c>
      <c r="E205" s="368" t="s">
        <v>183</v>
      </c>
      <c r="F205" s="368" t="s">
        <v>183</v>
      </c>
      <c r="G205" s="370" t="s">
        <v>269</v>
      </c>
      <c r="H205" s="370"/>
      <c r="I205" s="371">
        <v>0</v>
      </c>
      <c r="J205" s="372"/>
      <c r="K205" s="373"/>
      <c r="L205" s="374"/>
      <c r="M205" s="256"/>
      <c r="N205" s="253"/>
      <c r="O205" s="256"/>
      <c r="P205" s="297"/>
      <c r="Q205" s="357"/>
    </row>
    <row r="206" spans="1:17" s="386" customFormat="1" x14ac:dyDescent="0.2">
      <c r="A206" s="375" t="s">
        <v>180</v>
      </c>
      <c r="B206" s="376"/>
      <c r="C206" s="377">
        <f>SUM(C195:C195)</f>
        <v>81244000</v>
      </c>
      <c r="D206" s="349"/>
      <c r="E206" s="349"/>
      <c r="F206" s="349"/>
      <c r="G206" s="350"/>
      <c r="H206" s="350"/>
      <c r="I206" s="378">
        <f>SUM(I196:I204)/2</f>
        <v>81244000.000524998</v>
      </c>
      <c r="J206" s="379"/>
      <c r="K206" s="380"/>
      <c r="L206" s="381"/>
      <c r="M206" s="382"/>
      <c r="N206" s="383">
        <f>+C206-I206</f>
        <v>-5.2499771118164063E-4</v>
      </c>
      <c r="O206" s="382"/>
      <c r="P206" s="384">
        <f>+I199+I233+I268</f>
        <v>77887358.98105</v>
      </c>
      <c r="Q206" s="385"/>
    </row>
    <row r="207" spans="1:17" hidden="1" x14ac:dyDescent="0.2">
      <c r="A207" s="387"/>
      <c r="B207" s="388"/>
      <c r="C207" s="389"/>
      <c r="D207" s="207"/>
      <c r="E207" s="207"/>
      <c r="F207" s="207"/>
      <c r="G207" s="231"/>
      <c r="H207" s="231"/>
      <c r="I207" s="390"/>
      <c r="J207" s="391"/>
      <c r="K207" s="392"/>
      <c r="L207" s="393"/>
      <c r="M207" s="394"/>
      <c r="N207" s="300"/>
      <c r="O207" s="236"/>
    </row>
    <row r="208" spans="1:17" hidden="1" x14ac:dyDescent="0.2">
      <c r="A208" s="221" t="str">
        <f>+'[1]Clasific. Económica de Ingr (3)'!A25</f>
        <v>1.1.3.2.01.04.0.0.000</v>
      </c>
      <c r="B208" s="395" t="s">
        <v>268</v>
      </c>
      <c r="C208" s="240">
        <f>+'[1]Clasific. Económica de Ingr (3)'!C24</f>
        <v>0</v>
      </c>
      <c r="D208" s="209"/>
      <c r="E208" s="209"/>
      <c r="F208" s="209"/>
      <c r="G208" s="241"/>
      <c r="H208" s="241"/>
      <c r="I208" s="255"/>
      <c r="J208" s="250"/>
      <c r="K208" s="251"/>
      <c r="L208" s="252"/>
      <c r="M208" s="240"/>
      <c r="N208" s="300"/>
      <c r="O208" s="236"/>
    </row>
    <row r="209" spans="1:17" hidden="1" x14ac:dyDescent="0.2">
      <c r="A209" s="221"/>
      <c r="B209" s="209"/>
      <c r="C209" s="240"/>
      <c r="D209" s="209" t="s">
        <v>18</v>
      </c>
      <c r="E209" s="209" t="s">
        <v>185</v>
      </c>
      <c r="F209" s="209" t="s">
        <v>184</v>
      </c>
      <c r="G209" s="241" t="s">
        <v>196</v>
      </c>
      <c r="H209" s="241"/>
      <c r="I209" s="304">
        <v>0</v>
      </c>
      <c r="J209" s="305"/>
      <c r="K209" s="306"/>
      <c r="L209" s="307"/>
      <c r="M209" s="308"/>
      <c r="N209" s="242"/>
      <c r="O209" s="246"/>
      <c r="P209" s="212"/>
    </row>
    <row r="210" spans="1:17" s="239" customFormat="1" ht="13.5" hidden="1" thickBot="1" x14ac:dyDescent="0.25">
      <c r="A210" s="323" t="s">
        <v>180</v>
      </c>
      <c r="B210" s="324"/>
      <c r="C210" s="325">
        <f>SUM(C208:C209)</f>
        <v>0</v>
      </c>
      <c r="D210" s="326"/>
      <c r="E210" s="326"/>
      <c r="F210" s="326"/>
      <c r="G210" s="327"/>
      <c r="H210" s="327"/>
      <c r="I210" s="396">
        <f>SUM(I209:I209)</f>
        <v>0</v>
      </c>
      <c r="J210" s="397"/>
      <c r="K210" s="398"/>
      <c r="L210" s="399"/>
      <c r="M210" s="400"/>
      <c r="N210" s="333">
        <f>+C210-I210</f>
        <v>0</v>
      </c>
      <c r="O210" s="345"/>
      <c r="P210" s="334"/>
      <c r="Q210" s="335"/>
    </row>
    <row r="211" spans="1:17" s="358" customFormat="1" x14ac:dyDescent="0.2">
      <c r="A211" s="359"/>
      <c r="B211" s="362"/>
      <c r="C211" s="361"/>
      <c r="D211" s="362"/>
      <c r="E211" s="362"/>
      <c r="F211" s="362"/>
      <c r="G211" s="360"/>
      <c r="H211" s="360"/>
      <c r="I211" s="253"/>
      <c r="J211" s="372"/>
      <c r="K211" s="373"/>
      <c r="L211" s="374"/>
      <c r="M211" s="256"/>
      <c r="N211" s="253"/>
      <c r="O211" s="256"/>
      <c r="P211" s="297"/>
      <c r="Q211" s="357"/>
    </row>
    <row r="212" spans="1:17" s="358" customFormat="1" x14ac:dyDescent="0.2">
      <c r="A212" s="359" t="str">
        <f>+'[1]Clasific. Económica de Ingr (3)'!A26</f>
        <v>1.1.3.2.01.05.0.0.000</v>
      </c>
      <c r="B212" s="365" t="s">
        <v>267</v>
      </c>
      <c r="C212" s="361">
        <f>SUM('[1]Clasific. Económica de Ingr (3)'!C26)</f>
        <v>800000000</v>
      </c>
      <c r="D212" s="362"/>
      <c r="E212" s="362"/>
      <c r="F212" s="362"/>
      <c r="G212" s="363"/>
      <c r="H212" s="363"/>
      <c r="I212" s="356"/>
      <c r="J212" s="352"/>
      <c r="K212" s="353"/>
      <c r="L212" s="354"/>
      <c r="M212" s="355"/>
      <c r="N212" s="356"/>
      <c r="O212" s="355"/>
      <c r="P212" s="297"/>
      <c r="Q212" s="357"/>
    </row>
    <row r="213" spans="1:17" s="358" customFormat="1" x14ac:dyDescent="0.2">
      <c r="A213" s="359"/>
      <c r="B213" s="365"/>
      <c r="C213" s="361"/>
      <c r="D213" s="362" t="s">
        <v>8</v>
      </c>
      <c r="E213" s="362" t="s">
        <v>184</v>
      </c>
      <c r="F213" s="366" t="s">
        <v>209</v>
      </c>
      <c r="G213" s="363" t="s">
        <v>213</v>
      </c>
      <c r="H213" s="363"/>
      <c r="I213" s="364">
        <f>SUM(I214:I215)</f>
        <v>800000000</v>
      </c>
      <c r="J213" s="352"/>
      <c r="K213" s="353"/>
      <c r="L213" s="354"/>
      <c r="M213" s="355"/>
      <c r="N213" s="356"/>
      <c r="O213" s="355"/>
      <c r="P213" s="297"/>
      <c r="Q213" s="357"/>
    </row>
    <row r="214" spans="1:17" s="358" customFormat="1" x14ac:dyDescent="0.2">
      <c r="A214" s="359"/>
      <c r="B214" s="365"/>
      <c r="C214" s="361"/>
      <c r="D214" s="362"/>
      <c r="E214" s="362"/>
      <c r="F214" s="366"/>
      <c r="G214" s="363" t="s">
        <v>9</v>
      </c>
      <c r="H214" s="363"/>
      <c r="I214" s="356">
        <v>262257651.09</v>
      </c>
      <c r="J214" s="352">
        <f>+I214</f>
        <v>262257651.09</v>
      </c>
      <c r="K214" s="353"/>
      <c r="L214" s="354"/>
      <c r="M214" s="355"/>
      <c r="N214" s="356"/>
      <c r="O214" s="355"/>
      <c r="P214" s="297"/>
      <c r="Q214" s="357"/>
    </row>
    <row r="215" spans="1:17" s="358" customFormat="1" ht="13.5" thickBot="1" x14ac:dyDescent="0.25">
      <c r="A215" s="359"/>
      <c r="B215" s="365"/>
      <c r="C215" s="361"/>
      <c r="D215" s="362"/>
      <c r="E215" s="362"/>
      <c r="F215" s="366"/>
      <c r="G215" s="363" t="s">
        <v>10</v>
      </c>
      <c r="H215" s="363"/>
      <c r="I215" s="356">
        <v>537742348.90999997</v>
      </c>
      <c r="J215" s="352">
        <f>+I215</f>
        <v>537742348.90999997</v>
      </c>
      <c r="K215" s="353"/>
      <c r="L215" s="354"/>
      <c r="M215" s="355"/>
      <c r="N215" s="356"/>
      <c r="O215" s="355"/>
      <c r="P215" s="297"/>
      <c r="Q215" s="357"/>
    </row>
    <row r="216" spans="1:17" s="358" customFormat="1" ht="13.5" hidden="1" thickBot="1" x14ac:dyDescent="0.25">
      <c r="A216" s="359"/>
      <c r="B216" s="365"/>
      <c r="C216" s="361"/>
      <c r="D216" s="362"/>
      <c r="E216" s="362"/>
      <c r="F216" s="366"/>
      <c r="G216" s="363"/>
      <c r="H216" s="363"/>
      <c r="I216" s="356"/>
      <c r="J216" s="352"/>
      <c r="K216" s="353"/>
      <c r="L216" s="354"/>
      <c r="M216" s="355"/>
      <c r="N216" s="356"/>
      <c r="O216" s="355"/>
      <c r="P216" s="297"/>
      <c r="Q216" s="357"/>
    </row>
    <row r="217" spans="1:17" s="358" customFormat="1" ht="13.5" hidden="1" thickBot="1" x14ac:dyDescent="0.25">
      <c r="A217" s="359"/>
      <c r="B217" s="360"/>
      <c r="C217" s="361"/>
      <c r="D217" s="362" t="s">
        <v>18</v>
      </c>
      <c r="E217" s="362" t="s">
        <v>185</v>
      </c>
      <c r="F217" s="362" t="s">
        <v>193</v>
      </c>
      <c r="G217" s="363" t="s">
        <v>266</v>
      </c>
      <c r="H217" s="363"/>
      <c r="I217" s="356">
        <v>0</v>
      </c>
      <c r="J217" s="352"/>
      <c r="K217" s="353"/>
      <c r="L217" s="354"/>
      <c r="M217" s="355"/>
      <c r="N217" s="356"/>
      <c r="O217" s="355"/>
      <c r="P217" s="297"/>
      <c r="Q217" s="357"/>
    </row>
    <row r="218" spans="1:17" s="358" customFormat="1" ht="15" hidden="1" customHeight="1" x14ac:dyDescent="0.2">
      <c r="A218" s="359"/>
      <c r="B218" s="362"/>
      <c r="C218" s="361"/>
      <c r="D218" s="362" t="s">
        <v>18</v>
      </c>
      <c r="E218" s="362" t="s">
        <v>183</v>
      </c>
      <c r="F218" s="362" t="s">
        <v>184</v>
      </c>
      <c r="G218" s="360" t="s">
        <v>199</v>
      </c>
      <c r="H218" s="360"/>
      <c r="I218" s="253">
        <v>0</v>
      </c>
      <c r="J218" s="372"/>
      <c r="K218" s="373"/>
      <c r="L218" s="374"/>
      <c r="M218" s="256"/>
      <c r="N218" s="253"/>
      <c r="O218" s="256"/>
      <c r="P218" s="297">
        <f>+I218+I505+I286+I556+I628+I148+I255</f>
        <v>2081561855.7995102</v>
      </c>
      <c r="Q218" s="357"/>
    </row>
    <row r="219" spans="1:17" s="358" customFormat="1" ht="15" hidden="1" customHeight="1" thickBot="1" x14ac:dyDescent="0.25">
      <c r="A219" s="367"/>
      <c r="B219" s="368"/>
      <c r="C219" s="369"/>
      <c r="D219" s="368" t="s">
        <v>18</v>
      </c>
      <c r="E219" s="368" t="s">
        <v>189</v>
      </c>
      <c r="F219" s="401"/>
      <c r="G219" s="363" t="s">
        <v>188</v>
      </c>
      <c r="H219" s="363"/>
      <c r="I219" s="371">
        <v>0</v>
      </c>
      <c r="J219" s="372"/>
      <c r="K219" s="373"/>
      <c r="L219" s="374"/>
      <c r="M219" s="256"/>
      <c r="N219" s="253"/>
      <c r="O219" s="256"/>
      <c r="P219" s="297"/>
      <c r="Q219" s="357"/>
    </row>
    <row r="220" spans="1:17" s="386" customFormat="1" ht="13.5" thickBot="1" x14ac:dyDescent="0.25">
      <c r="A220" s="402" t="s">
        <v>180</v>
      </c>
      <c r="B220" s="403"/>
      <c r="C220" s="404">
        <f>SUM(C212:C212)</f>
        <v>800000000</v>
      </c>
      <c r="D220" s="405"/>
      <c r="E220" s="405"/>
      <c r="F220" s="405"/>
      <c r="G220" s="406"/>
      <c r="H220" s="406"/>
      <c r="I220" s="407">
        <f>SUM(I213:I219)/2</f>
        <v>800000000</v>
      </c>
      <c r="J220" s="379"/>
      <c r="K220" s="380"/>
      <c r="L220" s="381"/>
      <c r="M220" s="382"/>
      <c r="N220" s="383">
        <f>+C220-I220</f>
        <v>0</v>
      </c>
      <c r="O220" s="382"/>
      <c r="P220" s="384">
        <f>+C220-I220</f>
        <v>0</v>
      </c>
      <c r="Q220" s="385"/>
    </row>
    <row r="221" spans="1:17" s="358" customFormat="1" x14ac:dyDescent="0.2">
      <c r="A221" s="408"/>
      <c r="B221" s="350"/>
      <c r="C221" s="350"/>
      <c r="D221" s="349"/>
      <c r="E221" s="349"/>
      <c r="F221" s="349"/>
      <c r="G221" s="350"/>
      <c r="H221" s="350"/>
      <c r="I221" s="351"/>
      <c r="J221" s="352"/>
      <c r="K221" s="353"/>
      <c r="L221" s="354"/>
      <c r="M221" s="355"/>
      <c r="N221" s="356"/>
      <c r="O221" s="355"/>
      <c r="P221" s="297"/>
      <c r="Q221" s="357"/>
    </row>
    <row r="222" spans="1:17" s="358" customFormat="1" ht="26.25" customHeight="1" x14ac:dyDescent="0.2">
      <c r="A222" s="359" t="str">
        <f>+'[1]Clasific. Económica de Ingr (3)'!A29</f>
        <v>1.1.3.2.02.09.0.0.000</v>
      </c>
      <c r="B222" s="360" t="s">
        <v>265</v>
      </c>
      <c r="C222" s="361">
        <f>SUM('[2]INGRESOS LIBRES DETALLE Nº17'!H124)</f>
        <v>12000000</v>
      </c>
      <c r="D222" s="362"/>
      <c r="E222" s="362"/>
      <c r="F222" s="362"/>
      <c r="G222" s="363"/>
      <c r="H222" s="363"/>
      <c r="I222" s="356"/>
      <c r="J222" s="352"/>
      <c r="K222" s="353"/>
      <c r="L222" s="354"/>
      <c r="M222" s="355"/>
      <c r="N222" s="356"/>
      <c r="O222" s="355"/>
      <c r="P222" s="297"/>
      <c r="Q222" s="357"/>
    </row>
    <row r="223" spans="1:17" s="358" customFormat="1" ht="12.75" customHeight="1" x14ac:dyDescent="0.2">
      <c r="A223" s="359"/>
      <c r="B223" s="362"/>
      <c r="C223" s="361"/>
      <c r="D223" s="362" t="s">
        <v>8</v>
      </c>
      <c r="E223" s="362" t="s">
        <v>184</v>
      </c>
      <c r="F223" s="366" t="s">
        <v>209</v>
      </c>
      <c r="G223" s="363" t="s">
        <v>213</v>
      </c>
      <c r="H223" s="363"/>
      <c r="I223" s="364">
        <v>12000000</v>
      </c>
      <c r="J223" s="352"/>
      <c r="K223" s="353"/>
      <c r="L223" s="354"/>
      <c r="M223" s="355"/>
      <c r="N223" s="253"/>
      <c r="O223" s="256"/>
      <c r="P223" s="297">
        <f>+I223+I258</f>
        <v>12000000</v>
      </c>
      <c r="Q223" s="357"/>
    </row>
    <row r="224" spans="1:17" s="358" customFormat="1" ht="12.75" customHeight="1" x14ac:dyDescent="0.2">
      <c r="A224" s="359"/>
      <c r="B224" s="362"/>
      <c r="C224" s="361"/>
      <c r="D224" s="362"/>
      <c r="E224" s="362"/>
      <c r="F224" s="366"/>
      <c r="G224" s="363" t="s">
        <v>9</v>
      </c>
      <c r="H224" s="363"/>
      <c r="I224" s="356">
        <v>12000000</v>
      </c>
      <c r="J224" s="352">
        <f>+I224</f>
        <v>12000000</v>
      </c>
      <c r="K224" s="353"/>
      <c r="L224" s="354"/>
      <c r="M224" s="355"/>
      <c r="N224" s="253"/>
      <c r="O224" s="256"/>
      <c r="P224" s="297"/>
      <c r="Q224" s="357"/>
    </row>
    <row r="225" spans="1:17" s="358" customFormat="1" ht="14.25" customHeight="1" thickBot="1" x14ac:dyDescent="0.25">
      <c r="A225" s="359"/>
      <c r="B225" s="362"/>
      <c r="C225" s="361"/>
      <c r="D225" s="362"/>
      <c r="E225" s="362"/>
      <c r="F225" s="366"/>
      <c r="G225" s="363"/>
      <c r="H225" s="363"/>
      <c r="I225" s="356"/>
      <c r="J225" s="352"/>
      <c r="K225" s="353"/>
      <c r="L225" s="354"/>
      <c r="M225" s="355"/>
      <c r="N225" s="253"/>
      <c r="O225" s="256"/>
      <c r="P225" s="297"/>
      <c r="Q225" s="357"/>
    </row>
    <row r="226" spans="1:17" s="358" customFormat="1" ht="12.75" hidden="1" customHeight="1" x14ac:dyDescent="0.2">
      <c r="A226" s="359"/>
      <c r="B226" s="362"/>
      <c r="C226" s="361"/>
      <c r="D226" s="362"/>
      <c r="E226" s="362"/>
      <c r="F226" s="366"/>
      <c r="G226" s="363"/>
      <c r="H226" s="363"/>
      <c r="I226" s="356"/>
      <c r="J226" s="352"/>
      <c r="K226" s="353"/>
      <c r="L226" s="354"/>
      <c r="M226" s="355"/>
      <c r="N226" s="253"/>
      <c r="O226" s="256"/>
      <c r="P226" s="297"/>
      <c r="Q226" s="357"/>
    </row>
    <row r="227" spans="1:17" s="358" customFormat="1" ht="12.75" hidden="1" customHeight="1" x14ac:dyDescent="0.2">
      <c r="A227" s="359"/>
      <c r="B227" s="362"/>
      <c r="C227" s="361"/>
      <c r="D227" s="362"/>
      <c r="E227" s="362"/>
      <c r="F227" s="366"/>
      <c r="G227" s="363"/>
      <c r="H227" s="363"/>
      <c r="I227" s="356"/>
      <c r="J227" s="352"/>
      <c r="K227" s="353"/>
      <c r="L227" s="354"/>
      <c r="M227" s="355"/>
      <c r="N227" s="253"/>
      <c r="O227" s="256"/>
      <c r="P227" s="297"/>
      <c r="Q227" s="357"/>
    </row>
    <row r="228" spans="1:17" s="358" customFormat="1" ht="13.5" hidden="1" thickBot="1" x14ac:dyDescent="0.25">
      <c r="A228" s="359"/>
      <c r="B228" s="362"/>
      <c r="C228" s="361"/>
      <c r="D228" s="362" t="s">
        <v>8</v>
      </c>
      <c r="E228" s="362" t="s">
        <v>191</v>
      </c>
      <c r="F228" s="362"/>
      <c r="G228" s="363" t="str">
        <f>+[2]ProgramaI!B32</f>
        <v xml:space="preserve">Comité Cantonal Deportes y Recreación </v>
      </c>
      <c r="H228" s="363"/>
      <c r="I228" s="356">
        <v>0</v>
      </c>
      <c r="J228" s="352"/>
      <c r="K228" s="353"/>
      <c r="L228" s="354"/>
      <c r="M228" s="355"/>
      <c r="N228" s="253"/>
      <c r="O228" s="256"/>
      <c r="P228" s="297"/>
      <c r="Q228" s="357"/>
    </row>
    <row r="229" spans="1:17" s="358" customFormat="1" ht="13.5" hidden="1" thickBot="1" x14ac:dyDescent="0.25">
      <c r="A229" s="359"/>
      <c r="B229" s="362"/>
      <c r="C229" s="361"/>
      <c r="D229" s="362" t="s">
        <v>18</v>
      </c>
      <c r="E229" s="362" t="s">
        <v>187</v>
      </c>
      <c r="F229" s="366"/>
      <c r="G229" s="363" t="s">
        <v>220</v>
      </c>
      <c r="H229" s="363"/>
      <c r="I229" s="356">
        <v>0</v>
      </c>
      <c r="J229" s="352"/>
      <c r="K229" s="353"/>
      <c r="L229" s="354"/>
      <c r="M229" s="355"/>
      <c r="N229" s="253"/>
      <c r="O229" s="256"/>
      <c r="P229" s="297"/>
      <c r="Q229" s="357"/>
    </row>
    <row r="230" spans="1:17" s="358" customFormat="1" ht="13.5" thickBot="1" x14ac:dyDescent="0.25">
      <c r="A230" s="375" t="s">
        <v>180</v>
      </c>
      <c r="B230" s="376"/>
      <c r="C230" s="377">
        <f>SUM(C222:C223)</f>
        <v>12000000</v>
      </c>
      <c r="D230" s="349"/>
      <c r="E230" s="349"/>
      <c r="F230" s="349"/>
      <c r="G230" s="350"/>
      <c r="H230" s="350"/>
      <c r="I230" s="378">
        <f>SUM(I223:I229)/2</f>
        <v>12000000</v>
      </c>
      <c r="J230" s="379"/>
      <c r="K230" s="380"/>
      <c r="L230" s="381"/>
      <c r="M230" s="382"/>
      <c r="N230" s="383">
        <f>+C230-I230</f>
        <v>0</v>
      </c>
      <c r="O230" s="382"/>
      <c r="P230" s="297"/>
      <c r="Q230" s="357"/>
    </row>
    <row r="231" spans="1:17" s="358" customFormat="1" x14ac:dyDescent="0.2">
      <c r="A231" s="409" t="s">
        <v>15</v>
      </c>
      <c r="B231" s="410"/>
      <c r="C231" s="411"/>
      <c r="D231" s="349"/>
      <c r="E231" s="349"/>
      <c r="F231" s="349"/>
      <c r="G231" s="350"/>
      <c r="H231" s="350"/>
      <c r="I231" s="412"/>
      <c r="J231" s="372"/>
      <c r="K231" s="373"/>
      <c r="L231" s="374"/>
      <c r="M231" s="256"/>
      <c r="N231" s="253"/>
      <c r="O231" s="256"/>
      <c r="P231" s="297"/>
      <c r="Q231" s="357"/>
    </row>
    <row r="232" spans="1:17" s="358" customFormat="1" x14ac:dyDescent="0.2">
      <c r="A232" s="359" t="str">
        <f>+'[1]Clasific. Económica de Ingr (3)'!A33</f>
        <v>1.1.3.3.01.01.0.0.000</v>
      </c>
      <c r="B232" s="365" t="s">
        <v>264</v>
      </c>
      <c r="C232" s="361">
        <f>SUM('[1]Clasific. Económica de Ingr (3)'!C33)</f>
        <v>250000</v>
      </c>
      <c r="D232" s="362"/>
      <c r="E232" s="362"/>
      <c r="F232" s="362"/>
      <c r="G232" s="363"/>
      <c r="H232" s="363"/>
      <c r="I232" s="253"/>
      <c r="J232" s="372"/>
      <c r="K232" s="373"/>
      <c r="L232" s="374"/>
      <c r="M232" s="256"/>
      <c r="N232" s="253"/>
      <c r="O232" s="256"/>
      <c r="P232" s="297"/>
      <c r="Q232" s="357"/>
    </row>
    <row r="233" spans="1:17" s="358" customFormat="1" ht="15" customHeight="1" x14ac:dyDescent="0.2">
      <c r="A233" s="359"/>
      <c r="B233" s="362"/>
      <c r="C233" s="361"/>
      <c r="D233" s="362" t="s">
        <v>8</v>
      </c>
      <c r="E233" s="362" t="s">
        <v>184</v>
      </c>
      <c r="F233" s="362" t="s">
        <v>209</v>
      </c>
      <c r="G233" s="363" t="s">
        <v>213</v>
      </c>
      <c r="H233" s="363"/>
      <c r="I233" s="364">
        <v>250000</v>
      </c>
      <c r="J233" s="372"/>
      <c r="K233" s="373"/>
      <c r="L233" s="374"/>
      <c r="M233" s="256"/>
      <c r="N233" s="253"/>
      <c r="O233" s="256"/>
      <c r="P233" s="297">
        <f>+I233+I263</f>
        <v>250000</v>
      </c>
      <c r="Q233" s="357"/>
    </row>
    <row r="234" spans="1:17" s="358" customFormat="1" ht="15" customHeight="1" x14ac:dyDescent="0.2">
      <c r="A234" s="359"/>
      <c r="B234" s="362"/>
      <c r="C234" s="361"/>
      <c r="D234" s="362"/>
      <c r="E234" s="362"/>
      <c r="F234" s="362"/>
      <c r="G234" s="363" t="s">
        <v>9</v>
      </c>
      <c r="H234" s="363"/>
      <c r="I234" s="253">
        <v>250000</v>
      </c>
      <c r="J234" s="352">
        <f>+I234</f>
        <v>250000</v>
      </c>
      <c r="K234" s="373"/>
      <c r="L234" s="374"/>
      <c r="M234" s="256"/>
      <c r="N234" s="253"/>
      <c r="O234" s="256"/>
      <c r="P234" s="297"/>
      <c r="Q234" s="357"/>
    </row>
    <row r="235" spans="1:17" s="358" customFormat="1" ht="15" hidden="1" customHeight="1" x14ac:dyDescent="0.2">
      <c r="A235" s="359"/>
      <c r="B235" s="362"/>
      <c r="C235" s="361"/>
      <c r="D235" s="362"/>
      <c r="E235" s="362"/>
      <c r="F235" s="362"/>
      <c r="G235" s="363"/>
      <c r="H235" s="363"/>
      <c r="I235" s="253"/>
      <c r="J235" s="372"/>
      <c r="K235" s="373"/>
      <c r="L235" s="374"/>
      <c r="M235" s="256"/>
      <c r="N235" s="253"/>
      <c r="O235" s="256"/>
      <c r="P235" s="297"/>
      <c r="Q235" s="357"/>
    </row>
    <row r="236" spans="1:17" s="358" customFormat="1" ht="15" customHeight="1" thickBot="1" x14ac:dyDescent="0.25">
      <c r="A236" s="359"/>
      <c r="B236" s="362"/>
      <c r="C236" s="361"/>
      <c r="D236" s="362"/>
      <c r="E236" s="362"/>
      <c r="F236" s="362"/>
      <c r="G236" s="363"/>
      <c r="H236" s="363"/>
      <c r="I236" s="253"/>
      <c r="J236" s="372"/>
      <c r="K236" s="373"/>
      <c r="L236" s="374"/>
      <c r="M236" s="256"/>
      <c r="N236" s="253"/>
      <c r="O236" s="256"/>
      <c r="P236" s="297"/>
      <c r="Q236" s="357"/>
    </row>
    <row r="237" spans="1:17" s="386" customFormat="1" ht="13.5" thickBot="1" x14ac:dyDescent="0.25">
      <c r="A237" s="402" t="s">
        <v>180</v>
      </c>
      <c r="B237" s="403" t="s">
        <v>15</v>
      </c>
      <c r="C237" s="404">
        <f>SUM(C232:C233)</f>
        <v>250000</v>
      </c>
      <c r="D237" s="405"/>
      <c r="E237" s="405"/>
      <c r="F237" s="405"/>
      <c r="G237" s="406"/>
      <c r="H237" s="406"/>
      <c r="I237" s="407">
        <f>SUM(I233)</f>
        <v>250000</v>
      </c>
      <c r="J237" s="379"/>
      <c r="K237" s="380"/>
      <c r="L237" s="381"/>
      <c r="M237" s="382"/>
      <c r="N237" s="383">
        <f>+C237-I237</f>
        <v>0</v>
      </c>
      <c r="O237" s="382"/>
      <c r="P237" s="384"/>
      <c r="Q237" s="385"/>
    </row>
    <row r="238" spans="1:17" s="358" customFormat="1" x14ac:dyDescent="0.2">
      <c r="A238" s="413"/>
      <c r="B238" s="363"/>
      <c r="C238" s="363"/>
      <c r="D238" s="362"/>
      <c r="E238" s="362"/>
      <c r="F238" s="362"/>
      <c r="G238" s="363"/>
      <c r="H238" s="363"/>
      <c r="I238" s="356"/>
      <c r="J238" s="352"/>
      <c r="K238" s="353"/>
      <c r="L238" s="354"/>
      <c r="M238" s="355"/>
      <c r="N238" s="356"/>
      <c r="O238" s="355"/>
      <c r="P238" s="297"/>
      <c r="Q238" s="357"/>
    </row>
    <row r="239" spans="1:17" s="386" customFormat="1" ht="13.5" thickBot="1" x14ac:dyDescent="0.25">
      <c r="A239" s="367" t="str">
        <f>+'[1]Clasific. Económica de Ingr (3)'!A34</f>
        <v>1.1.3.3.01.02.0.0.000</v>
      </c>
      <c r="B239" s="370" t="s">
        <v>263</v>
      </c>
      <c r="C239" s="369">
        <f>SUM('[1]Clasific. Económica de Ingr (3)'!C34)</f>
        <v>3800000000</v>
      </c>
      <c r="D239" s="368"/>
      <c r="E239" s="368"/>
      <c r="F239" s="368"/>
      <c r="G239" s="370"/>
      <c r="H239" s="370"/>
      <c r="I239" s="414"/>
      <c r="J239" s="415"/>
      <c r="K239" s="416"/>
      <c r="L239" s="417"/>
      <c r="M239" s="418"/>
      <c r="N239" s="414"/>
      <c r="O239" s="355"/>
      <c r="P239" s="384"/>
      <c r="Q239" s="385"/>
    </row>
    <row r="240" spans="1:17" s="358" customFormat="1" x14ac:dyDescent="0.2">
      <c r="A240" s="419"/>
      <c r="B240" s="420"/>
      <c r="C240" s="348"/>
      <c r="D240" s="349" t="s">
        <v>8</v>
      </c>
      <c r="E240" s="349" t="s">
        <v>184</v>
      </c>
      <c r="F240" s="349" t="s">
        <v>209</v>
      </c>
      <c r="G240" s="350" t="s">
        <v>213</v>
      </c>
      <c r="H240" s="350"/>
      <c r="I240" s="421">
        <f>+'[2]Egresos Programa I General'!E8-'Origen y Aplicación (2)'!I11-'Origen y Aplicación (2)'!I213-I301-I328-I347-I356-I388-I398-I429-I464-I477-I273-I532-I416-I374-I489-I442-I223-I504-I587-I196-I233-I458-I547-I576</f>
        <v>3310309548.754334</v>
      </c>
      <c r="J240" s="422"/>
      <c r="K240" s="423"/>
      <c r="L240" s="424"/>
      <c r="M240" s="425"/>
      <c r="N240" s="412"/>
      <c r="O240" s="256"/>
      <c r="P240" s="297">
        <f>+'[2]INGRESOS LIBRES DETALLE Nº17'!H132</f>
        <v>3791703736.8699999</v>
      </c>
      <c r="Q240" s="357">
        <f>+I240-P240</f>
        <v>-481394188.11566591</v>
      </c>
    </row>
    <row r="241" spans="1:17" s="358" customFormat="1" x14ac:dyDescent="0.2">
      <c r="A241" s="426"/>
      <c r="B241" s="427"/>
      <c r="C241" s="361"/>
      <c r="D241" s="362"/>
      <c r="E241" s="362"/>
      <c r="F241" s="362"/>
      <c r="G241" s="363" t="s">
        <v>9</v>
      </c>
      <c r="H241" s="363"/>
      <c r="I241" s="356">
        <v>3310309548.75</v>
      </c>
      <c r="J241" s="352">
        <f>+I241</f>
        <v>3310309548.75</v>
      </c>
      <c r="K241" s="353"/>
      <c r="L241" s="354"/>
      <c r="M241" s="355"/>
      <c r="N241" s="253"/>
      <c r="O241" s="256"/>
      <c r="P241" s="297"/>
      <c r="Q241" s="357"/>
    </row>
    <row r="242" spans="1:17" s="358" customFormat="1" x14ac:dyDescent="0.2">
      <c r="A242" s="426"/>
      <c r="B242" s="427"/>
      <c r="C242" s="361"/>
      <c r="D242" s="362"/>
      <c r="E242" s="362"/>
      <c r="F242" s="362"/>
      <c r="G242" s="363"/>
      <c r="H242" s="363"/>
      <c r="I242" s="356"/>
      <c r="J242" s="352"/>
      <c r="K242" s="353"/>
      <c r="L242" s="354"/>
      <c r="M242" s="355"/>
      <c r="N242" s="253"/>
      <c r="O242" s="256"/>
      <c r="P242" s="297"/>
      <c r="Q242" s="357"/>
    </row>
    <row r="243" spans="1:17" s="358" customFormat="1" ht="13.5" thickBot="1" x14ac:dyDescent="0.25">
      <c r="A243" s="367"/>
      <c r="B243" s="368"/>
      <c r="C243" s="369"/>
      <c r="D243" s="368" t="s">
        <v>20</v>
      </c>
      <c r="E243" s="368" t="s">
        <v>193</v>
      </c>
      <c r="F243" s="401"/>
      <c r="G243" s="370" t="s">
        <v>262</v>
      </c>
      <c r="H243" s="370"/>
      <c r="I243" s="428">
        <f>+'[2]Egresos Programa I General'!E12</f>
        <v>266725000</v>
      </c>
      <c r="J243" s="415"/>
      <c r="K243" s="416"/>
      <c r="L243" s="417"/>
      <c r="M243" s="355"/>
      <c r="N243" s="253"/>
      <c r="O243" s="256"/>
      <c r="P243" s="297"/>
      <c r="Q243" s="357"/>
    </row>
    <row r="244" spans="1:17" s="358" customFormat="1" x14ac:dyDescent="0.2">
      <c r="A244" s="346"/>
      <c r="B244" s="349"/>
      <c r="C244" s="348"/>
      <c r="D244" s="349"/>
      <c r="E244" s="349"/>
      <c r="F244" s="429"/>
      <c r="G244" s="350" t="s">
        <v>181</v>
      </c>
      <c r="H244" s="350"/>
      <c r="I244" s="351">
        <v>266725000</v>
      </c>
      <c r="J244" s="422"/>
      <c r="K244" s="423">
        <f>+I244</f>
        <v>266725000</v>
      </c>
      <c r="L244" s="424"/>
      <c r="M244" s="355"/>
      <c r="N244" s="253"/>
      <c r="O244" s="256"/>
      <c r="P244" s="297"/>
      <c r="Q244" s="357"/>
    </row>
    <row r="245" spans="1:17" s="358" customFormat="1" x14ac:dyDescent="0.2">
      <c r="A245" s="359"/>
      <c r="B245" s="362"/>
      <c r="C245" s="361"/>
      <c r="D245" s="362"/>
      <c r="E245" s="362"/>
      <c r="F245" s="366"/>
      <c r="G245" s="363"/>
      <c r="H245" s="363"/>
      <c r="I245" s="356"/>
      <c r="J245" s="352"/>
      <c r="K245" s="353"/>
      <c r="L245" s="354"/>
      <c r="M245" s="355"/>
      <c r="N245" s="253"/>
      <c r="O245" s="256"/>
      <c r="P245" s="297"/>
      <c r="Q245" s="357"/>
    </row>
    <row r="246" spans="1:17" s="358" customFormat="1" x14ac:dyDescent="0.2">
      <c r="A246" s="426"/>
      <c r="B246" s="427"/>
      <c r="C246" s="361"/>
      <c r="D246" s="362" t="s">
        <v>8</v>
      </c>
      <c r="E246" s="362" t="s">
        <v>191</v>
      </c>
      <c r="F246" s="366" t="s">
        <v>209</v>
      </c>
      <c r="G246" s="363" t="s">
        <v>261</v>
      </c>
      <c r="H246" s="363"/>
      <c r="I246" s="364">
        <f>+[2]ProgramaI!E49</f>
        <v>30000000</v>
      </c>
      <c r="J246" s="352"/>
      <c r="K246" s="353"/>
      <c r="L246" s="354"/>
      <c r="M246" s="355"/>
      <c r="N246" s="253"/>
      <c r="O246" s="256"/>
      <c r="P246" s="297"/>
      <c r="Q246" s="357"/>
    </row>
    <row r="247" spans="1:17" s="358" customFormat="1" x14ac:dyDescent="0.2">
      <c r="A247" s="426"/>
      <c r="B247" s="427"/>
      <c r="C247" s="361"/>
      <c r="D247" s="362"/>
      <c r="E247" s="362"/>
      <c r="F247" s="366"/>
      <c r="G247" s="363" t="s">
        <v>207</v>
      </c>
      <c r="H247" s="363"/>
      <c r="I247" s="356">
        <v>30000000</v>
      </c>
      <c r="J247" s="352">
        <f>+I247</f>
        <v>30000000</v>
      </c>
      <c r="K247" s="353"/>
      <c r="L247" s="354"/>
      <c r="M247" s="355"/>
      <c r="N247" s="253"/>
      <c r="O247" s="256"/>
      <c r="P247" s="297"/>
      <c r="Q247" s="357"/>
    </row>
    <row r="248" spans="1:17" s="358" customFormat="1" x14ac:dyDescent="0.2">
      <c r="A248" s="426"/>
      <c r="B248" s="427"/>
      <c r="C248" s="361"/>
      <c r="D248" s="362"/>
      <c r="E248" s="362"/>
      <c r="F248" s="366"/>
      <c r="G248" s="363"/>
      <c r="H248" s="363"/>
      <c r="I248" s="356"/>
      <c r="J248" s="352"/>
      <c r="K248" s="353"/>
      <c r="L248" s="354"/>
      <c r="M248" s="355"/>
      <c r="N248" s="253"/>
      <c r="O248" s="256"/>
      <c r="P248" s="297"/>
      <c r="Q248" s="357"/>
    </row>
    <row r="249" spans="1:17" s="358" customFormat="1" x14ac:dyDescent="0.2">
      <c r="A249" s="426"/>
      <c r="B249" s="427"/>
      <c r="C249" s="361"/>
      <c r="D249" s="362" t="s">
        <v>8</v>
      </c>
      <c r="E249" s="362" t="s">
        <v>191</v>
      </c>
      <c r="F249" s="366"/>
      <c r="G249" s="363" t="str">
        <f>+[2]ProgramaI!B32</f>
        <v xml:space="preserve">Comité Cantonal Deportes y Recreación </v>
      </c>
      <c r="H249" s="363"/>
      <c r="I249" s="364">
        <f>274669188.12-115000000</f>
        <v>159669188.12</v>
      </c>
      <c r="J249" s="352"/>
      <c r="K249" s="353"/>
      <c r="L249" s="354"/>
      <c r="M249" s="355"/>
      <c r="N249" s="253"/>
      <c r="O249" s="256"/>
      <c r="P249" s="297"/>
      <c r="Q249" s="357"/>
    </row>
    <row r="250" spans="1:17" s="358" customFormat="1" x14ac:dyDescent="0.2">
      <c r="A250" s="426"/>
      <c r="B250" s="427"/>
      <c r="C250" s="361"/>
      <c r="D250" s="362"/>
      <c r="E250" s="362"/>
      <c r="F250" s="366"/>
      <c r="G250" s="363" t="s">
        <v>207</v>
      </c>
      <c r="H250" s="363"/>
      <c r="I250" s="356">
        <v>159669188.12</v>
      </c>
      <c r="J250" s="352">
        <f>+I250</f>
        <v>159669188.12</v>
      </c>
      <c r="K250" s="353"/>
      <c r="L250" s="354"/>
      <c r="M250" s="355"/>
      <c r="N250" s="253"/>
      <c r="O250" s="256"/>
      <c r="P250" s="297"/>
      <c r="Q250" s="357"/>
    </row>
    <row r="251" spans="1:17" s="358" customFormat="1" x14ac:dyDescent="0.2">
      <c r="A251" s="426"/>
      <c r="B251" s="427"/>
      <c r="C251" s="361"/>
      <c r="D251" s="362"/>
      <c r="E251" s="362"/>
      <c r="F251" s="366"/>
      <c r="G251" s="363"/>
      <c r="H251" s="363"/>
      <c r="I251" s="356"/>
      <c r="J251" s="352"/>
      <c r="K251" s="353"/>
      <c r="L251" s="354"/>
      <c r="M251" s="355"/>
      <c r="N251" s="253"/>
      <c r="O251" s="256"/>
      <c r="P251" s="297"/>
      <c r="Q251" s="357"/>
    </row>
    <row r="252" spans="1:17" s="358" customFormat="1" x14ac:dyDescent="0.2">
      <c r="A252" s="426"/>
      <c r="B252" s="427"/>
      <c r="C252" s="361"/>
      <c r="D252" s="362">
        <v>1</v>
      </c>
      <c r="E252" s="362" t="s">
        <v>191</v>
      </c>
      <c r="F252" s="366"/>
      <c r="G252" s="363" t="str">
        <f>+[2]ProgramaI!B45</f>
        <v>Asociación para la Atención Integral de Pacientes con Cancer</v>
      </c>
      <c r="H252" s="363"/>
      <c r="I252" s="364">
        <v>25000000</v>
      </c>
      <c r="J252" s="352"/>
      <c r="K252" s="353"/>
      <c r="L252" s="354"/>
      <c r="M252" s="355"/>
      <c r="N252" s="253"/>
      <c r="O252" s="256"/>
      <c r="P252" s="297"/>
      <c r="Q252" s="357"/>
    </row>
    <row r="253" spans="1:17" s="358" customFormat="1" x14ac:dyDescent="0.2">
      <c r="A253" s="426"/>
      <c r="B253" s="427"/>
      <c r="C253" s="361"/>
      <c r="D253" s="362"/>
      <c r="E253" s="362"/>
      <c r="F253" s="366"/>
      <c r="G253" s="363" t="s">
        <v>207</v>
      </c>
      <c r="H253" s="363"/>
      <c r="I253" s="356">
        <v>25000000</v>
      </c>
      <c r="J253" s="352">
        <f>+I253</f>
        <v>25000000</v>
      </c>
      <c r="K253" s="353"/>
      <c r="L253" s="354"/>
      <c r="M253" s="355"/>
      <c r="N253" s="253"/>
      <c r="O253" s="256"/>
      <c r="P253" s="297"/>
      <c r="Q253" s="357"/>
    </row>
    <row r="254" spans="1:17" s="358" customFormat="1" x14ac:dyDescent="0.2">
      <c r="A254" s="426"/>
      <c r="B254" s="427"/>
      <c r="C254" s="361"/>
      <c r="D254" s="362"/>
      <c r="E254" s="362"/>
      <c r="F254" s="366"/>
      <c r="G254" s="363"/>
      <c r="H254" s="363"/>
      <c r="I254" s="356"/>
      <c r="J254" s="352"/>
      <c r="K254" s="353"/>
      <c r="L254" s="354"/>
      <c r="M254" s="355"/>
      <c r="N254" s="253"/>
      <c r="O254" s="256"/>
      <c r="P254" s="297"/>
      <c r="Q254" s="357"/>
    </row>
    <row r="255" spans="1:17" s="358" customFormat="1" x14ac:dyDescent="0.2">
      <c r="A255" s="426"/>
      <c r="B255" s="427"/>
      <c r="C255" s="361"/>
      <c r="D255" s="362" t="s">
        <v>18</v>
      </c>
      <c r="E255" s="362" t="s">
        <v>183</v>
      </c>
      <c r="F255" s="362" t="s">
        <v>184</v>
      </c>
      <c r="G255" s="363" t="s">
        <v>199</v>
      </c>
      <c r="H255" s="363"/>
      <c r="I255" s="356">
        <f>5296263.2+2999999.93</f>
        <v>8296263.1300000008</v>
      </c>
      <c r="J255" s="352"/>
      <c r="K255" s="353"/>
      <c r="L255" s="354"/>
      <c r="M255" s="355"/>
      <c r="N255" s="253"/>
      <c r="O255" s="256">
        <f>+I255+I583+I148</f>
        <v>2081561855.7995102</v>
      </c>
      <c r="P255" s="297"/>
      <c r="Q255" s="357"/>
    </row>
    <row r="256" spans="1:17" s="358" customFormat="1" x14ac:dyDescent="0.2">
      <c r="A256" s="426"/>
      <c r="B256" s="427"/>
      <c r="C256" s="361"/>
      <c r="D256" s="362"/>
      <c r="E256" s="362"/>
      <c r="F256" s="362"/>
      <c r="G256" s="363" t="s">
        <v>207</v>
      </c>
      <c r="H256" s="363"/>
      <c r="I256" s="356">
        <v>8296263.1304898262</v>
      </c>
      <c r="J256" s="352">
        <f>+I256</f>
        <v>8296263.1304898262</v>
      </c>
      <c r="K256" s="353"/>
      <c r="L256" s="354"/>
      <c r="M256" s="355"/>
      <c r="N256" s="253"/>
      <c r="O256" s="256"/>
      <c r="P256" s="297"/>
      <c r="Q256" s="357"/>
    </row>
    <row r="257" spans="1:17" s="358" customFormat="1" ht="13.5" thickBot="1" x14ac:dyDescent="0.25">
      <c r="A257" s="426"/>
      <c r="B257" s="427"/>
      <c r="C257" s="361"/>
      <c r="D257" s="362"/>
      <c r="E257" s="362"/>
      <c r="F257" s="362"/>
      <c r="G257" s="363"/>
      <c r="H257" s="363"/>
      <c r="I257" s="356"/>
      <c r="J257" s="352"/>
      <c r="K257" s="353"/>
      <c r="L257" s="354"/>
      <c r="M257" s="355"/>
      <c r="N257" s="253"/>
      <c r="O257" s="256"/>
      <c r="P257" s="297"/>
      <c r="Q257" s="357"/>
    </row>
    <row r="258" spans="1:17" s="358" customFormat="1" ht="13.5" hidden="1" thickBot="1" x14ac:dyDescent="0.25">
      <c r="A258" s="426"/>
      <c r="B258" s="427"/>
      <c r="C258" s="361"/>
      <c r="D258" s="362" t="s">
        <v>18</v>
      </c>
      <c r="E258" s="362" t="s">
        <v>183</v>
      </c>
      <c r="F258" s="362" t="s">
        <v>185</v>
      </c>
      <c r="G258" s="363" t="s">
        <v>260</v>
      </c>
      <c r="H258" s="363"/>
      <c r="I258" s="356">
        <v>0</v>
      </c>
      <c r="J258" s="352"/>
      <c r="K258" s="353"/>
      <c r="L258" s="354"/>
      <c r="M258" s="355"/>
      <c r="N258" s="253"/>
      <c r="O258" s="256"/>
      <c r="P258" s="297">
        <f>SUM(I258:I267)</f>
        <v>0</v>
      </c>
      <c r="Q258" s="357"/>
    </row>
    <row r="259" spans="1:17" s="358" customFormat="1" ht="15" hidden="1" customHeight="1" x14ac:dyDescent="0.2">
      <c r="A259" s="359"/>
      <c r="B259" s="362"/>
      <c r="C259" s="361"/>
      <c r="D259" s="362" t="s">
        <v>18</v>
      </c>
      <c r="E259" s="362" t="s">
        <v>183</v>
      </c>
      <c r="F259" s="362" t="s">
        <v>182</v>
      </c>
      <c r="G259" s="360" t="str">
        <f>+'[2]Egresos Programa III General'!B102</f>
        <v>Plan de Desarrollo Informático</v>
      </c>
      <c r="H259" s="360"/>
      <c r="I259" s="356">
        <v>0</v>
      </c>
      <c r="J259" s="352"/>
      <c r="K259" s="353"/>
      <c r="L259" s="354"/>
      <c r="M259" s="355"/>
      <c r="N259" s="253"/>
      <c r="O259" s="256"/>
      <c r="P259" s="297">
        <f>+I259+I288</f>
        <v>0</v>
      </c>
      <c r="Q259" s="357"/>
    </row>
    <row r="260" spans="1:17" s="358" customFormat="1" ht="27.75" hidden="1" customHeight="1" x14ac:dyDescent="0.2">
      <c r="A260" s="426"/>
      <c r="B260" s="427"/>
      <c r="C260" s="361"/>
      <c r="D260" s="362" t="s">
        <v>18</v>
      </c>
      <c r="E260" s="362" t="s">
        <v>185</v>
      </c>
      <c r="F260" s="430" t="s">
        <v>185</v>
      </c>
      <c r="G260" s="363" t="s">
        <v>221</v>
      </c>
      <c r="H260" s="363"/>
      <c r="I260" s="356"/>
      <c r="J260" s="352"/>
      <c r="K260" s="353"/>
      <c r="L260" s="354"/>
      <c r="M260" s="355"/>
      <c r="N260" s="253"/>
      <c r="O260" s="256"/>
      <c r="P260" s="297"/>
      <c r="Q260" s="357"/>
    </row>
    <row r="261" spans="1:17" s="358" customFormat="1" ht="27.75" hidden="1" customHeight="1" x14ac:dyDescent="0.2">
      <c r="A261" s="426"/>
      <c r="B261" s="427"/>
      <c r="C261" s="361"/>
      <c r="D261" s="362" t="s">
        <v>18</v>
      </c>
      <c r="E261" s="362" t="s">
        <v>183</v>
      </c>
      <c r="F261" s="362">
        <v>11</v>
      </c>
      <c r="G261" s="360" t="s">
        <v>259</v>
      </c>
      <c r="H261" s="360"/>
      <c r="I261" s="253"/>
      <c r="J261" s="372"/>
      <c r="K261" s="373"/>
      <c r="L261" s="374"/>
      <c r="M261" s="256"/>
      <c r="N261" s="253"/>
      <c r="O261" s="256"/>
      <c r="P261" s="297"/>
      <c r="Q261" s="357"/>
    </row>
    <row r="262" spans="1:17" s="358" customFormat="1" ht="27.75" hidden="1" customHeight="1" x14ac:dyDescent="0.2">
      <c r="A262" s="426"/>
      <c r="B262" s="427"/>
      <c r="C262" s="361"/>
      <c r="D262" s="362" t="s">
        <v>18</v>
      </c>
      <c r="E262" s="362" t="s">
        <v>183</v>
      </c>
      <c r="F262" s="362">
        <v>12</v>
      </c>
      <c r="G262" s="360" t="s">
        <v>258</v>
      </c>
      <c r="H262" s="360"/>
      <c r="I262" s="253"/>
      <c r="J262" s="372"/>
      <c r="K262" s="373"/>
      <c r="L262" s="374"/>
      <c r="M262" s="256"/>
      <c r="N262" s="253"/>
      <c r="O262" s="256"/>
      <c r="P262" s="297"/>
      <c r="Q262" s="357"/>
    </row>
    <row r="263" spans="1:17" s="358" customFormat="1" ht="13.5" hidden="1" thickBot="1" x14ac:dyDescent="0.25">
      <c r="A263" s="426"/>
      <c r="B263" s="427"/>
      <c r="C263" s="361"/>
      <c r="D263" s="362" t="s">
        <v>18</v>
      </c>
      <c r="E263" s="362" t="s">
        <v>183</v>
      </c>
      <c r="F263" s="362">
        <v>13</v>
      </c>
      <c r="G263" s="363" t="s">
        <v>257</v>
      </c>
      <c r="H263" s="363"/>
      <c r="I263" s="253"/>
      <c r="J263" s="372"/>
      <c r="K263" s="373"/>
      <c r="L263" s="374"/>
      <c r="M263" s="256"/>
      <c r="N263" s="253"/>
      <c r="O263" s="256"/>
      <c r="P263" s="297"/>
      <c r="Q263" s="357"/>
    </row>
    <row r="264" spans="1:17" s="358" customFormat="1" ht="13.5" hidden="1" thickBot="1" x14ac:dyDescent="0.25">
      <c r="A264" s="426"/>
      <c r="B264" s="427"/>
      <c r="C264" s="361"/>
      <c r="D264" s="362" t="s">
        <v>18</v>
      </c>
      <c r="E264" s="362" t="s">
        <v>189</v>
      </c>
      <c r="F264" s="362"/>
      <c r="G264" s="431" t="str">
        <f>+'[2]Programa III'!B29</f>
        <v>Transferencias de Capital al Gobierno Central</v>
      </c>
      <c r="H264" s="431"/>
      <c r="I264" s="253"/>
      <c r="J264" s="372"/>
      <c r="K264" s="373"/>
      <c r="L264" s="374"/>
      <c r="M264" s="256"/>
      <c r="N264" s="253"/>
      <c r="O264" s="256"/>
      <c r="P264" s="297">
        <f>+I264+I578+I590</f>
        <v>0</v>
      </c>
      <c r="Q264" s="357"/>
    </row>
    <row r="265" spans="1:17" s="358" customFormat="1" ht="13.5" hidden="1" thickBot="1" x14ac:dyDescent="0.25">
      <c r="A265" s="426"/>
      <c r="B265" s="427"/>
      <c r="C265" s="361"/>
      <c r="D265" s="362" t="s">
        <v>18</v>
      </c>
      <c r="E265" s="362" t="s">
        <v>189</v>
      </c>
      <c r="F265" s="362"/>
      <c r="G265" s="363" t="s">
        <v>211</v>
      </c>
      <c r="H265" s="363"/>
      <c r="I265" s="253"/>
      <c r="J265" s="372"/>
      <c r="K265" s="373"/>
      <c r="L265" s="374"/>
      <c r="M265" s="256"/>
      <c r="N265" s="253"/>
      <c r="O265" s="256"/>
      <c r="P265" s="297">
        <f>+I265+I558</f>
        <v>0</v>
      </c>
      <c r="Q265" s="357"/>
    </row>
    <row r="266" spans="1:17" s="358" customFormat="1" ht="13.5" hidden="1" thickBot="1" x14ac:dyDescent="0.25">
      <c r="A266" s="426"/>
      <c r="B266" s="427"/>
      <c r="C266" s="361"/>
      <c r="D266" s="362" t="s">
        <v>18</v>
      </c>
      <c r="E266" s="362" t="s">
        <v>189</v>
      </c>
      <c r="F266" s="362"/>
      <c r="G266" s="363" t="s">
        <v>220</v>
      </c>
      <c r="H266" s="363"/>
      <c r="I266" s="253"/>
      <c r="J266" s="372"/>
      <c r="K266" s="373"/>
      <c r="L266" s="374"/>
      <c r="M266" s="256"/>
      <c r="N266" s="253"/>
      <c r="O266" s="256"/>
      <c r="P266" s="297"/>
      <c r="Q266" s="357"/>
    </row>
    <row r="267" spans="1:17" s="358" customFormat="1" ht="13.5" hidden="1" thickBot="1" x14ac:dyDescent="0.25">
      <c r="A267" s="426"/>
      <c r="B267" s="427"/>
      <c r="C267" s="361"/>
      <c r="D267" s="362" t="s">
        <v>18</v>
      </c>
      <c r="E267" s="362" t="s">
        <v>189</v>
      </c>
      <c r="F267" s="362"/>
      <c r="G267" s="363" t="s">
        <v>188</v>
      </c>
      <c r="H267" s="363"/>
      <c r="I267" s="253">
        <v>0</v>
      </c>
      <c r="J267" s="372"/>
      <c r="K267" s="373"/>
      <c r="L267" s="374"/>
      <c r="M267" s="256"/>
      <c r="N267" s="253"/>
      <c r="O267" s="256"/>
      <c r="P267" s="297">
        <f>+I135+I128+I267+20408580</f>
        <v>250408580</v>
      </c>
      <c r="Q267" s="357"/>
    </row>
    <row r="268" spans="1:17" s="358" customFormat="1" ht="13.5" hidden="1" thickBot="1" x14ac:dyDescent="0.25">
      <c r="A268" s="426"/>
      <c r="B268" s="427"/>
      <c r="C268" s="361"/>
      <c r="D268" s="362" t="s">
        <v>18</v>
      </c>
      <c r="E268" s="362" t="s">
        <v>187</v>
      </c>
      <c r="F268" s="366"/>
      <c r="G268" s="363" t="s">
        <v>220</v>
      </c>
      <c r="H268" s="363"/>
      <c r="I268" s="253">
        <v>0</v>
      </c>
      <c r="J268" s="372"/>
      <c r="K268" s="373"/>
      <c r="L268" s="374"/>
      <c r="M268" s="256"/>
      <c r="N268" s="253"/>
      <c r="O268" s="256"/>
      <c r="P268" s="297"/>
      <c r="Q268" s="357"/>
    </row>
    <row r="269" spans="1:17" s="358" customFormat="1" ht="13.5" hidden="1" thickBot="1" x14ac:dyDescent="0.25">
      <c r="A269" s="426"/>
      <c r="B269" s="427"/>
      <c r="C269" s="361"/>
      <c r="D269" s="362" t="s">
        <v>18</v>
      </c>
      <c r="E269" s="362">
        <v>9</v>
      </c>
      <c r="F269" s="362"/>
      <c r="G269" s="363" t="s">
        <v>220</v>
      </c>
      <c r="H269" s="363"/>
      <c r="I269" s="253">
        <v>0</v>
      </c>
      <c r="J269" s="372"/>
      <c r="K269" s="373"/>
      <c r="L269" s="374"/>
      <c r="M269" s="256"/>
      <c r="N269" s="253"/>
      <c r="O269" s="256"/>
      <c r="P269" s="297"/>
      <c r="Q269" s="357"/>
    </row>
    <row r="270" spans="1:17" s="386" customFormat="1" ht="13.5" thickBot="1" x14ac:dyDescent="0.25">
      <c r="A270" s="402" t="s">
        <v>180</v>
      </c>
      <c r="B270" s="403"/>
      <c r="C270" s="404">
        <f>SUM(C239:C240)</f>
        <v>3800000000</v>
      </c>
      <c r="D270" s="405"/>
      <c r="E270" s="405"/>
      <c r="F270" s="405"/>
      <c r="G270" s="406"/>
      <c r="H270" s="406"/>
      <c r="I270" s="407">
        <f>SUM(I240:I269)/2</f>
        <v>3800000000.0024118</v>
      </c>
      <c r="J270" s="379"/>
      <c r="K270" s="380"/>
      <c r="L270" s="381"/>
      <c r="M270" s="382"/>
      <c r="N270" s="383">
        <f>+C270-I270</f>
        <v>-2.4118423461914063E-3</v>
      </c>
      <c r="O270" s="382"/>
      <c r="P270" s="384">
        <f>+C270-I270</f>
        <v>-2.4118423461914063E-3</v>
      </c>
      <c r="Q270" s="385"/>
    </row>
    <row r="271" spans="1:17" s="358" customFormat="1" x14ac:dyDescent="0.2">
      <c r="A271" s="413"/>
      <c r="B271" s="363"/>
      <c r="C271" s="363"/>
      <c r="D271" s="362"/>
      <c r="E271" s="362"/>
      <c r="F271" s="362"/>
      <c r="G271" s="363"/>
      <c r="H271" s="363"/>
      <c r="I271" s="356"/>
      <c r="J271" s="352"/>
      <c r="K271" s="353"/>
      <c r="L271" s="354"/>
      <c r="M271" s="355"/>
      <c r="N271" s="356"/>
      <c r="O271" s="355"/>
      <c r="P271" s="297"/>
      <c r="Q271" s="357"/>
    </row>
    <row r="272" spans="1:17" s="358" customFormat="1" x14ac:dyDescent="0.2">
      <c r="A272" s="359" t="str">
        <f>+'[1]Clasific. Económica de Ingr (3)'!A40</f>
        <v>1.1.9.1.01.00.0.0.000</v>
      </c>
      <c r="B272" s="363" t="s">
        <v>256</v>
      </c>
      <c r="C272" s="361">
        <f>SUM('[1]Clasific. Económica de Ingr (3)'!C40)</f>
        <v>400000000</v>
      </c>
      <c r="D272" s="362"/>
      <c r="E272" s="362"/>
      <c r="F272" s="362"/>
      <c r="G272" s="363"/>
      <c r="H272" s="363"/>
      <c r="I272" s="356"/>
      <c r="J272" s="352"/>
      <c r="K272" s="353"/>
      <c r="L272" s="354"/>
      <c r="M272" s="355"/>
      <c r="N272" s="356"/>
      <c r="O272" s="355"/>
      <c r="P272" s="297"/>
      <c r="Q272" s="357"/>
    </row>
    <row r="273" spans="1:17" s="358" customFormat="1" x14ac:dyDescent="0.2">
      <c r="A273" s="359"/>
      <c r="B273" s="362"/>
      <c r="C273" s="361"/>
      <c r="D273" s="362" t="s">
        <v>8</v>
      </c>
      <c r="E273" s="362" t="s">
        <v>184</v>
      </c>
      <c r="F273" s="362" t="s">
        <v>209</v>
      </c>
      <c r="G273" s="363" t="s">
        <v>213</v>
      </c>
      <c r="H273" s="363"/>
      <c r="I273" s="364">
        <v>8540459.3399999999</v>
      </c>
      <c r="J273" s="372"/>
      <c r="K273" s="373"/>
      <c r="L273" s="374"/>
      <c r="M273" s="256"/>
      <c r="N273" s="253"/>
      <c r="O273" s="256"/>
      <c r="P273" s="297"/>
      <c r="Q273" s="357"/>
    </row>
    <row r="274" spans="1:17" s="358" customFormat="1" x14ac:dyDescent="0.2">
      <c r="A274" s="359"/>
      <c r="B274" s="362"/>
      <c r="C274" s="361"/>
      <c r="D274" s="362"/>
      <c r="E274" s="362"/>
      <c r="F274" s="362"/>
      <c r="G274" s="363" t="s">
        <v>9</v>
      </c>
      <c r="H274" s="363"/>
      <c r="I274" s="253">
        <v>8540459.3399999999</v>
      </c>
      <c r="J274" s="372">
        <f>+I274</f>
        <v>8540459.3399999999</v>
      </c>
      <c r="K274" s="373"/>
      <c r="L274" s="374"/>
      <c r="M274" s="256"/>
      <c r="N274" s="253"/>
      <c r="O274" s="256"/>
      <c r="P274" s="297"/>
      <c r="Q274" s="357"/>
    </row>
    <row r="275" spans="1:17" s="358" customFormat="1" x14ac:dyDescent="0.2">
      <c r="A275" s="359"/>
      <c r="B275" s="362"/>
      <c r="C275" s="361"/>
      <c r="D275" s="362"/>
      <c r="E275" s="362"/>
      <c r="F275" s="362"/>
      <c r="G275" s="363"/>
      <c r="H275" s="363"/>
      <c r="I275" s="253"/>
      <c r="J275" s="372"/>
      <c r="K275" s="373"/>
      <c r="L275" s="374"/>
      <c r="M275" s="256"/>
      <c r="N275" s="253"/>
      <c r="O275" s="256"/>
      <c r="P275" s="297"/>
      <c r="Q275" s="357"/>
    </row>
    <row r="276" spans="1:17" s="358" customFormat="1" hidden="1" x14ac:dyDescent="0.2">
      <c r="A276" s="359"/>
      <c r="B276" s="362"/>
      <c r="C276" s="361"/>
      <c r="D276" s="362"/>
      <c r="E276" s="362"/>
      <c r="F276" s="362"/>
      <c r="G276" s="363"/>
      <c r="H276" s="363"/>
      <c r="I276" s="253"/>
      <c r="J276" s="372"/>
      <c r="K276" s="373"/>
      <c r="L276" s="374"/>
      <c r="M276" s="256"/>
      <c r="N276" s="253"/>
      <c r="O276" s="256"/>
      <c r="P276" s="297"/>
      <c r="Q276" s="357"/>
    </row>
    <row r="277" spans="1:17" s="358" customFormat="1" hidden="1" x14ac:dyDescent="0.2">
      <c r="A277" s="359"/>
      <c r="B277" s="362"/>
      <c r="C277" s="361"/>
      <c r="D277" s="362"/>
      <c r="E277" s="362"/>
      <c r="F277" s="362"/>
      <c r="G277" s="363"/>
      <c r="H277" s="363"/>
      <c r="I277" s="253"/>
      <c r="J277" s="372"/>
      <c r="K277" s="373"/>
      <c r="L277" s="374"/>
      <c r="M277" s="256"/>
      <c r="N277" s="253"/>
      <c r="O277" s="256"/>
      <c r="P277" s="297"/>
      <c r="Q277" s="357"/>
    </row>
    <row r="278" spans="1:17" s="358" customFormat="1" x14ac:dyDescent="0.2">
      <c r="A278" s="359"/>
      <c r="B278" s="362"/>
      <c r="C278" s="361"/>
      <c r="D278" s="362" t="s">
        <v>8</v>
      </c>
      <c r="E278" s="362" t="s">
        <v>185</v>
      </c>
      <c r="F278" s="362"/>
      <c r="G278" s="363" t="s">
        <v>255</v>
      </c>
      <c r="H278" s="363"/>
      <c r="I278" s="364">
        <f>+'[2]Egresos Programa I General'!E10</f>
        <v>391459540.66210365</v>
      </c>
      <c r="J278" s="372"/>
      <c r="K278" s="373"/>
      <c r="L278" s="374"/>
      <c r="M278" s="256"/>
      <c r="N278" s="253"/>
      <c r="O278" s="256"/>
      <c r="P278" s="297"/>
      <c r="Q278" s="357"/>
    </row>
    <row r="279" spans="1:17" s="358" customFormat="1" x14ac:dyDescent="0.2">
      <c r="A279" s="359"/>
      <c r="B279" s="362"/>
      <c r="C279" s="361"/>
      <c r="D279" s="362"/>
      <c r="E279" s="362"/>
      <c r="F279" s="362"/>
      <c r="G279" s="363" t="s">
        <v>9</v>
      </c>
      <c r="H279" s="363"/>
      <c r="I279" s="253">
        <v>300993203.13</v>
      </c>
      <c r="J279" s="372">
        <f>+I279</f>
        <v>300993203.13</v>
      </c>
      <c r="K279" s="373"/>
      <c r="L279" s="374"/>
      <c r="M279" s="256"/>
      <c r="N279" s="253"/>
      <c r="O279" s="256"/>
      <c r="P279" s="297"/>
      <c r="Q279" s="357"/>
    </row>
    <row r="280" spans="1:17" s="358" customFormat="1" x14ac:dyDescent="0.2">
      <c r="A280" s="359"/>
      <c r="B280" s="362"/>
      <c r="C280" s="361"/>
      <c r="D280" s="362"/>
      <c r="E280" s="362"/>
      <c r="F280" s="362"/>
      <c r="G280" s="363" t="s">
        <v>10</v>
      </c>
      <c r="H280" s="363"/>
      <c r="I280" s="253">
        <v>15997840.67</v>
      </c>
      <c r="J280" s="372">
        <f>+I280</f>
        <v>15997840.67</v>
      </c>
      <c r="K280" s="373"/>
      <c r="L280" s="374"/>
      <c r="M280" s="256"/>
      <c r="N280" s="253"/>
      <c r="O280" s="256"/>
      <c r="P280" s="297"/>
      <c r="Q280" s="357"/>
    </row>
    <row r="281" spans="1:17" s="358" customFormat="1" x14ac:dyDescent="0.2">
      <c r="A281" s="359"/>
      <c r="B281" s="362"/>
      <c r="C281" s="361"/>
      <c r="D281" s="362"/>
      <c r="E281" s="362"/>
      <c r="F281" s="362"/>
      <c r="G281" s="363" t="s">
        <v>11</v>
      </c>
      <c r="H281" s="363"/>
      <c r="I281" s="253">
        <v>2168000</v>
      </c>
      <c r="J281" s="372">
        <f>+I281</f>
        <v>2168000</v>
      </c>
      <c r="K281" s="373"/>
      <c r="L281" s="374"/>
      <c r="M281" s="256"/>
      <c r="N281" s="253"/>
      <c r="O281" s="256"/>
      <c r="P281" s="297"/>
      <c r="Q281" s="357"/>
    </row>
    <row r="282" spans="1:17" s="358" customFormat="1" hidden="1" x14ac:dyDescent="0.2">
      <c r="A282" s="359"/>
      <c r="B282" s="362"/>
      <c r="C282" s="361"/>
      <c r="D282" s="362"/>
      <c r="E282" s="362"/>
      <c r="F282" s="362"/>
      <c r="G282" s="363" t="s">
        <v>12</v>
      </c>
      <c r="H282" s="363"/>
      <c r="I282" s="253"/>
      <c r="J282" s="372">
        <f>+I282</f>
        <v>0</v>
      </c>
      <c r="K282" s="373"/>
      <c r="L282" s="374"/>
      <c r="M282" s="256"/>
      <c r="N282" s="253"/>
      <c r="O282" s="256"/>
      <c r="P282" s="297"/>
      <c r="Q282" s="357"/>
    </row>
    <row r="283" spans="1:17" s="358" customFormat="1" x14ac:dyDescent="0.2">
      <c r="A283" s="359"/>
      <c r="B283" s="362"/>
      <c r="C283" s="361"/>
      <c r="D283" s="362"/>
      <c r="E283" s="362"/>
      <c r="F283" s="362"/>
      <c r="G283" s="363" t="s">
        <v>13</v>
      </c>
      <c r="H283" s="363"/>
      <c r="I283" s="253">
        <v>8000000</v>
      </c>
      <c r="J283" s="372"/>
      <c r="K283" s="373">
        <v>8000000</v>
      </c>
      <c r="L283" s="374"/>
      <c r="M283" s="256"/>
      <c r="N283" s="253"/>
      <c r="O283" s="256"/>
      <c r="P283" s="297"/>
      <c r="Q283" s="357"/>
    </row>
    <row r="284" spans="1:17" s="358" customFormat="1" ht="13.5" thickBot="1" x14ac:dyDescent="0.25">
      <c r="A284" s="359"/>
      <c r="B284" s="362"/>
      <c r="C284" s="361"/>
      <c r="D284" s="362"/>
      <c r="E284" s="362"/>
      <c r="F284" s="362"/>
      <c r="G284" s="363" t="s">
        <v>14</v>
      </c>
      <c r="H284" s="363"/>
      <c r="I284" s="253">
        <v>64300496.859999999</v>
      </c>
      <c r="J284" s="372">
        <f>+I284</f>
        <v>64300496.859999999</v>
      </c>
      <c r="K284" s="373"/>
      <c r="L284" s="374"/>
      <c r="M284" s="256"/>
      <c r="N284" s="253"/>
      <c r="O284" s="256"/>
      <c r="P284" s="297"/>
      <c r="Q284" s="357"/>
    </row>
    <row r="285" spans="1:17" s="358" customFormat="1" ht="39" hidden="1" thickBot="1" x14ac:dyDescent="0.25">
      <c r="A285" s="359"/>
      <c r="B285" s="362"/>
      <c r="C285" s="361"/>
      <c r="D285" s="362" t="s">
        <v>18</v>
      </c>
      <c r="E285" s="362" t="s">
        <v>189</v>
      </c>
      <c r="F285" s="362"/>
      <c r="G285" s="360" t="s">
        <v>212</v>
      </c>
      <c r="H285" s="360"/>
      <c r="I285" s="253">
        <v>0</v>
      </c>
      <c r="J285" s="372"/>
      <c r="K285" s="373"/>
      <c r="L285" s="374"/>
      <c r="M285" s="256"/>
      <c r="N285" s="253"/>
      <c r="O285" s="256"/>
      <c r="P285" s="297"/>
      <c r="Q285" s="357"/>
    </row>
    <row r="286" spans="1:17" s="358" customFormat="1" ht="13.5" hidden="1" thickBot="1" x14ac:dyDescent="0.25">
      <c r="A286" s="359"/>
      <c r="B286" s="362"/>
      <c r="C286" s="361"/>
      <c r="D286" s="362" t="s">
        <v>18</v>
      </c>
      <c r="E286" s="362" t="s">
        <v>187</v>
      </c>
      <c r="F286" s="366"/>
      <c r="G286" s="363" t="s">
        <v>220</v>
      </c>
      <c r="H286" s="363"/>
      <c r="I286" s="253">
        <v>0</v>
      </c>
      <c r="J286" s="372"/>
      <c r="K286" s="373"/>
      <c r="L286" s="374"/>
      <c r="M286" s="256"/>
      <c r="N286" s="253"/>
      <c r="O286" s="256"/>
      <c r="P286" s="297">
        <f>+I286+I725</f>
        <v>0</v>
      </c>
      <c r="Q286" s="357" t="e">
        <f>+I286+I273+P308+#REF!</f>
        <v>#REF!</v>
      </c>
    </row>
    <row r="287" spans="1:17" s="386" customFormat="1" ht="13.5" thickBot="1" x14ac:dyDescent="0.25">
      <c r="A287" s="402" t="s">
        <v>180</v>
      </c>
      <c r="B287" s="403"/>
      <c r="C287" s="404">
        <f>SUM(C272:C273)</f>
        <v>400000000</v>
      </c>
      <c r="D287" s="405"/>
      <c r="E287" s="405"/>
      <c r="F287" s="405"/>
      <c r="G287" s="406"/>
      <c r="H287" s="406"/>
      <c r="I287" s="407">
        <f>SUM(I273:I286)/2</f>
        <v>400000000.00105178</v>
      </c>
      <c r="J287" s="379"/>
      <c r="K287" s="380"/>
      <c r="L287" s="381"/>
      <c r="M287" s="382"/>
      <c r="N287" s="383">
        <f>+C287-I287</f>
        <v>-1.051783561706543E-3</v>
      </c>
      <c r="O287" s="382"/>
      <c r="P287" s="384">
        <f>+C287-I287</f>
        <v>-1.051783561706543E-3</v>
      </c>
      <c r="Q287" s="385"/>
    </row>
    <row r="288" spans="1:17" x14ac:dyDescent="0.2">
      <c r="A288" s="432"/>
      <c r="B288" s="395"/>
      <c r="C288" s="394"/>
      <c r="D288" s="209"/>
      <c r="E288" s="209"/>
      <c r="F288" s="209"/>
      <c r="G288" s="241"/>
      <c r="H288" s="241"/>
      <c r="I288" s="300"/>
      <c r="J288" s="301"/>
      <c r="K288" s="302"/>
      <c r="L288" s="303"/>
      <c r="N288" s="300"/>
      <c r="O288" s="236"/>
      <c r="P288" s="210">
        <f>+P270+P287</f>
        <v>-3.4636259078979492E-3</v>
      </c>
    </row>
    <row r="289" spans="1:17" x14ac:dyDescent="0.2">
      <c r="A289" s="221" t="str">
        <f>+'[1]Clasific. Económica de Ingr (3)'!A41</f>
        <v>1.1.9.1.02.00.0.0.000</v>
      </c>
      <c r="B289" s="395" t="s">
        <v>254</v>
      </c>
      <c r="C289" s="240">
        <f>SUM('[1]Clasific. Económica de Ingr (3)'!C41)</f>
        <v>98000000</v>
      </c>
      <c r="D289" s="209"/>
      <c r="E289" s="209"/>
      <c r="F289" s="209"/>
      <c r="G289" s="241"/>
      <c r="H289" s="241"/>
      <c r="I289" s="300"/>
      <c r="J289" s="301"/>
      <c r="K289" s="302"/>
      <c r="L289" s="303"/>
      <c r="N289" s="300"/>
      <c r="O289" s="236"/>
    </row>
    <row r="290" spans="1:17" x14ac:dyDescent="0.2">
      <c r="A290" s="221"/>
      <c r="B290" s="395"/>
      <c r="C290" s="240"/>
      <c r="D290" s="209" t="s">
        <v>8</v>
      </c>
      <c r="E290" s="209" t="s">
        <v>191</v>
      </c>
      <c r="F290" s="340"/>
      <c r="G290" s="241" t="str">
        <f>+[2]ProgramaI!B25</f>
        <v>CONAGEBIO (10% de la Ley 7788)</v>
      </c>
      <c r="H290" s="241"/>
      <c r="I290" s="312">
        <f>+[2]ProgramaI!E25</f>
        <v>9800000</v>
      </c>
      <c r="J290" s="313"/>
      <c r="K290" s="314"/>
      <c r="L290" s="315"/>
      <c r="M290" s="248"/>
      <c r="N290" s="242"/>
      <c r="O290" s="246"/>
    </row>
    <row r="291" spans="1:17" x14ac:dyDescent="0.2">
      <c r="A291" s="221"/>
      <c r="B291" s="395"/>
      <c r="C291" s="240"/>
      <c r="D291" s="209"/>
      <c r="E291" s="209"/>
      <c r="F291" s="340"/>
      <c r="G291" s="241" t="s">
        <v>207</v>
      </c>
      <c r="H291" s="241"/>
      <c r="I291" s="247">
        <v>9800000</v>
      </c>
      <c r="J291" s="313">
        <f>+I291</f>
        <v>9800000</v>
      </c>
      <c r="K291" s="314"/>
      <c r="L291" s="315"/>
      <c r="M291" s="248"/>
      <c r="N291" s="242"/>
      <c r="O291" s="246"/>
    </row>
    <row r="292" spans="1:17" x14ac:dyDescent="0.2">
      <c r="A292" s="221"/>
      <c r="B292" s="395"/>
      <c r="C292" s="240"/>
      <c r="D292" s="209"/>
      <c r="E292" s="209"/>
      <c r="F292" s="340"/>
      <c r="G292" s="241"/>
      <c r="H292" s="241"/>
      <c r="I292" s="247"/>
      <c r="J292" s="313"/>
      <c r="K292" s="314"/>
      <c r="L292" s="315"/>
      <c r="M292" s="248"/>
      <c r="N292" s="242"/>
      <c r="O292" s="246"/>
    </row>
    <row r="293" spans="1:17" x14ac:dyDescent="0.2">
      <c r="A293" s="221"/>
      <c r="B293" s="209"/>
      <c r="C293" s="240"/>
      <c r="D293" s="209" t="s">
        <v>8</v>
      </c>
      <c r="E293" s="209" t="s">
        <v>191</v>
      </c>
      <c r="F293" s="340" t="s">
        <v>209</v>
      </c>
      <c r="G293" s="241" t="str">
        <f>+[2]ProgramaI!B26</f>
        <v>Fondo para Parques Nacionales</v>
      </c>
      <c r="H293" s="241"/>
      <c r="I293" s="312">
        <f>+[2]ProgramaI!E26</f>
        <v>61740000</v>
      </c>
      <c r="J293" s="313"/>
      <c r="K293" s="314"/>
      <c r="L293" s="315"/>
      <c r="M293" s="248"/>
      <c r="N293" s="242"/>
      <c r="O293" s="246"/>
    </row>
    <row r="294" spans="1:17" x14ac:dyDescent="0.2">
      <c r="A294" s="221"/>
      <c r="B294" s="209"/>
      <c r="C294" s="240"/>
      <c r="D294" s="209"/>
      <c r="E294" s="209"/>
      <c r="F294" s="340"/>
      <c r="G294" s="241" t="s">
        <v>207</v>
      </c>
      <c r="H294" s="241"/>
      <c r="I294" s="247">
        <v>61740000</v>
      </c>
      <c r="J294" s="313">
        <f>+I294</f>
        <v>61740000</v>
      </c>
      <c r="K294" s="314"/>
      <c r="L294" s="315"/>
      <c r="M294" s="248"/>
      <c r="N294" s="242"/>
      <c r="O294" s="246"/>
    </row>
    <row r="295" spans="1:17" x14ac:dyDescent="0.2">
      <c r="A295" s="221"/>
      <c r="B295" s="209"/>
      <c r="C295" s="240"/>
      <c r="D295" s="209"/>
      <c r="E295" s="209"/>
      <c r="F295" s="340"/>
      <c r="G295" s="241"/>
      <c r="H295" s="241"/>
      <c r="I295" s="247"/>
      <c r="J295" s="313"/>
      <c r="K295" s="314"/>
      <c r="L295" s="315"/>
      <c r="M295" s="248"/>
      <c r="N295" s="242"/>
      <c r="O295" s="246"/>
    </row>
    <row r="296" spans="1:17" hidden="1" x14ac:dyDescent="0.2">
      <c r="A296" s="221"/>
      <c r="B296" s="209"/>
      <c r="C296" s="240"/>
      <c r="D296" s="209"/>
      <c r="E296" s="209"/>
      <c r="F296" s="340"/>
      <c r="G296" s="241"/>
      <c r="H296" s="241"/>
      <c r="I296" s="247"/>
      <c r="J296" s="313"/>
      <c r="K296" s="314"/>
      <c r="L296" s="315"/>
      <c r="M296" s="248"/>
      <c r="N296" s="242"/>
      <c r="O296" s="246"/>
    </row>
    <row r="297" spans="1:17" x14ac:dyDescent="0.2">
      <c r="A297" s="221"/>
      <c r="B297" s="209"/>
      <c r="C297" s="240"/>
      <c r="D297" s="209" t="s">
        <v>19</v>
      </c>
      <c r="E297" s="209">
        <v>25</v>
      </c>
      <c r="F297" s="209"/>
      <c r="G297" s="241" t="str">
        <f>+'[2]Egresos Programa II General'!B35</f>
        <v>Protección del Medio Ambiente</v>
      </c>
      <c r="H297" s="241"/>
      <c r="I297" s="255">
        <f>+'[2]Egresos Programa II General'!C35-'Origen y Aplicación (2)'!I73</f>
        <v>26460000.000401258</v>
      </c>
      <c r="J297" s="250"/>
      <c r="K297" s="251"/>
      <c r="L297" s="252"/>
      <c r="M297" s="240"/>
      <c r="N297" s="293"/>
      <c r="O297" s="294"/>
    </row>
    <row r="298" spans="1:17" ht="13.5" thickBot="1" x14ac:dyDescent="0.25">
      <c r="A298" s="221"/>
      <c r="B298" s="209"/>
      <c r="C298" s="240"/>
      <c r="D298" s="209"/>
      <c r="E298" s="209"/>
      <c r="F298" s="209"/>
      <c r="G298" s="241" t="s">
        <v>14</v>
      </c>
      <c r="H298" s="241"/>
      <c r="I298" s="255">
        <v>26460000</v>
      </c>
      <c r="J298" s="250">
        <f>+I298</f>
        <v>26460000</v>
      </c>
      <c r="K298" s="251"/>
      <c r="L298" s="252"/>
      <c r="M298" s="240"/>
      <c r="N298" s="293"/>
      <c r="O298" s="294"/>
    </row>
    <row r="299" spans="1:17" s="239" customFormat="1" ht="13.5" thickBot="1" x14ac:dyDescent="0.25">
      <c r="A299" s="323" t="s">
        <v>180</v>
      </c>
      <c r="B299" s="324"/>
      <c r="C299" s="325">
        <f>SUM(C289:C297)</f>
        <v>98000000</v>
      </c>
      <c r="D299" s="326"/>
      <c r="E299" s="326"/>
      <c r="F299" s="326"/>
      <c r="G299" s="327"/>
      <c r="H299" s="327"/>
      <c r="I299" s="396">
        <f>SUM(I290:I298)/2</f>
        <v>98000000.000200629</v>
      </c>
      <c r="J299" s="397"/>
      <c r="K299" s="398"/>
      <c r="L299" s="399"/>
      <c r="M299" s="400"/>
      <c r="N299" s="333">
        <f>+C299-I299</f>
        <v>-2.0062923431396484E-4</v>
      </c>
      <c r="O299" s="433"/>
      <c r="P299" s="334"/>
      <c r="Q299" s="335"/>
    </row>
    <row r="300" spans="1:17" x14ac:dyDescent="0.2">
      <c r="A300" s="432"/>
      <c r="B300" s="395"/>
      <c r="C300" s="394"/>
      <c r="D300" s="209"/>
      <c r="E300" s="209"/>
      <c r="F300" s="209"/>
      <c r="G300" s="241"/>
      <c r="H300" s="241"/>
      <c r="I300" s="237"/>
      <c r="J300" s="434"/>
      <c r="K300" s="435"/>
      <c r="L300" s="436"/>
      <c r="M300" s="211"/>
      <c r="N300" s="300"/>
      <c r="O300" s="236"/>
    </row>
    <row r="301" spans="1:17" x14ac:dyDescent="0.2">
      <c r="A301" s="221" t="str">
        <f>+'[1]Clasific. Económica de Ingr (3)'!A50</f>
        <v>1.3.1.1.05.00.0.0.000</v>
      </c>
      <c r="B301" s="395" t="s">
        <v>253</v>
      </c>
      <c r="C301" s="240">
        <f>SUM('[1]Clasific. Económica de Ingr (3)'!C50)</f>
        <v>3400000000</v>
      </c>
      <c r="D301" s="209" t="s">
        <v>8</v>
      </c>
      <c r="E301" s="209" t="s">
        <v>184</v>
      </c>
      <c r="F301" s="209" t="s">
        <v>209</v>
      </c>
      <c r="G301" s="241" t="s">
        <v>236</v>
      </c>
      <c r="H301" s="241"/>
      <c r="I301" s="312">
        <f>+C301*10%</f>
        <v>340000000</v>
      </c>
      <c r="J301" s="434"/>
      <c r="K301" s="435"/>
      <c r="L301" s="436"/>
      <c r="M301" s="211"/>
      <c r="N301" s="300"/>
      <c r="O301" s="236"/>
    </row>
    <row r="302" spans="1:17" x14ac:dyDescent="0.2">
      <c r="A302" s="221"/>
      <c r="B302" s="395"/>
      <c r="C302" s="240"/>
      <c r="D302" s="209"/>
      <c r="E302" s="209"/>
      <c r="F302" s="209"/>
      <c r="G302" s="241" t="s">
        <v>9</v>
      </c>
      <c r="H302" s="241"/>
      <c r="I302" s="237">
        <v>340000000</v>
      </c>
      <c r="J302" s="434">
        <f>+I302</f>
        <v>340000000</v>
      </c>
      <c r="K302" s="435"/>
      <c r="L302" s="436"/>
      <c r="M302" s="211"/>
      <c r="N302" s="300"/>
      <c r="O302" s="236"/>
    </row>
    <row r="303" spans="1:17" x14ac:dyDescent="0.2">
      <c r="A303" s="221"/>
      <c r="B303" s="395"/>
      <c r="C303" s="240"/>
      <c r="D303" s="209"/>
      <c r="E303" s="209"/>
      <c r="F303" s="209"/>
      <c r="G303" s="241"/>
      <c r="H303" s="241"/>
      <c r="I303" s="237"/>
      <c r="J303" s="434"/>
      <c r="K303" s="435"/>
      <c r="L303" s="436"/>
      <c r="M303" s="211"/>
      <c r="N303" s="300"/>
      <c r="O303" s="236"/>
    </row>
    <row r="304" spans="1:17" hidden="1" x14ac:dyDescent="0.2">
      <c r="A304" s="221"/>
      <c r="B304" s="395"/>
      <c r="C304" s="240"/>
      <c r="D304" s="209"/>
      <c r="E304" s="209"/>
      <c r="F304" s="209"/>
      <c r="G304" s="241"/>
      <c r="H304" s="241"/>
      <c r="I304" s="237"/>
      <c r="J304" s="434"/>
      <c r="K304" s="435"/>
      <c r="L304" s="436"/>
      <c r="M304" s="211"/>
      <c r="N304" s="300"/>
      <c r="O304" s="236"/>
    </row>
    <row r="305" spans="1:17" hidden="1" x14ac:dyDescent="0.2">
      <c r="A305" s="221"/>
      <c r="B305" s="395"/>
      <c r="C305" s="240"/>
      <c r="D305" s="209"/>
      <c r="E305" s="209"/>
      <c r="F305" s="209"/>
      <c r="G305" s="241"/>
      <c r="H305" s="241"/>
      <c r="I305" s="237"/>
      <c r="J305" s="434"/>
      <c r="K305" s="435"/>
      <c r="L305" s="436"/>
      <c r="M305" s="211"/>
      <c r="N305" s="300"/>
      <c r="O305" s="236"/>
    </row>
    <row r="306" spans="1:17" hidden="1" x14ac:dyDescent="0.2">
      <c r="A306" s="221"/>
      <c r="B306" s="395"/>
      <c r="C306" s="240"/>
      <c r="D306" s="209"/>
      <c r="E306" s="209"/>
      <c r="F306" s="209"/>
      <c r="G306" s="241"/>
      <c r="H306" s="241"/>
      <c r="I306" s="237"/>
      <c r="J306" s="434"/>
      <c r="K306" s="435"/>
      <c r="L306" s="436"/>
      <c r="M306" s="211"/>
      <c r="N306" s="300"/>
      <c r="O306" s="236"/>
    </row>
    <row r="307" spans="1:17" hidden="1" x14ac:dyDescent="0.2">
      <c r="A307" s="221"/>
      <c r="B307" s="395"/>
      <c r="C307" s="240"/>
      <c r="D307" s="209"/>
      <c r="E307" s="209"/>
      <c r="F307" s="209"/>
      <c r="G307" s="241"/>
      <c r="H307" s="241"/>
      <c r="I307" s="237"/>
      <c r="J307" s="434"/>
      <c r="K307" s="435"/>
      <c r="L307" s="436"/>
      <c r="M307" s="211"/>
      <c r="N307" s="300"/>
      <c r="O307" s="236"/>
    </row>
    <row r="308" spans="1:17" x14ac:dyDescent="0.2">
      <c r="A308" s="221"/>
      <c r="B308" s="209"/>
      <c r="C308" s="240"/>
      <c r="D308" s="209" t="s">
        <v>19</v>
      </c>
      <c r="E308" s="209" t="s">
        <v>183</v>
      </c>
      <c r="F308" s="209" t="s">
        <v>209</v>
      </c>
      <c r="G308" s="241" t="s">
        <v>208</v>
      </c>
      <c r="H308" s="241"/>
      <c r="I308" s="237">
        <f>+'[2]Egresos Programa II General'!C17-I391-I594</f>
        <v>2202101892.0599918</v>
      </c>
      <c r="J308" s="434"/>
      <c r="K308" s="435"/>
      <c r="L308" s="436"/>
      <c r="M308" s="211"/>
      <c r="N308" s="300"/>
      <c r="O308" s="236">
        <f>+I308+I391+I594</f>
        <v>2367101892.0599918</v>
      </c>
    </row>
    <row r="309" spans="1:17" x14ac:dyDescent="0.2">
      <c r="A309" s="221"/>
      <c r="B309" s="209"/>
      <c r="C309" s="240"/>
      <c r="D309" s="209"/>
      <c r="E309" s="209"/>
      <c r="F309" s="209"/>
      <c r="G309" s="241" t="s">
        <v>9</v>
      </c>
      <c r="H309" s="241"/>
      <c r="I309" s="237">
        <v>1273940450.28</v>
      </c>
      <c r="J309" s="434">
        <f>+I309</f>
        <v>1273940450.28</v>
      </c>
      <c r="K309" s="435"/>
      <c r="L309" s="436"/>
      <c r="M309" s="211"/>
      <c r="N309" s="300"/>
      <c r="O309" s="236"/>
    </row>
    <row r="310" spans="1:17" x14ac:dyDescent="0.2">
      <c r="A310" s="221"/>
      <c r="B310" s="209"/>
      <c r="C310" s="240"/>
      <c r="D310" s="209"/>
      <c r="E310" s="209"/>
      <c r="F310" s="209"/>
      <c r="G310" s="241" t="s">
        <v>10</v>
      </c>
      <c r="H310" s="241"/>
      <c r="I310" s="237">
        <v>583021560.67999995</v>
      </c>
      <c r="J310" s="434">
        <f>+I310</f>
        <v>583021560.67999995</v>
      </c>
      <c r="K310" s="435"/>
      <c r="L310" s="436"/>
      <c r="M310" s="211"/>
      <c r="N310" s="300"/>
      <c r="O310" s="236"/>
    </row>
    <row r="311" spans="1:17" x14ac:dyDescent="0.2">
      <c r="A311" s="221"/>
      <c r="B311" s="209"/>
      <c r="C311" s="240"/>
      <c r="D311" s="209"/>
      <c r="E311" s="209"/>
      <c r="F311" s="209"/>
      <c r="G311" s="241" t="s">
        <v>11</v>
      </c>
      <c r="H311" s="241"/>
      <c r="I311" s="237">
        <v>35900000</v>
      </c>
      <c r="J311" s="434">
        <f>+I311</f>
        <v>35900000</v>
      </c>
      <c r="K311" s="435"/>
      <c r="L311" s="436"/>
      <c r="M311" s="211"/>
      <c r="N311" s="300"/>
      <c r="O311" s="236"/>
    </row>
    <row r="312" spans="1:17" x14ac:dyDescent="0.2">
      <c r="A312" s="221"/>
      <c r="B312" s="209"/>
      <c r="C312" s="240"/>
      <c r="D312" s="209"/>
      <c r="E312" s="209"/>
      <c r="F312" s="209"/>
      <c r="G312" s="241" t="s">
        <v>12</v>
      </c>
      <c r="H312" s="241"/>
      <c r="I312" s="237">
        <v>31714703.859999999</v>
      </c>
      <c r="J312" s="434">
        <f>+I312</f>
        <v>31714703.859999999</v>
      </c>
      <c r="K312" s="435"/>
      <c r="L312" s="436"/>
      <c r="M312" s="211"/>
      <c r="N312" s="300"/>
      <c r="O312" s="236"/>
    </row>
    <row r="313" spans="1:17" x14ac:dyDescent="0.2">
      <c r="A313" s="221"/>
      <c r="B313" s="209"/>
      <c r="C313" s="240"/>
      <c r="D313" s="209"/>
      <c r="E313" s="209"/>
      <c r="F313" s="209"/>
      <c r="G313" s="241" t="s">
        <v>13</v>
      </c>
      <c r="H313" s="241"/>
      <c r="I313" s="237">
        <f>363000000-85474822.76</f>
        <v>277525177.24000001</v>
      </c>
      <c r="J313" s="434"/>
      <c r="K313" s="435">
        <f>+I313</f>
        <v>277525177.24000001</v>
      </c>
      <c r="L313" s="436"/>
      <c r="M313" s="211"/>
      <c r="N313" s="300"/>
      <c r="O313" s="236"/>
    </row>
    <row r="314" spans="1:17" ht="12.75" customHeight="1" x14ac:dyDescent="0.2">
      <c r="A314" s="221"/>
      <c r="B314" s="309"/>
      <c r="C314" s="240"/>
      <c r="D314" s="209"/>
      <c r="E314" s="209"/>
      <c r="F314" s="209"/>
      <c r="G314" s="241" t="s">
        <v>14</v>
      </c>
      <c r="H314" s="310"/>
      <c r="I314" s="242"/>
      <c r="J314" s="243"/>
      <c r="K314" s="244"/>
      <c r="L314" s="245"/>
      <c r="M314" s="246"/>
      <c r="N314" s="300"/>
      <c r="O314" s="236"/>
      <c r="P314" s="212"/>
      <c r="Q314" s="212"/>
    </row>
    <row r="315" spans="1:17" ht="24.75" hidden="1" customHeight="1" x14ac:dyDescent="0.2">
      <c r="A315" s="221"/>
      <c r="B315" s="209"/>
      <c r="C315" s="240"/>
      <c r="D315" s="209" t="s">
        <v>18</v>
      </c>
      <c r="E315" s="209" t="s">
        <v>182</v>
      </c>
      <c r="F315" s="209" t="s">
        <v>241</v>
      </c>
      <c r="G315" s="311" t="str">
        <f>+'[2]Egresos Programa III General'!B76</f>
        <v>Plan Reforestación</v>
      </c>
      <c r="H315" s="311"/>
      <c r="I315" s="300">
        <f>+'[2]Egresos Programa III General'!C76</f>
        <v>0</v>
      </c>
      <c r="J315" s="301"/>
      <c r="K315" s="302"/>
      <c r="L315" s="303"/>
      <c r="N315" s="242"/>
      <c r="O315" s="246"/>
      <c r="P315" s="212"/>
      <c r="Q315" s="212"/>
    </row>
    <row r="316" spans="1:17" ht="12" hidden="1" customHeight="1" x14ac:dyDescent="0.2">
      <c r="A316" s="221"/>
      <c r="B316" s="309"/>
      <c r="C316" s="240"/>
      <c r="D316" s="209" t="s">
        <v>18</v>
      </c>
      <c r="E316" s="209" t="s">
        <v>182</v>
      </c>
      <c r="F316" s="209" t="s">
        <v>187</v>
      </c>
      <c r="G316" s="311" t="str">
        <f>+'[2]Egresos Programa III General'!B77</f>
        <v>Protección de Nciemntes</v>
      </c>
      <c r="H316" s="311"/>
      <c r="I316" s="300">
        <f>+'[2]Egresos Programa III General'!C77</f>
        <v>0</v>
      </c>
      <c r="J316" s="301"/>
      <c r="K316" s="302"/>
      <c r="L316" s="303"/>
      <c r="N316" s="300"/>
      <c r="O316" s="236"/>
      <c r="P316" s="212"/>
      <c r="Q316" s="212"/>
    </row>
    <row r="317" spans="1:17" ht="12.75" hidden="1" customHeight="1" x14ac:dyDescent="0.2">
      <c r="A317" s="221"/>
      <c r="B317" s="209"/>
      <c r="C317" s="240"/>
      <c r="D317" s="209" t="s">
        <v>18</v>
      </c>
      <c r="E317" s="209" t="s">
        <v>182</v>
      </c>
      <c r="F317" s="209">
        <v>10</v>
      </c>
      <c r="G317" s="241" t="str">
        <f>+'[2]Egresos Programa III General'!B78</f>
        <v>Mejoras Sistema Tuetal Norte Sur y Calle Loria</v>
      </c>
      <c r="H317" s="241"/>
      <c r="I317" s="242">
        <f>+'[2]Egresos Programa III General'!C78</f>
        <v>0</v>
      </c>
      <c r="J317" s="243"/>
      <c r="K317" s="244"/>
      <c r="L317" s="245"/>
      <c r="M317" s="246"/>
      <c r="N317" s="237"/>
      <c r="O317" s="246"/>
    </row>
    <row r="318" spans="1:17" ht="30.75" customHeight="1" x14ac:dyDescent="0.2">
      <c r="A318" s="221"/>
      <c r="B318" s="309"/>
      <c r="C318" s="240"/>
      <c r="D318" s="209" t="s">
        <v>18</v>
      </c>
      <c r="E318" s="209" t="s">
        <v>182</v>
      </c>
      <c r="F318" s="209" t="s">
        <v>193</v>
      </c>
      <c r="G318" s="310" t="str">
        <f>+'[2]Egresos Programa III General'!B79</f>
        <v>Plan Operación Mantenimiento y Des.Sistema de Acueducto 2018-2022</v>
      </c>
      <c r="H318" s="310"/>
      <c r="I318" s="316">
        <f>+'[2]Egresos Programa III General'!C79</f>
        <v>857898107.94000006</v>
      </c>
      <c r="J318" s="305"/>
      <c r="K318" s="306"/>
      <c r="L318" s="307"/>
      <c r="M318" s="308"/>
      <c r="N318" s="300"/>
      <c r="O318" s="236"/>
    </row>
    <row r="319" spans="1:17" hidden="1" x14ac:dyDescent="0.2">
      <c r="A319" s="221"/>
      <c r="B319" s="309"/>
      <c r="C319" s="240"/>
      <c r="D319" s="209"/>
      <c r="E319" s="209"/>
      <c r="F319" s="209"/>
      <c r="G319" s="241" t="s">
        <v>9</v>
      </c>
      <c r="H319" s="310"/>
      <c r="I319" s="304"/>
      <c r="J319" s="305"/>
      <c r="K319" s="306"/>
      <c r="L319" s="307"/>
      <c r="M319" s="308"/>
      <c r="N319" s="300"/>
      <c r="O319" s="236"/>
    </row>
    <row r="320" spans="1:17" x14ac:dyDescent="0.2">
      <c r="A320" s="221"/>
      <c r="B320" s="309"/>
      <c r="C320" s="240"/>
      <c r="D320" s="209"/>
      <c r="E320" s="209"/>
      <c r="F320" s="209"/>
      <c r="G320" s="241" t="s">
        <v>358</v>
      </c>
      <c r="H320" s="310"/>
      <c r="I320" s="304"/>
      <c r="J320" s="305"/>
      <c r="K320" s="306"/>
      <c r="L320" s="307"/>
      <c r="M320" s="308"/>
      <c r="N320" s="300"/>
      <c r="O320" s="236"/>
    </row>
    <row r="321" spans="1:17" x14ac:dyDescent="0.2">
      <c r="A321" s="221"/>
      <c r="B321" s="309"/>
      <c r="C321" s="240"/>
      <c r="D321" s="209"/>
      <c r="E321" s="209"/>
      <c r="F321" s="209"/>
      <c r="G321" s="241" t="s">
        <v>10</v>
      </c>
      <c r="H321" s="310"/>
      <c r="I321" s="304">
        <v>335800000</v>
      </c>
      <c r="J321" s="305"/>
      <c r="K321" s="306">
        <f>+I321</f>
        <v>335800000</v>
      </c>
      <c r="L321" s="307"/>
      <c r="M321" s="308"/>
      <c r="N321" s="300"/>
      <c r="O321" s="236"/>
    </row>
    <row r="322" spans="1:17" x14ac:dyDescent="0.2">
      <c r="A322" s="221"/>
      <c r="B322" s="309"/>
      <c r="C322" s="240"/>
      <c r="D322" s="209"/>
      <c r="E322" s="209"/>
      <c r="F322" s="209"/>
      <c r="G322" s="241" t="s">
        <v>11</v>
      </c>
      <c r="H322" s="310"/>
      <c r="I322" s="304">
        <v>310598107.94</v>
      </c>
      <c r="J322" s="305"/>
      <c r="K322" s="306">
        <f>+I322</f>
        <v>310598107.94</v>
      </c>
      <c r="L322" s="307"/>
      <c r="M322" s="308"/>
      <c r="N322" s="300"/>
      <c r="O322" s="236"/>
    </row>
    <row r="323" spans="1:17" ht="13.5" thickBot="1" x14ac:dyDescent="0.25">
      <c r="A323" s="221"/>
      <c r="B323" s="309"/>
      <c r="C323" s="240"/>
      <c r="D323" s="209"/>
      <c r="E323" s="209"/>
      <c r="F323" s="209"/>
      <c r="G323" s="241" t="s">
        <v>181</v>
      </c>
      <c r="H323" s="310"/>
      <c r="I323" s="304">
        <v>211500000</v>
      </c>
      <c r="J323" s="305"/>
      <c r="K323" s="306">
        <f>+I323</f>
        <v>211500000</v>
      </c>
      <c r="L323" s="307"/>
      <c r="M323" s="308"/>
      <c r="N323" s="300"/>
      <c r="O323" s="236"/>
    </row>
    <row r="324" spans="1:17" ht="30.75" hidden="1" customHeight="1" thickBot="1" x14ac:dyDescent="0.25">
      <c r="A324" s="221"/>
      <c r="B324" s="309"/>
      <c r="C324" s="240"/>
      <c r="D324" s="209"/>
      <c r="E324" s="209"/>
      <c r="F324" s="209"/>
      <c r="G324" s="310"/>
      <c r="H324" s="310"/>
      <c r="I324" s="304"/>
      <c r="J324" s="305"/>
      <c r="K324" s="306"/>
      <c r="L324" s="307"/>
      <c r="M324" s="308"/>
      <c r="N324" s="300"/>
      <c r="O324" s="236"/>
    </row>
    <row r="325" spans="1:17" s="239" customFormat="1" ht="13.5" thickBot="1" x14ac:dyDescent="0.25">
      <c r="A325" s="228" t="s">
        <v>180</v>
      </c>
      <c r="B325" s="229"/>
      <c r="C325" s="437">
        <f>SUM(C301:C318)</f>
        <v>3400000000</v>
      </c>
      <c r="D325" s="207"/>
      <c r="E325" s="207"/>
      <c r="F325" s="207"/>
      <c r="G325" s="231"/>
      <c r="H325" s="231"/>
      <c r="I325" s="438">
        <f>SUM(I301:I323)/2</f>
        <v>3399999999.9999957</v>
      </c>
      <c r="J325" s="342"/>
      <c r="K325" s="343"/>
      <c r="L325" s="344"/>
      <c r="M325" s="345"/>
      <c r="N325" s="333">
        <f>+C325-I325</f>
        <v>4.291534423828125E-6</v>
      </c>
      <c r="O325" s="345"/>
      <c r="P325" s="334"/>
      <c r="Q325" s="335"/>
    </row>
    <row r="326" spans="1:17" x14ac:dyDescent="0.2">
      <c r="A326" s="387" t="s">
        <v>15</v>
      </c>
      <c r="B326" s="388"/>
      <c r="C326" s="389"/>
      <c r="D326" s="207"/>
      <c r="E326" s="207"/>
      <c r="F326" s="207"/>
      <c r="G326" s="231"/>
      <c r="H326" s="231"/>
      <c r="I326" s="232"/>
      <c r="J326" s="439"/>
      <c r="K326" s="302"/>
      <c r="L326" s="303"/>
      <c r="N326" s="300"/>
      <c r="O326" s="236"/>
    </row>
    <row r="327" spans="1:17" x14ac:dyDescent="0.2">
      <c r="A327" s="221" t="str">
        <f>+'[1]Clasific. Económica de Ingr (3)'!A56</f>
        <v>1.3.1.2.04.01.1.0.000</v>
      </c>
      <c r="B327" s="395" t="s">
        <v>252</v>
      </c>
      <c r="C327" s="240">
        <f>SUM('[1]Clasific. Económica de Ingr (3)'!C56)</f>
        <v>321848927.95999998</v>
      </c>
      <c r="D327" s="209"/>
      <c r="E327" s="209"/>
      <c r="F327" s="209"/>
      <c r="G327" s="241"/>
      <c r="H327" s="241"/>
      <c r="I327" s="300"/>
      <c r="J327" s="439"/>
      <c r="K327" s="302"/>
      <c r="L327" s="303"/>
      <c r="N327" s="300"/>
      <c r="O327" s="236"/>
    </row>
    <row r="328" spans="1:17" ht="13.5" thickBot="1" x14ac:dyDescent="0.25">
      <c r="A328" s="221"/>
      <c r="B328" s="209"/>
      <c r="C328" s="240"/>
      <c r="D328" s="209" t="s">
        <v>8</v>
      </c>
      <c r="E328" s="209" t="s">
        <v>184</v>
      </c>
      <c r="F328" s="209" t="s">
        <v>209</v>
      </c>
      <c r="G328" s="241" t="s">
        <v>236</v>
      </c>
      <c r="H328" s="241"/>
      <c r="I328" s="312">
        <f>+C327*10%</f>
        <v>32184892.796</v>
      </c>
      <c r="J328" s="440"/>
      <c r="K328" s="314"/>
      <c r="L328" s="315"/>
      <c r="M328" s="441"/>
      <c r="N328" s="442"/>
      <c r="O328" s="236"/>
    </row>
    <row r="329" spans="1:17" x14ac:dyDescent="0.2">
      <c r="A329" s="221"/>
      <c r="B329" s="209"/>
      <c r="C329" s="240"/>
      <c r="D329" s="209"/>
      <c r="E329" s="209"/>
      <c r="F329" s="209"/>
      <c r="G329" s="241" t="s">
        <v>9</v>
      </c>
      <c r="H329" s="241"/>
      <c r="I329" s="237">
        <v>32184892.800000001</v>
      </c>
      <c r="J329" s="440">
        <f>+I329</f>
        <v>32184892.800000001</v>
      </c>
      <c r="K329" s="314"/>
      <c r="L329" s="315"/>
      <c r="M329" s="443"/>
      <c r="N329" s="232"/>
      <c r="O329" s="236"/>
    </row>
    <row r="330" spans="1:17" x14ac:dyDescent="0.2">
      <c r="A330" s="221"/>
      <c r="B330" s="209"/>
      <c r="C330" s="240"/>
      <c r="D330" s="209"/>
      <c r="E330" s="209"/>
      <c r="F330" s="209"/>
      <c r="G330" s="241"/>
      <c r="H330" s="241"/>
      <c r="I330" s="237"/>
      <c r="J330" s="440"/>
      <c r="K330" s="314"/>
      <c r="L330" s="315"/>
      <c r="M330" s="211"/>
      <c r="N330" s="300"/>
      <c r="O330" s="236"/>
    </row>
    <row r="331" spans="1:17" ht="13.5" customHeight="1" x14ac:dyDescent="0.2">
      <c r="A331" s="221"/>
      <c r="B331" s="209"/>
      <c r="D331" s="209" t="s">
        <v>19</v>
      </c>
      <c r="E331" s="209" t="s">
        <v>189</v>
      </c>
      <c r="F331" s="209"/>
      <c r="G331" s="241" t="str">
        <f>+'[2]Egresos Programa II General'!B19</f>
        <v>Mercados, Plazas y Ferias</v>
      </c>
      <c r="H331" s="241"/>
      <c r="I331" s="312">
        <f>+'[2]Egresos Programa II General'!C19-I350-I480-I32</f>
        <v>289664035.16599733</v>
      </c>
      <c r="J331" s="440"/>
      <c r="K331" s="314"/>
      <c r="L331" s="315"/>
      <c r="M331" s="248"/>
      <c r="N331" s="242"/>
      <c r="O331" s="246">
        <f>+I331+I350+I480+I32</f>
        <v>332913870.98599732</v>
      </c>
      <c r="P331" s="210">
        <f>+I331+I350+I480</f>
        <v>294794035.16599733</v>
      </c>
    </row>
    <row r="332" spans="1:17" hidden="1" x14ac:dyDescent="0.2">
      <c r="A332" s="221"/>
      <c r="B332" s="209"/>
      <c r="C332" s="240"/>
      <c r="D332" s="209" t="s">
        <v>18</v>
      </c>
      <c r="E332" s="209" t="s">
        <v>184</v>
      </c>
      <c r="F332" s="209" t="s">
        <v>185</v>
      </c>
      <c r="G332" s="241" t="s">
        <v>251</v>
      </c>
      <c r="H332" s="241"/>
      <c r="I332" s="242"/>
      <c r="J332" s="444"/>
      <c r="K332" s="244"/>
      <c r="L332" s="245"/>
      <c r="M332" s="246"/>
      <c r="N332" s="247"/>
      <c r="O332" s="248"/>
    </row>
    <row r="333" spans="1:17" x14ac:dyDescent="0.2">
      <c r="A333" s="221"/>
      <c r="B333" s="209"/>
      <c r="C333" s="240"/>
      <c r="D333" s="209"/>
      <c r="E333" s="209"/>
      <c r="F333" s="209"/>
      <c r="G333" s="241" t="s">
        <v>9</v>
      </c>
      <c r="H333" s="241"/>
      <c r="I333" s="242">
        <f>146675332.7+2560000</f>
        <v>149235332.69999999</v>
      </c>
      <c r="J333" s="444">
        <f>+I333</f>
        <v>149235332.69999999</v>
      </c>
      <c r="K333" s="244"/>
      <c r="L333" s="245"/>
      <c r="M333" s="246"/>
      <c r="N333" s="247"/>
      <c r="O333" s="248"/>
    </row>
    <row r="334" spans="1:17" x14ac:dyDescent="0.2">
      <c r="A334" s="221"/>
      <c r="B334" s="209"/>
      <c r="C334" s="240"/>
      <c r="D334" s="209"/>
      <c r="E334" s="209"/>
      <c r="F334" s="209"/>
      <c r="G334" s="241" t="s">
        <v>359</v>
      </c>
      <c r="H334" s="241"/>
      <c r="I334" s="242">
        <f>109946084.33+3312618.13</f>
        <v>113258702.45999999</v>
      </c>
      <c r="J334" s="444">
        <f>+I334</f>
        <v>113258702.45999999</v>
      </c>
      <c r="K334" s="244"/>
      <c r="L334" s="245"/>
      <c r="M334" s="246"/>
      <c r="N334" s="247"/>
      <c r="O334" s="248"/>
    </row>
    <row r="335" spans="1:17" ht="13.5" thickBot="1" x14ac:dyDescent="0.25">
      <c r="A335" s="271"/>
      <c r="B335" s="272"/>
      <c r="C335" s="273"/>
      <c r="D335" s="272"/>
      <c r="E335" s="272"/>
      <c r="F335" s="272"/>
      <c r="G335" s="274" t="s">
        <v>11</v>
      </c>
      <c r="H335" s="274"/>
      <c r="I335" s="445">
        <v>12200000</v>
      </c>
      <c r="J335" s="446">
        <f>+I335</f>
        <v>12200000</v>
      </c>
      <c r="K335" s="447"/>
      <c r="L335" s="448"/>
      <c r="M335" s="246"/>
      <c r="N335" s="247"/>
      <c r="O335" s="248"/>
    </row>
    <row r="336" spans="1:17" x14ac:dyDescent="0.2">
      <c r="A336" s="221"/>
      <c r="B336" s="209"/>
      <c r="C336" s="240"/>
      <c r="D336" s="209"/>
      <c r="E336" s="209"/>
      <c r="F336" s="209"/>
      <c r="G336" s="241" t="s">
        <v>181</v>
      </c>
      <c r="H336" s="241"/>
      <c r="I336" s="242">
        <v>4600000</v>
      </c>
      <c r="J336" s="449"/>
      <c r="K336" s="450">
        <f>+I336</f>
        <v>4600000</v>
      </c>
      <c r="L336" s="451"/>
      <c r="M336" s="246"/>
      <c r="N336" s="247"/>
      <c r="O336" s="248"/>
    </row>
    <row r="337" spans="1:17" x14ac:dyDescent="0.2">
      <c r="A337" s="221"/>
      <c r="B337" s="209"/>
      <c r="C337" s="240"/>
      <c r="D337" s="209"/>
      <c r="E337" s="209"/>
      <c r="F337" s="209"/>
      <c r="G337" s="241" t="s">
        <v>14</v>
      </c>
      <c r="H337" s="241"/>
      <c r="I337" s="242">
        <f>11000000-I351</f>
        <v>10370000</v>
      </c>
      <c r="J337" s="444">
        <f>+I337</f>
        <v>10370000</v>
      </c>
      <c r="K337" s="244"/>
      <c r="L337" s="245"/>
      <c r="M337" s="246"/>
      <c r="N337" s="247"/>
      <c r="O337" s="248"/>
    </row>
    <row r="338" spans="1:17" x14ac:dyDescent="0.2">
      <c r="A338" s="221"/>
      <c r="B338" s="209"/>
      <c r="C338" s="240"/>
      <c r="D338" s="209"/>
      <c r="E338" s="209"/>
      <c r="F338" s="209"/>
      <c r="G338" s="241"/>
      <c r="H338" s="241"/>
      <c r="I338" s="242"/>
      <c r="J338" s="449"/>
      <c r="K338" s="450"/>
      <c r="L338" s="451"/>
      <c r="M338" s="246"/>
      <c r="N338" s="247"/>
      <c r="O338" s="248"/>
    </row>
    <row r="339" spans="1:17" ht="13.5" thickBot="1" x14ac:dyDescent="0.25">
      <c r="A339" s="271"/>
      <c r="B339" s="272"/>
      <c r="C339" s="273"/>
      <c r="D339" s="272"/>
      <c r="E339" s="272"/>
      <c r="F339" s="272"/>
      <c r="G339" s="274"/>
      <c r="H339" s="274"/>
      <c r="I339" s="445"/>
      <c r="J339" s="444"/>
      <c r="K339" s="244"/>
      <c r="L339" s="245"/>
      <c r="M339" s="246"/>
      <c r="N339" s="247"/>
      <c r="O339" s="248"/>
    </row>
    <row r="340" spans="1:17" s="239" customFormat="1" ht="13.5" thickBot="1" x14ac:dyDescent="0.25">
      <c r="A340" s="452" t="s">
        <v>180</v>
      </c>
      <c r="B340" s="453"/>
      <c r="C340" s="454">
        <f>SUM(C327:C331)</f>
        <v>321848927.95999998</v>
      </c>
      <c r="D340" s="272"/>
      <c r="E340" s="272"/>
      <c r="F340" s="272"/>
      <c r="G340" s="274"/>
      <c r="H340" s="274"/>
      <c r="I340" s="455">
        <f>SUM(I328:I339)/2</f>
        <v>321848927.96099865</v>
      </c>
      <c r="J340" s="342"/>
      <c r="K340" s="343"/>
      <c r="L340" s="344"/>
      <c r="M340" s="345"/>
      <c r="N340" s="333">
        <f>+C340-I340</f>
        <v>-9.9867582321166992E-4</v>
      </c>
      <c r="O340" s="345">
        <f>+N340*2</f>
        <v>-1.9973516464233398E-3</v>
      </c>
      <c r="P340" s="334"/>
      <c r="Q340" s="335"/>
    </row>
    <row r="341" spans="1:17" s="358" customFormat="1" ht="12.75" hidden="1" customHeight="1" x14ac:dyDescent="0.2">
      <c r="A341" s="359"/>
      <c r="B341" s="362"/>
      <c r="C341" s="361"/>
      <c r="D341" s="362"/>
      <c r="E341" s="362"/>
      <c r="F341" s="362"/>
      <c r="G341" s="363"/>
      <c r="H341" s="363"/>
      <c r="I341" s="253"/>
      <c r="J341" s="372"/>
      <c r="K341" s="373"/>
      <c r="L341" s="374"/>
      <c r="M341" s="256"/>
      <c r="N341" s="253"/>
      <c r="O341" s="256"/>
      <c r="P341" s="297"/>
      <c r="Q341" s="357"/>
    </row>
    <row r="342" spans="1:17" s="358" customFormat="1" ht="12.75" hidden="1" customHeight="1" x14ac:dyDescent="0.2">
      <c r="A342" s="359" t="str">
        <f>+'[1]Clasific. Económica de Ingr (3)'!A57</f>
        <v>1.3.1.2.04.01.2.0.000</v>
      </c>
      <c r="B342" s="363" t="s">
        <v>250</v>
      </c>
      <c r="C342" s="361">
        <f>SUM('[1]Clasific. Económica de Ingr (3)'!C57)</f>
        <v>0</v>
      </c>
      <c r="D342" s="362"/>
      <c r="E342" s="362"/>
      <c r="F342" s="362"/>
      <c r="G342" s="363"/>
      <c r="H342" s="363"/>
      <c r="I342" s="253"/>
      <c r="J342" s="372"/>
      <c r="K342" s="373"/>
      <c r="L342" s="374"/>
      <c r="M342" s="256"/>
      <c r="N342" s="356"/>
      <c r="O342" s="355"/>
      <c r="P342" s="297"/>
      <c r="Q342" s="357"/>
    </row>
    <row r="343" spans="1:17" s="358" customFormat="1" ht="13.5" hidden="1" customHeight="1" thickBot="1" x14ac:dyDescent="0.25">
      <c r="A343" s="359"/>
      <c r="B343" s="362"/>
      <c r="C343" s="361"/>
      <c r="D343" s="362" t="s">
        <v>18</v>
      </c>
      <c r="E343" s="362" t="s">
        <v>189</v>
      </c>
      <c r="F343" s="362"/>
      <c r="G343" s="363"/>
      <c r="H343" s="363"/>
      <c r="I343" s="253"/>
      <c r="J343" s="372"/>
      <c r="K343" s="373"/>
      <c r="L343" s="374"/>
      <c r="M343" s="256"/>
      <c r="N343" s="253"/>
      <c r="O343" s="256"/>
      <c r="P343" s="297"/>
      <c r="Q343" s="357"/>
    </row>
    <row r="344" spans="1:17" s="386" customFormat="1" ht="13.5" hidden="1" customHeight="1" thickBot="1" x14ac:dyDescent="0.25">
      <c r="A344" s="402" t="s">
        <v>180</v>
      </c>
      <c r="B344" s="403"/>
      <c r="C344" s="404">
        <f>SUM(C342:C343)</f>
        <v>0</v>
      </c>
      <c r="D344" s="405"/>
      <c r="E344" s="405"/>
      <c r="F344" s="405"/>
      <c r="G344" s="406"/>
      <c r="H344" s="406"/>
      <c r="I344" s="456">
        <f>SUM(I343:I343)</f>
        <v>0</v>
      </c>
      <c r="J344" s="372"/>
      <c r="K344" s="373"/>
      <c r="L344" s="374"/>
      <c r="M344" s="256"/>
      <c r="N344" s="383">
        <f>+C344-I344</f>
        <v>0</v>
      </c>
      <c r="O344" s="382"/>
      <c r="P344" s="384"/>
      <c r="Q344" s="385"/>
    </row>
    <row r="345" spans="1:17" x14ac:dyDescent="0.2">
      <c r="A345" s="432"/>
      <c r="B345" s="395"/>
      <c r="C345" s="394"/>
      <c r="D345" s="209"/>
      <c r="E345" s="209"/>
      <c r="F345" s="209"/>
      <c r="G345" s="241"/>
      <c r="H345" s="241"/>
      <c r="I345" s="300"/>
      <c r="J345" s="301"/>
      <c r="K345" s="302"/>
      <c r="L345" s="303"/>
      <c r="N345" s="300"/>
      <c r="O345" s="236"/>
    </row>
    <row r="346" spans="1:17" x14ac:dyDescent="0.2">
      <c r="A346" s="221" t="str">
        <f>+'[1]Clasific. Económica de Ingr (3)'!A58</f>
        <v>1.3.1.2.04.09.0.0.000</v>
      </c>
      <c r="B346" s="209" t="s">
        <v>249</v>
      </c>
      <c r="C346" s="240">
        <f>SUM('[1]Clasific. Económica de Ingr (3)'!C58)</f>
        <v>700000</v>
      </c>
      <c r="D346" s="209"/>
      <c r="E346" s="209"/>
      <c r="F346" s="209"/>
      <c r="G346" s="241"/>
      <c r="H346" s="241"/>
      <c r="I346" s="300"/>
      <c r="J346" s="301"/>
      <c r="K346" s="302"/>
      <c r="L346" s="303"/>
      <c r="N346" s="300"/>
      <c r="O346" s="236"/>
    </row>
    <row r="347" spans="1:17" x14ac:dyDescent="0.2">
      <c r="A347" s="221"/>
      <c r="B347" s="209"/>
      <c r="C347" s="240"/>
      <c r="D347" s="209" t="s">
        <v>8</v>
      </c>
      <c r="E347" s="209" t="s">
        <v>184</v>
      </c>
      <c r="F347" s="209" t="s">
        <v>209</v>
      </c>
      <c r="G347" s="241" t="s">
        <v>236</v>
      </c>
      <c r="H347" s="241"/>
      <c r="I347" s="312">
        <f>+C346*10%</f>
        <v>70000</v>
      </c>
      <c r="J347" s="434"/>
      <c r="K347" s="435"/>
      <c r="L347" s="436"/>
      <c r="M347" s="211"/>
      <c r="N347" s="300"/>
      <c r="O347" s="236"/>
    </row>
    <row r="348" spans="1:17" x14ac:dyDescent="0.2">
      <c r="A348" s="221"/>
      <c r="B348" s="209"/>
      <c r="C348" s="240"/>
      <c r="D348" s="209"/>
      <c r="E348" s="209"/>
      <c r="F348" s="209"/>
      <c r="G348" s="241" t="s">
        <v>9</v>
      </c>
      <c r="H348" s="241"/>
      <c r="I348" s="237">
        <v>70000</v>
      </c>
      <c r="J348" s="434">
        <f>+I348</f>
        <v>70000</v>
      </c>
      <c r="K348" s="435"/>
      <c r="L348" s="436"/>
      <c r="M348" s="211"/>
      <c r="N348" s="300"/>
      <c r="O348" s="236"/>
    </row>
    <row r="349" spans="1:17" x14ac:dyDescent="0.2">
      <c r="A349" s="221"/>
      <c r="B349" s="209"/>
      <c r="C349" s="240"/>
      <c r="D349" s="209"/>
      <c r="E349" s="209"/>
      <c r="F349" s="209"/>
      <c r="G349" s="241"/>
      <c r="H349" s="241"/>
      <c r="I349" s="237"/>
      <c r="J349" s="434"/>
      <c r="K349" s="435"/>
      <c r="L349" s="436"/>
      <c r="M349" s="211"/>
      <c r="N349" s="300"/>
      <c r="O349" s="236"/>
    </row>
    <row r="350" spans="1:17" x14ac:dyDescent="0.2">
      <c r="A350" s="221"/>
      <c r="B350" s="209"/>
      <c r="C350" s="240"/>
      <c r="D350" s="209" t="s">
        <v>19</v>
      </c>
      <c r="E350" s="209" t="s">
        <v>189</v>
      </c>
      <c r="F350" s="209"/>
      <c r="G350" s="241" t="str">
        <f>+'[2]Egresos Programa II General'!B19</f>
        <v>Mercados, Plazas y Ferias</v>
      </c>
      <c r="H350" s="241"/>
      <c r="I350" s="457">
        <v>630000</v>
      </c>
      <c r="J350" s="243"/>
      <c r="K350" s="244"/>
      <c r="L350" s="245"/>
      <c r="M350" s="246"/>
      <c r="N350" s="242"/>
      <c r="O350" s="246"/>
    </row>
    <row r="351" spans="1:17" x14ac:dyDescent="0.2">
      <c r="A351" s="221"/>
      <c r="B351" s="209"/>
      <c r="C351" s="240"/>
      <c r="D351" s="209"/>
      <c r="E351" s="209"/>
      <c r="F351" s="209"/>
      <c r="G351" s="241" t="s">
        <v>14</v>
      </c>
      <c r="H351" s="241"/>
      <c r="I351" s="242">
        <v>630000</v>
      </c>
      <c r="J351" s="243">
        <f>+I351</f>
        <v>630000</v>
      </c>
      <c r="K351" s="244"/>
      <c r="L351" s="245"/>
      <c r="M351" s="246"/>
      <c r="N351" s="242"/>
      <c r="O351" s="246"/>
    </row>
    <row r="352" spans="1:17" ht="13.5" thickBot="1" x14ac:dyDescent="0.25">
      <c r="A352" s="221"/>
      <c r="B352" s="209"/>
      <c r="C352" s="240"/>
      <c r="D352" s="209"/>
      <c r="E352" s="209"/>
      <c r="F352" s="209"/>
      <c r="G352" s="241"/>
      <c r="H352" s="241"/>
      <c r="I352" s="242"/>
      <c r="J352" s="243"/>
      <c r="K352" s="244"/>
      <c r="L352" s="245"/>
      <c r="M352" s="246"/>
      <c r="N352" s="242"/>
      <c r="O352" s="246"/>
    </row>
    <row r="353" spans="1:17" s="239" customFormat="1" ht="13.5" thickBot="1" x14ac:dyDescent="0.25">
      <c r="A353" s="323" t="s">
        <v>180</v>
      </c>
      <c r="B353" s="324"/>
      <c r="C353" s="325">
        <f>SUM(C346:C350)</f>
        <v>700000</v>
      </c>
      <c r="D353" s="326"/>
      <c r="E353" s="326"/>
      <c r="F353" s="326"/>
      <c r="G353" s="327"/>
      <c r="H353" s="327"/>
      <c r="I353" s="341">
        <f>SUM(I347:I352)/2</f>
        <v>700000</v>
      </c>
      <c r="J353" s="342"/>
      <c r="K353" s="343"/>
      <c r="L353" s="344"/>
      <c r="M353" s="345"/>
      <c r="N353" s="333">
        <f>+C353-I353</f>
        <v>0</v>
      </c>
      <c r="O353" s="345"/>
      <c r="P353" s="334"/>
      <c r="Q353" s="335"/>
    </row>
    <row r="354" spans="1:17" x14ac:dyDescent="0.2">
      <c r="A354" s="432"/>
      <c r="B354" s="395"/>
      <c r="C354" s="394"/>
      <c r="D354" s="209"/>
      <c r="E354" s="209"/>
      <c r="F354" s="209"/>
      <c r="G354" s="241"/>
      <c r="H354" s="241"/>
      <c r="I354" s="300"/>
      <c r="J354" s="301"/>
      <c r="K354" s="302"/>
      <c r="L354" s="303"/>
      <c r="N354" s="300"/>
      <c r="O354" s="236"/>
    </row>
    <row r="355" spans="1:17" x14ac:dyDescent="0.2">
      <c r="A355" s="221" t="str">
        <f>+'[1]Clasific. Económica de Ingr (3)'!A61</f>
        <v>1.3.1.2.05.01.1.0.000</v>
      </c>
      <c r="B355" s="209" t="s">
        <v>248</v>
      </c>
      <c r="C355" s="240">
        <f>SUM('[1]Clasific. Económica de Ingr (3)'!C61)</f>
        <v>840000000</v>
      </c>
      <c r="D355" s="209"/>
      <c r="E355" s="209"/>
      <c r="F355" s="209"/>
      <c r="G355" s="241"/>
      <c r="H355" s="241"/>
      <c r="I355" s="300"/>
      <c r="J355" s="301"/>
      <c r="K355" s="302"/>
      <c r="L355" s="303"/>
      <c r="N355" s="300"/>
      <c r="O355" s="236"/>
    </row>
    <row r="356" spans="1:17" ht="12" customHeight="1" x14ac:dyDescent="0.2">
      <c r="A356" s="221"/>
      <c r="B356" s="209"/>
      <c r="C356" s="240"/>
      <c r="D356" s="209" t="s">
        <v>8</v>
      </c>
      <c r="E356" s="209" t="s">
        <v>184</v>
      </c>
      <c r="F356" s="209" t="s">
        <v>209</v>
      </c>
      <c r="G356" s="241" t="s">
        <v>236</v>
      </c>
      <c r="H356" s="241"/>
      <c r="I356" s="312">
        <f>+C355*10%</f>
        <v>84000000</v>
      </c>
      <c r="J356" s="434"/>
      <c r="K356" s="435"/>
      <c r="L356" s="436"/>
      <c r="M356" s="211"/>
      <c r="N356" s="300"/>
      <c r="O356" s="236"/>
    </row>
    <row r="357" spans="1:17" ht="12" customHeight="1" x14ac:dyDescent="0.2">
      <c r="A357" s="221"/>
      <c r="B357" s="209"/>
      <c r="C357" s="240"/>
      <c r="D357" s="209"/>
      <c r="E357" s="209"/>
      <c r="F357" s="209"/>
      <c r="G357" s="241" t="s">
        <v>9</v>
      </c>
      <c r="H357" s="241"/>
      <c r="I357" s="237">
        <v>84000000</v>
      </c>
      <c r="J357" s="434">
        <f>+I357</f>
        <v>84000000</v>
      </c>
      <c r="K357" s="435"/>
      <c r="L357" s="436"/>
      <c r="M357" s="211"/>
      <c r="N357" s="300"/>
      <c r="O357" s="236"/>
    </row>
    <row r="358" spans="1:17" ht="12" customHeight="1" x14ac:dyDescent="0.2">
      <c r="A358" s="221"/>
      <c r="B358" s="209"/>
      <c r="C358" s="240"/>
      <c r="D358" s="209"/>
      <c r="E358" s="209"/>
      <c r="F358" s="209"/>
      <c r="G358" s="241"/>
      <c r="H358" s="241"/>
      <c r="I358" s="237"/>
      <c r="J358" s="434"/>
      <c r="K358" s="435"/>
      <c r="L358" s="436"/>
      <c r="M358" s="211"/>
      <c r="N358" s="300"/>
      <c r="O358" s="236"/>
    </row>
    <row r="359" spans="1:17" x14ac:dyDescent="0.2">
      <c r="A359" s="221"/>
      <c r="B359" s="209"/>
      <c r="C359" s="240"/>
      <c r="D359" s="209" t="s">
        <v>19</v>
      </c>
      <c r="E359" s="209">
        <v>13</v>
      </c>
      <c r="F359" s="209"/>
      <c r="G359" s="241" t="str">
        <f>+'[2]Egresos Programa II General'!B27</f>
        <v>Alcantarillados Sanitarios</v>
      </c>
      <c r="H359" s="241"/>
      <c r="I359" s="312">
        <f>+'[2]Egresos Programa II General'!C27-I610-I55</f>
        <v>564650713.45450699</v>
      </c>
      <c r="J359" s="434"/>
      <c r="K359" s="435"/>
      <c r="L359" s="436"/>
      <c r="M359" s="211"/>
      <c r="N359" s="242"/>
      <c r="O359" s="246">
        <f>+I359+I610</f>
        <v>564650713.45450699</v>
      </c>
    </row>
    <row r="360" spans="1:17" x14ac:dyDescent="0.2">
      <c r="A360" s="221"/>
      <c r="B360" s="209"/>
      <c r="C360" s="240"/>
      <c r="D360" s="209"/>
      <c r="E360" s="209"/>
      <c r="F360" s="209"/>
      <c r="G360" s="241" t="s">
        <v>9</v>
      </c>
      <c r="H360" s="241"/>
      <c r="I360" s="312">
        <v>208641900.74000001</v>
      </c>
      <c r="J360" s="434">
        <f>+I360</f>
        <v>208641900.74000001</v>
      </c>
      <c r="K360" s="435"/>
      <c r="L360" s="436"/>
      <c r="M360" s="211"/>
      <c r="N360" s="242"/>
      <c r="O360" s="246"/>
    </row>
    <row r="361" spans="1:17" x14ac:dyDescent="0.2">
      <c r="A361" s="221"/>
      <c r="B361" s="209"/>
      <c r="C361" s="240"/>
      <c r="D361" s="209"/>
      <c r="E361" s="209"/>
      <c r="F361" s="209"/>
      <c r="G361" s="241" t="s">
        <v>10</v>
      </c>
      <c r="H361" s="241"/>
      <c r="I361" s="312">
        <v>91512114.370000005</v>
      </c>
      <c r="J361" s="434">
        <f>+I361</f>
        <v>91512114.370000005</v>
      </c>
      <c r="K361" s="435"/>
      <c r="L361" s="436"/>
      <c r="M361" s="211"/>
      <c r="N361" s="242"/>
      <c r="O361" s="246"/>
    </row>
    <row r="362" spans="1:17" x14ac:dyDescent="0.2">
      <c r="A362" s="221"/>
      <c r="B362" s="209"/>
      <c r="C362" s="240"/>
      <c r="D362" s="209"/>
      <c r="E362" s="209"/>
      <c r="F362" s="209"/>
      <c r="G362" s="241" t="s">
        <v>14</v>
      </c>
      <c r="H362" s="241"/>
      <c r="I362" s="312">
        <v>6500000</v>
      </c>
      <c r="J362" s="434">
        <f>+I362</f>
        <v>6500000</v>
      </c>
      <c r="K362" s="435"/>
      <c r="L362" s="436"/>
      <c r="M362" s="211"/>
      <c r="N362" s="242"/>
      <c r="O362" s="246"/>
    </row>
    <row r="363" spans="1:17" x14ac:dyDescent="0.2">
      <c r="A363" s="221"/>
      <c r="B363" s="209"/>
      <c r="C363" s="240"/>
      <c r="D363" s="209"/>
      <c r="E363" s="209"/>
      <c r="F363" s="209"/>
      <c r="G363" s="241" t="s">
        <v>200</v>
      </c>
      <c r="H363" s="241"/>
      <c r="I363" s="312">
        <v>257996698.34</v>
      </c>
      <c r="J363" s="434"/>
      <c r="K363" s="435"/>
      <c r="L363" s="436">
        <f>+I363</f>
        <v>257996698.34</v>
      </c>
      <c r="M363" s="211"/>
      <c r="N363" s="242"/>
      <c r="O363" s="246"/>
    </row>
    <row r="364" spans="1:17" x14ac:dyDescent="0.2">
      <c r="A364" s="221"/>
      <c r="B364" s="209"/>
      <c r="C364" s="240"/>
      <c r="D364" s="209"/>
      <c r="E364" s="209"/>
      <c r="F364" s="209"/>
      <c r="G364" s="241"/>
      <c r="H364" s="241"/>
      <c r="I364" s="312"/>
      <c r="J364" s="434"/>
      <c r="K364" s="435"/>
      <c r="L364" s="436"/>
      <c r="M364" s="211"/>
      <c r="N364" s="242"/>
      <c r="O364" s="246"/>
    </row>
    <row r="365" spans="1:17" ht="38.25" x14ac:dyDescent="0.2">
      <c r="A365" s="221"/>
      <c r="B365" s="309"/>
      <c r="C365" s="240"/>
      <c r="D365" s="209" t="s">
        <v>18</v>
      </c>
      <c r="E365" s="209" t="s">
        <v>182</v>
      </c>
      <c r="F365" s="209" t="s">
        <v>191</v>
      </c>
      <c r="G365" s="295" t="str">
        <f>+'[2]Egresos Programa III General'!B80</f>
        <v>Plan Operación Mantenimiento y Desarrollo del Sistema de Recolección y Tratamiemto de Aguas Residuales</v>
      </c>
      <c r="H365" s="295"/>
      <c r="I365" s="457">
        <f>+'[2]Egresos Programa III General'!C80</f>
        <v>191349286.55000001</v>
      </c>
      <c r="J365" s="301"/>
      <c r="K365" s="302"/>
      <c r="L365" s="303"/>
      <c r="N365" s="300"/>
      <c r="O365" s="236"/>
    </row>
    <row r="366" spans="1:17" x14ac:dyDescent="0.2">
      <c r="A366" s="221"/>
      <c r="B366" s="309"/>
      <c r="C366" s="240"/>
      <c r="D366" s="209"/>
      <c r="E366" s="209"/>
      <c r="F366" s="209"/>
      <c r="G366" s="295" t="s">
        <v>358</v>
      </c>
      <c r="H366" s="295"/>
      <c r="I366" s="457"/>
      <c r="J366" s="301"/>
      <c r="K366" s="302"/>
      <c r="L366" s="303"/>
      <c r="N366" s="300"/>
      <c r="O366" s="236"/>
    </row>
    <row r="367" spans="1:17" x14ac:dyDescent="0.2">
      <c r="A367" s="221"/>
      <c r="B367" s="309"/>
      <c r="C367" s="240"/>
      <c r="D367" s="209"/>
      <c r="E367" s="209"/>
      <c r="F367" s="209"/>
      <c r="G367" s="241" t="s">
        <v>10</v>
      </c>
      <c r="H367" s="295"/>
      <c r="I367" s="457">
        <v>121249286.55</v>
      </c>
      <c r="J367" s="301">
        <f>+I367</f>
        <v>121249286.55</v>
      </c>
      <c r="K367" s="302"/>
      <c r="L367" s="303"/>
      <c r="N367" s="300"/>
      <c r="O367" s="236"/>
    </row>
    <row r="368" spans="1:17" x14ac:dyDescent="0.2">
      <c r="A368" s="221"/>
      <c r="B368" s="309"/>
      <c r="C368" s="240"/>
      <c r="D368" s="209"/>
      <c r="E368" s="209"/>
      <c r="F368" s="209"/>
      <c r="G368" s="241" t="s">
        <v>11</v>
      </c>
      <c r="H368" s="295"/>
      <c r="I368" s="457">
        <v>53600000</v>
      </c>
      <c r="J368" s="301">
        <f>+I368</f>
        <v>53600000</v>
      </c>
      <c r="K368" s="302"/>
      <c r="L368" s="303"/>
      <c r="N368" s="300"/>
      <c r="O368" s="236"/>
    </row>
    <row r="369" spans="1:17" x14ac:dyDescent="0.2">
      <c r="A369" s="221"/>
      <c r="B369" s="309"/>
      <c r="C369" s="240"/>
      <c r="D369" s="209"/>
      <c r="E369" s="209"/>
      <c r="F369" s="209"/>
      <c r="G369" s="241" t="s">
        <v>181</v>
      </c>
      <c r="H369" s="295"/>
      <c r="I369" s="457">
        <v>16500000</v>
      </c>
      <c r="J369" s="301"/>
      <c r="K369" s="302">
        <f>+I369</f>
        <v>16500000</v>
      </c>
      <c r="L369" s="303"/>
      <c r="N369" s="300"/>
      <c r="O369" s="236"/>
    </row>
    <row r="370" spans="1:17" ht="13.5" thickBot="1" x14ac:dyDescent="0.25">
      <c r="A370" s="221"/>
      <c r="B370" s="309"/>
      <c r="C370" s="240"/>
      <c r="D370" s="209"/>
      <c r="E370" s="209"/>
      <c r="F370" s="209"/>
      <c r="G370" s="295"/>
      <c r="H370" s="295"/>
      <c r="I370" s="457"/>
      <c r="J370" s="301"/>
      <c r="K370" s="302"/>
      <c r="L370" s="303"/>
      <c r="N370" s="300"/>
      <c r="O370" s="236"/>
    </row>
    <row r="371" spans="1:17" s="239" customFormat="1" ht="12" customHeight="1" thickBot="1" x14ac:dyDescent="0.25">
      <c r="A371" s="323" t="s">
        <v>180</v>
      </c>
      <c r="B371" s="324"/>
      <c r="C371" s="325">
        <f>SUM(C355:C365)</f>
        <v>840000000</v>
      </c>
      <c r="D371" s="326"/>
      <c r="E371" s="326"/>
      <c r="F371" s="326"/>
      <c r="G371" s="327"/>
      <c r="H371" s="327"/>
      <c r="I371" s="341">
        <f>SUM(I356:I370)/2</f>
        <v>840000000.00225341</v>
      </c>
      <c r="J371" s="342"/>
      <c r="K371" s="343"/>
      <c r="L371" s="344"/>
      <c r="M371" s="345"/>
      <c r="N371" s="333">
        <f>+C371-I371</f>
        <v>-2.253413200378418E-3</v>
      </c>
      <c r="O371" s="345"/>
      <c r="P371" s="334"/>
      <c r="Q371" s="335"/>
    </row>
    <row r="372" spans="1:17" ht="12" customHeight="1" x14ac:dyDescent="0.2">
      <c r="A372" s="432"/>
      <c r="B372" s="395"/>
      <c r="C372" s="394"/>
      <c r="D372" s="209"/>
      <c r="E372" s="209"/>
      <c r="F372" s="209"/>
      <c r="G372" s="241"/>
      <c r="H372" s="241"/>
      <c r="I372" s="300"/>
      <c r="J372" s="301"/>
      <c r="K372" s="302"/>
      <c r="L372" s="303"/>
      <c r="N372" s="300"/>
      <c r="O372" s="236"/>
    </row>
    <row r="373" spans="1:17" ht="12" customHeight="1" x14ac:dyDescent="0.2">
      <c r="A373" s="221" t="str">
        <f>+'[1]Clasific. Económica de Ingr (3)'!A68</f>
        <v>1.3.1.2.05.04.2.0.000</v>
      </c>
      <c r="B373" s="209" t="s">
        <v>247</v>
      </c>
      <c r="C373" s="240">
        <f>SUM('[1]Clasific. Económica de Ingr (3)'!C62)</f>
        <v>875000000</v>
      </c>
      <c r="D373" s="209"/>
      <c r="E373" s="209"/>
      <c r="F373" s="209"/>
      <c r="G373" s="241"/>
      <c r="H373" s="241"/>
      <c r="I373" s="300"/>
      <c r="J373" s="301"/>
      <c r="K373" s="302"/>
      <c r="L373" s="303"/>
      <c r="N373" s="300"/>
      <c r="O373" s="236"/>
    </row>
    <row r="374" spans="1:17" x14ac:dyDescent="0.2">
      <c r="A374" s="221"/>
      <c r="B374" s="209"/>
      <c r="C374" s="240"/>
      <c r="D374" s="209" t="s">
        <v>8</v>
      </c>
      <c r="E374" s="209" t="s">
        <v>184</v>
      </c>
      <c r="F374" s="209" t="s">
        <v>209</v>
      </c>
      <c r="G374" s="241" t="s">
        <v>236</v>
      </c>
      <c r="H374" s="241"/>
      <c r="I374" s="312">
        <f>+C373*10%</f>
        <v>87500000</v>
      </c>
      <c r="J374" s="434"/>
      <c r="K374" s="435"/>
      <c r="L374" s="436"/>
      <c r="M374" s="211"/>
      <c r="N374" s="300"/>
      <c r="O374" s="236"/>
    </row>
    <row r="375" spans="1:17" x14ac:dyDescent="0.2">
      <c r="A375" s="221"/>
      <c r="B375" s="209"/>
      <c r="C375" s="240"/>
      <c r="D375" s="209"/>
      <c r="E375" s="209"/>
      <c r="F375" s="209"/>
      <c r="G375" s="241" t="s">
        <v>9</v>
      </c>
      <c r="H375" s="241"/>
      <c r="I375" s="237">
        <v>87500000</v>
      </c>
      <c r="J375" s="434">
        <f>+I375</f>
        <v>87500000</v>
      </c>
      <c r="K375" s="435"/>
      <c r="L375" s="436"/>
      <c r="M375" s="211"/>
      <c r="N375" s="300"/>
      <c r="O375" s="236"/>
    </row>
    <row r="376" spans="1:17" x14ac:dyDescent="0.2">
      <c r="A376" s="221"/>
      <c r="B376" s="209"/>
      <c r="C376" s="240"/>
      <c r="D376" s="209"/>
      <c r="E376" s="209"/>
      <c r="F376" s="209"/>
      <c r="G376" s="241"/>
      <c r="H376" s="241"/>
      <c r="I376" s="237"/>
      <c r="J376" s="434"/>
      <c r="K376" s="435"/>
      <c r="L376" s="436"/>
      <c r="M376" s="211"/>
      <c r="N376" s="300"/>
      <c r="O376" s="236"/>
    </row>
    <row r="377" spans="1:17" x14ac:dyDescent="0.2">
      <c r="A377" s="221"/>
      <c r="B377" s="209"/>
      <c r="C377" s="240"/>
      <c r="D377" s="209" t="s">
        <v>19</v>
      </c>
      <c r="E377" s="209">
        <v>30</v>
      </c>
      <c r="F377" s="209"/>
      <c r="G377" s="241" t="str">
        <f>+'[2]Egresos Programa II General'!B43</f>
        <v>Alcantarillado Pluvial</v>
      </c>
      <c r="H377" s="241"/>
      <c r="I377" s="312">
        <f>'[2]Egresos Programa II General'!C43-I611-I111</f>
        <v>787499999.99513841</v>
      </c>
      <c r="J377" s="434"/>
      <c r="K377" s="435"/>
      <c r="L377" s="436"/>
      <c r="M377" s="211"/>
      <c r="N377" s="237"/>
      <c r="O377" s="246">
        <f>+I377+I611+I111+I632</f>
        <v>1087499999.9951384</v>
      </c>
    </row>
    <row r="378" spans="1:17" x14ac:dyDescent="0.2">
      <c r="A378" s="221"/>
      <c r="B378" s="209"/>
      <c r="C378" s="240"/>
      <c r="D378" s="209"/>
      <c r="E378" s="209"/>
      <c r="F378" s="209"/>
      <c r="G378" s="241" t="s">
        <v>9</v>
      </c>
      <c r="H378" s="241"/>
      <c r="I378" s="237">
        <v>312243712.68000001</v>
      </c>
      <c r="J378" s="434">
        <f>+I378</f>
        <v>312243712.68000001</v>
      </c>
      <c r="K378" s="435"/>
      <c r="L378" s="436"/>
      <c r="M378" s="211"/>
      <c r="N378" s="237"/>
      <c r="O378" s="246"/>
    </row>
    <row r="379" spans="1:17" x14ac:dyDescent="0.2">
      <c r="A379" s="221"/>
      <c r="B379" s="209"/>
      <c r="C379" s="240"/>
      <c r="D379" s="209"/>
      <c r="E379" s="209"/>
      <c r="F379" s="209"/>
      <c r="G379" s="241" t="s">
        <v>360</v>
      </c>
      <c r="H379" s="241"/>
      <c r="I379" s="237">
        <v>195351930.03999999</v>
      </c>
      <c r="J379" s="434">
        <f>+I379</f>
        <v>195351930.03999999</v>
      </c>
      <c r="K379" s="435"/>
      <c r="L379" s="436"/>
      <c r="M379" s="211"/>
      <c r="N379" s="237"/>
      <c r="O379" s="246"/>
    </row>
    <row r="380" spans="1:17" x14ac:dyDescent="0.2">
      <c r="A380" s="221"/>
      <c r="B380" s="209"/>
      <c r="C380" s="240"/>
      <c r="D380" s="209"/>
      <c r="E380" s="209"/>
      <c r="F380" s="209"/>
      <c r="G380" s="241" t="s">
        <v>11</v>
      </c>
      <c r="H380" s="241"/>
      <c r="I380" s="237">
        <v>113051966.34</v>
      </c>
      <c r="J380" s="434">
        <f>+I380</f>
        <v>113051966.34</v>
      </c>
      <c r="K380" s="435"/>
      <c r="L380" s="436"/>
      <c r="M380" s="211"/>
      <c r="N380" s="237"/>
      <c r="O380" s="246"/>
    </row>
    <row r="381" spans="1:17" x14ac:dyDescent="0.2">
      <c r="A381" s="221"/>
      <c r="B381" s="209"/>
      <c r="C381" s="240"/>
      <c r="D381" s="209"/>
      <c r="E381" s="209"/>
      <c r="F381" s="209"/>
      <c r="G381" s="241" t="s">
        <v>201</v>
      </c>
      <c r="H381" s="241"/>
      <c r="I381" s="237">
        <v>4618134.1100000003</v>
      </c>
      <c r="J381" s="434">
        <v>4618134.1100000003</v>
      </c>
      <c r="K381" s="435"/>
      <c r="L381" s="436"/>
      <c r="M381" s="211"/>
      <c r="N381" s="237"/>
      <c r="O381" s="246"/>
    </row>
    <row r="382" spans="1:17" x14ac:dyDescent="0.2">
      <c r="A382" s="221"/>
      <c r="B382" s="209"/>
      <c r="C382" s="240"/>
      <c r="D382" s="209"/>
      <c r="E382" s="209"/>
      <c r="F382" s="209"/>
      <c r="G382" s="241" t="s">
        <v>181</v>
      </c>
      <c r="H382" s="241"/>
      <c r="I382" s="237">
        <v>12500000</v>
      </c>
      <c r="J382" s="434"/>
      <c r="K382" s="435">
        <f>+I382</f>
        <v>12500000</v>
      </c>
      <c r="L382" s="436"/>
      <c r="M382" s="211"/>
      <c r="N382" s="237"/>
      <c r="O382" s="246"/>
    </row>
    <row r="383" spans="1:17" x14ac:dyDescent="0.2">
      <c r="A383" s="221"/>
      <c r="B383" s="209"/>
      <c r="C383" s="240"/>
      <c r="D383" s="209"/>
      <c r="E383" s="209"/>
      <c r="F383" s="209"/>
      <c r="G383" s="241" t="s">
        <v>14</v>
      </c>
      <c r="H383" s="241"/>
      <c r="I383" s="237">
        <v>12000000</v>
      </c>
      <c r="J383" s="434">
        <f>+I383</f>
        <v>12000000</v>
      </c>
      <c r="K383" s="435"/>
      <c r="L383" s="436"/>
      <c r="M383" s="211"/>
      <c r="N383" s="237"/>
      <c r="O383" s="246"/>
    </row>
    <row r="384" spans="1:17" ht="13.5" thickBot="1" x14ac:dyDescent="0.25">
      <c r="A384" s="221"/>
      <c r="B384" s="209"/>
      <c r="C384" s="240"/>
      <c r="D384" s="209"/>
      <c r="E384" s="209"/>
      <c r="F384" s="209"/>
      <c r="G384" s="241" t="s">
        <v>200</v>
      </c>
      <c r="H384" s="241"/>
      <c r="I384" s="237">
        <v>137734256.83000001</v>
      </c>
      <c r="J384" s="434"/>
      <c r="K384" s="435"/>
      <c r="L384" s="436">
        <f>+I384</f>
        <v>137734256.83000001</v>
      </c>
      <c r="M384" s="211"/>
      <c r="N384" s="237"/>
      <c r="O384" s="246"/>
    </row>
    <row r="385" spans="1:17" s="239" customFormat="1" ht="13.5" thickBot="1" x14ac:dyDescent="0.25">
      <c r="A385" s="323" t="s">
        <v>180</v>
      </c>
      <c r="B385" s="324"/>
      <c r="C385" s="341">
        <f>SUM(C373:C377)</f>
        <v>875000000</v>
      </c>
      <c r="D385" s="326"/>
      <c r="E385" s="326"/>
      <c r="F385" s="326"/>
      <c r="G385" s="327"/>
      <c r="H385" s="327"/>
      <c r="I385" s="341">
        <f>SUM(I374:I384)/2</f>
        <v>874999999.99756908</v>
      </c>
      <c r="J385" s="342"/>
      <c r="K385" s="343"/>
      <c r="L385" s="344"/>
      <c r="M385" s="345"/>
      <c r="N385" s="333">
        <f>+C385-I385</f>
        <v>2.4309158325195313E-3</v>
      </c>
      <c r="O385" s="345"/>
      <c r="P385" s="334"/>
      <c r="Q385" s="335"/>
    </row>
    <row r="386" spans="1:17" x14ac:dyDescent="0.2">
      <c r="A386" s="221"/>
      <c r="B386" s="209"/>
      <c r="C386" s="240"/>
      <c r="D386" s="209"/>
      <c r="E386" s="209"/>
      <c r="F386" s="209"/>
      <c r="G386" s="241"/>
      <c r="H386" s="241"/>
      <c r="I386" s="242"/>
      <c r="J386" s="243"/>
      <c r="K386" s="244"/>
      <c r="L386" s="245"/>
      <c r="M386" s="246"/>
      <c r="N386" s="242"/>
      <c r="O386" s="246"/>
    </row>
    <row r="387" spans="1:17" ht="25.5" x14ac:dyDescent="0.2">
      <c r="A387" s="221" t="str">
        <f>+'[1]Clasific. Económica de Ingr (3)'!A64</f>
        <v>1.3.1.2.05.02.1.0.000</v>
      </c>
      <c r="B387" s="458" t="s">
        <v>246</v>
      </c>
      <c r="C387" s="240">
        <f>+'[1]Clasific. Económica de Ingr (3)'!C63</f>
        <v>180000000</v>
      </c>
      <c r="D387" s="209"/>
      <c r="E387" s="209"/>
      <c r="F387" s="209"/>
      <c r="G387" s="241"/>
      <c r="H387" s="241"/>
      <c r="I387" s="300"/>
      <c r="J387" s="301"/>
      <c r="K387" s="302"/>
      <c r="L387" s="303"/>
      <c r="N387" s="300"/>
      <c r="O387" s="236"/>
    </row>
    <row r="388" spans="1:17" ht="24.75" customHeight="1" x14ac:dyDescent="0.2">
      <c r="A388" s="221"/>
      <c r="B388" s="209"/>
      <c r="C388" s="240"/>
      <c r="D388" s="209" t="s">
        <v>8</v>
      </c>
      <c r="E388" s="209" t="s">
        <v>184</v>
      </c>
      <c r="F388" s="209" t="s">
        <v>209</v>
      </c>
      <c r="G388" s="241" t="s">
        <v>236</v>
      </c>
      <c r="H388" s="241"/>
      <c r="I388" s="312">
        <f>+'[2]INGRESOS LIBRES DETALLE Nº17'!H63</f>
        <v>18000000</v>
      </c>
      <c r="J388" s="434"/>
      <c r="K388" s="435"/>
      <c r="L388" s="436"/>
      <c r="M388" s="211"/>
      <c r="N388" s="300"/>
      <c r="O388" s="236"/>
    </row>
    <row r="389" spans="1:17" ht="24.75" customHeight="1" x14ac:dyDescent="0.2">
      <c r="A389" s="221"/>
      <c r="B389" s="209"/>
      <c r="C389" s="240"/>
      <c r="D389" s="209"/>
      <c r="E389" s="209"/>
      <c r="F389" s="209"/>
      <c r="G389" s="241" t="s">
        <v>9</v>
      </c>
      <c r="H389" s="241"/>
      <c r="I389" s="237">
        <v>18000000</v>
      </c>
      <c r="J389" s="434">
        <f>+I389</f>
        <v>18000000</v>
      </c>
      <c r="K389" s="435"/>
      <c r="L389" s="436"/>
      <c r="M389" s="211"/>
      <c r="N389" s="300"/>
      <c r="O389" s="236"/>
    </row>
    <row r="390" spans="1:17" ht="24.75" customHeight="1" x14ac:dyDescent="0.2">
      <c r="A390" s="221"/>
      <c r="B390" s="209"/>
      <c r="C390" s="240"/>
      <c r="D390" s="209"/>
      <c r="E390" s="209"/>
      <c r="F390" s="209"/>
      <c r="G390" s="241"/>
      <c r="H390" s="241"/>
      <c r="I390" s="237"/>
      <c r="J390" s="434"/>
      <c r="K390" s="435"/>
      <c r="L390" s="436"/>
      <c r="M390" s="211"/>
      <c r="N390" s="300"/>
      <c r="O390" s="236"/>
    </row>
    <row r="391" spans="1:17" ht="13.5" thickBot="1" x14ac:dyDescent="0.25">
      <c r="A391" s="271"/>
      <c r="B391" s="459"/>
      <c r="C391" s="273"/>
      <c r="D391" s="272" t="s">
        <v>19</v>
      </c>
      <c r="E391" s="272" t="s">
        <v>183</v>
      </c>
      <c r="F391" s="272" t="s">
        <v>209</v>
      </c>
      <c r="G391" s="274" t="s">
        <v>208</v>
      </c>
      <c r="H391" s="274"/>
      <c r="I391" s="442">
        <v>162000000</v>
      </c>
      <c r="J391" s="460"/>
      <c r="K391" s="461"/>
      <c r="L391" s="462"/>
      <c r="M391" s="463"/>
      <c r="N391" s="442"/>
      <c r="O391" s="236"/>
    </row>
    <row r="392" spans="1:17" x14ac:dyDescent="0.2">
      <c r="A392" s="286"/>
      <c r="B392" s="464"/>
      <c r="C392" s="287"/>
      <c r="D392" s="207"/>
      <c r="E392" s="207"/>
      <c r="F392" s="207"/>
      <c r="G392" s="231" t="s">
        <v>181</v>
      </c>
      <c r="H392" s="231"/>
      <c r="I392" s="232">
        <v>85474822.75999999</v>
      </c>
      <c r="J392" s="233"/>
      <c r="K392" s="234">
        <f>+I392</f>
        <v>85474822.75999999</v>
      </c>
      <c r="L392" s="235"/>
      <c r="M392" s="465"/>
      <c r="N392" s="232"/>
      <c r="O392" s="236"/>
    </row>
    <row r="393" spans="1:17" x14ac:dyDescent="0.2">
      <c r="A393" s="221"/>
      <c r="B393" s="309"/>
      <c r="C393" s="240"/>
      <c r="D393" s="209"/>
      <c r="E393" s="209"/>
      <c r="F393" s="209"/>
      <c r="G393" s="241" t="s">
        <v>14</v>
      </c>
      <c r="H393" s="241"/>
      <c r="I393" s="300">
        <v>76525177.239999995</v>
      </c>
      <c r="J393" s="301">
        <f>+I393</f>
        <v>76525177.239999995</v>
      </c>
      <c r="K393" s="302"/>
      <c r="L393" s="303"/>
      <c r="N393" s="300"/>
      <c r="O393" s="236"/>
    </row>
    <row r="394" spans="1:17" ht="13.5" thickBot="1" x14ac:dyDescent="0.25">
      <c r="A394" s="221"/>
      <c r="B394" s="209"/>
      <c r="C394" s="240"/>
      <c r="D394" s="209"/>
      <c r="E394" s="209"/>
      <c r="F394" s="209"/>
      <c r="G394" s="258"/>
      <c r="H394" s="258"/>
      <c r="I394" s="300"/>
      <c r="J394" s="301"/>
      <c r="K394" s="302"/>
      <c r="L394" s="303"/>
      <c r="M394" s="236">
        <f>+N395*2</f>
        <v>0</v>
      </c>
      <c r="N394" s="300"/>
      <c r="O394" s="236"/>
      <c r="P394" s="210" t="e">
        <f>+#REF!+#REF!+I394+20408580</f>
        <v>#REF!</v>
      </c>
    </row>
    <row r="395" spans="1:17" s="239" customFormat="1" ht="13.5" thickBot="1" x14ac:dyDescent="0.25">
      <c r="A395" s="323" t="s">
        <v>180</v>
      </c>
      <c r="B395" s="324"/>
      <c r="C395" s="325">
        <f>SUM(C387:C391)</f>
        <v>180000000</v>
      </c>
      <c r="D395" s="326"/>
      <c r="E395" s="326"/>
      <c r="F395" s="326"/>
      <c r="G395" s="327"/>
      <c r="H395" s="327"/>
      <c r="I395" s="341">
        <f>SUM(I387:I394)/2</f>
        <v>180000000</v>
      </c>
      <c r="J395" s="342"/>
      <c r="K395" s="343"/>
      <c r="L395" s="344"/>
      <c r="M395" s="345"/>
      <c r="N395" s="333">
        <f>+C395-I395</f>
        <v>0</v>
      </c>
      <c r="O395" s="345"/>
      <c r="P395" s="334"/>
      <c r="Q395" s="335"/>
    </row>
    <row r="396" spans="1:17" x14ac:dyDescent="0.2">
      <c r="A396" s="432"/>
      <c r="B396" s="395"/>
      <c r="C396" s="394"/>
      <c r="D396" s="209"/>
      <c r="E396" s="209"/>
      <c r="F396" s="209"/>
      <c r="G396" s="241"/>
      <c r="H396" s="241"/>
      <c r="I396" s="300"/>
      <c r="J396" s="301"/>
      <c r="K396" s="302"/>
      <c r="L396" s="303"/>
      <c r="N396" s="300"/>
      <c r="O396" s="236"/>
    </row>
    <row r="397" spans="1:17" x14ac:dyDescent="0.2">
      <c r="A397" s="221" t="str">
        <f>+'[1]Clasific. Económica de Ingr (3)'!A67</f>
        <v>1.3.1.2.05.04.1.0.000</v>
      </c>
      <c r="B397" s="395" t="s">
        <v>245</v>
      </c>
      <c r="C397" s="240">
        <f>SUM('[1]Clasific. Económica de Ingr (3)'!C67)</f>
        <v>3900000000</v>
      </c>
      <c r="D397" s="209"/>
      <c r="E397" s="209"/>
      <c r="F397" s="209"/>
      <c r="G397" s="241"/>
      <c r="H397" s="241"/>
      <c r="I397" s="300"/>
      <c r="J397" s="301"/>
      <c r="K397" s="302"/>
      <c r="L397" s="303"/>
      <c r="N397" s="300"/>
      <c r="O397" s="236"/>
    </row>
    <row r="398" spans="1:17" x14ac:dyDescent="0.2">
      <c r="A398" s="221"/>
      <c r="B398" s="209"/>
      <c r="C398" s="240"/>
      <c r="D398" s="209" t="s">
        <v>8</v>
      </c>
      <c r="E398" s="209" t="s">
        <v>184</v>
      </c>
      <c r="F398" s="209" t="s">
        <v>209</v>
      </c>
      <c r="G398" s="241" t="s">
        <v>236</v>
      </c>
      <c r="H398" s="241"/>
      <c r="I398" s="312">
        <f>+C397*10%</f>
        <v>390000000</v>
      </c>
      <c r="J398" s="434"/>
      <c r="K398" s="435"/>
      <c r="L398" s="436"/>
      <c r="M398" s="211"/>
      <c r="N398" s="300"/>
      <c r="O398" s="236"/>
    </row>
    <row r="399" spans="1:17" x14ac:dyDescent="0.2">
      <c r="A399" s="221"/>
      <c r="B399" s="209"/>
      <c r="C399" s="240"/>
      <c r="D399" s="209"/>
      <c r="E399" s="209"/>
      <c r="F399" s="209"/>
      <c r="G399" s="241" t="s">
        <v>9</v>
      </c>
      <c r="H399" s="241"/>
      <c r="I399" s="237">
        <v>390000000</v>
      </c>
      <c r="J399" s="434">
        <f>+I399</f>
        <v>390000000</v>
      </c>
      <c r="K399" s="435"/>
      <c r="L399" s="436"/>
      <c r="M399" s="211"/>
      <c r="N399" s="300"/>
      <c r="O399" s="236"/>
    </row>
    <row r="400" spans="1:17" x14ac:dyDescent="0.2">
      <c r="A400" s="221"/>
      <c r="B400" s="209"/>
      <c r="C400" s="240"/>
      <c r="D400" s="209"/>
      <c r="E400" s="209"/>
      <c r="F400" s="209"/>
      <c r="G400" s="241"/>
      <c r="H400" s="241"/>
      <c r="I400" s="237"/>
      <c r="J400" s="434"/>
      <c r="K400" s="435"/>
      <c r="L400" s="436"/>
      <c r="M400" s="211"/>
      <c r="N400" s="300"/>
      <c r="O400" s="236"/>
    </row>
    <row r="401" spans="1:16" x14ac:dyDescent="0.2">
      <c r="A401" s="221"/>
      <c r="B401" s="209"/>
      <c r="C401" s="240"/>
      <c r="D401" s="209" t="s">
        <v>19</v>
      </c>
      <c r="E401" s="209" t="s">
        <v>185</v>
      </c>
      <c r="F401" s="209" t="s">
        <v>209</v>
      </c>
      <c r="G401" s="241" t="str">
        <f>+'[2]Egresos Programa II General'!B13</f>
        <v>Recolección de Basuras</v>
      </c>
      <c r="H401" s="241"/>
      <c r="I401" s="237">
        <f>+'[2]Egresos Programa II General'!C13-I27-I663</f>
        <v>3117778663.041574</v>
      </c>
      <c r="J401" s="434"/>
      <c r="K401" s="435"/>
      <c r="L401" s="436"/>
      <c r="M401" s="211"/>
      <c r="N401" s="300"/>
      <c r="O401" s="236"/>
      <c r="P401" s="210">
        <f>+C397-I401</f>
        <v>782221336.958426</v>
      </c>
    </row>
    <row r="402" spans="1:16" x14ac:dyDescent="0.2">
      <c r="A402" s="221"/>
      <c r="B402" s="209"/>
      <c r="C402" s="240"/>
      <c r="D402" s="209"/>
      <c r="E402" s="209"/>
      <c r="F402" s="209"/>
      <c r="G402" s="241" t="s">
        <v>9</v>
      </c>
      <c r="H402" s="241"/>
      <c r="I402" s="237">
        <v>294012931.41000003</v>
      </c>
      <c r="J402" s="434">
        <f>+I402</f>
        <v>294012931.41000003</v>
      </c>
      <c r="K402" s="435"/>
      <c r="L402" s="436"/>
      <c r="M402" s="211"/>
      <c r="N402" s="300"/>
      <c r="O402" s="236"/>
    </row>
    <row r="403" spans="1:16" x14ac:dyDescent="0.2">
      <c r="A403" s="221"/>
      <c r="B403" s="209"/>
      <c r="C403" s="240"/>
      <c r="D403" s="209"/>
      <c r="E403" s="209"/>
      <c r="F403" s="209"/>
      <c r="G403" s="241" t="s">
        <v>10</v>
      </c>
      <c r="H403" s="241"/>
      <c r="I403" s="237">
        <f>3395337948.24-598000000</f>
        <v>2797337948.2399998</v>
      </c>
      <c r="J403" s="434">
        <f>+I403</f>
        <v>2797337948.2399998</v>
      </c>
      <c r="K403" s="435"/>
      <c r="L403" s="436"/>
      <c r="M403" s="211"/>
      <c r="N403" s="300"/>
      <c r="O403" s="236"/>
    </row>
    <row r="404" spans="1:16" x14ac:dyDescent="0.2">
      <c r="A404" s="221"/>
      <c r="B404" s="209"/>
      <c r="C404" s="240"/>
      <c r="D404" s="209"/>
      <c r="E404" s="209"/>
      <c r="F404" s="209"/>
      <c r="G404" s="241" t="s">
        <v>11</v>
      </c>
      <c r="H404" s="241"/>
      <c r="I404" s="237">
        <v>13100000</v>
      </c>
      <c r="J404" s="434">
        <f>+I404</f>
        <v>13100000</v>
      </c>
      <c r="K404" s="435"/>
      <c r="L404" s="436"/>
      <c r="M404" s="211"/>
      <c r="N404" s="300"/>
      <c r="O404" s="236"/>
    </row>
    <row r="405" spans="1:16" x14ac:dyDescent="0.2">
      <c r="A405" s="221"/>
      <c r="B405" s="209"/>
      <c r="C405" s="240"/>
      <c r="D405" s="209"/>
      <c r="E405" s="209"/>
      <c r="F405" s="209"/>
      <c r="G405" s="241" t="s">
        <v>181</v>
      </c>
      <c r="H405" s="241"/>
      <c r="I405" s="237">
        <v>5827783.3899999997</v>
      </c>
      <c r="J405" s="434"/>
      <c r="K405" s="435">
        <f>+I405</f>
        <v>5827783.3899999997</v>
      </c>
      <c r="L405" s="436"/>
      <c r="M405" s="211"/>
      <c r="N405" s="300"/>
      <c r="O405" s="236"/>
    </row>
    <row r="406" spans="1:16" x14ac:dyDescent="0.2">
      <c r="A406" s="221"/>
      <c r="B406" s="209"/>
      <c r="C406" s="240"/>
      <c r="D406" s="209"/>
      <c r="E406" s="209"/>
      <c r="F406" s="209"/>
      <c r="G406" s="241" t="s">
        <v>14</v>
      </c>
      <c r="H406" s="241"/>
      <c r="I406" s="237">
        <v>7500000</v>
      </c>
      <c r="J406" s="434">
        <f>I406</f>
        <v>7500000</v>
      </c>
      <c r="K406" s="435"/>
      <c r="L406" s="436"/>
      <c r="M406" s="211"/>
      <c r="N406" s="300"/>
      <c r="O406" s="236"/>
    </row>
    <row r="407" spans="1:16" x14ac:dyDescent="0.2">
      <c r="A407" s="221"/>
      <c r="B407" s="209"/>
      <c r="C407" s="240"/>
      <c r="D407" s="209"/>
      <c r="E407" s="209"/>
      <c r="F407" s="209"/>
      <c r="G407" s="241"/>
      <c r="H407" s="241"/>
      <c r="I407" s="237"/>
      <c r="J407" s="434"/>
      <c r="K407" s="435"/>
      <c r="L407" s="436"/>
      <c r="M407" s="211"/>
      <c r="N407" s="300"/>
      <c r="O407" s="236"/>
    </row>
    <row r="408" spans="1:16" ht="38.25" x14ac:dyDescent="0.2">
      <c r="A408" s="221"/>
      <c r="B408" s="209"/>
      <c r="C408" s="240"/>
      <c r="D408" s="209" t="s">
        <v>18</v>
      </c>
      <c r="E408" s="209" t="s">
        <v>183</v>
      </c>
      <c r="F408" s="209" t="s">
        <v>193</v>
      </c>
      <c r="G408" s="311" t="str">
        <f>+'[2]Egresos Programa III General'!B100</f>
        <v>Implementación del Plan Municipal para la Gestión Integral de Residuos Sólidos</v>
      </c>
      <c r="H408" s="311"/>
      <c r="I408" s="457">
        <f>+'[2]Egresos Programa III General'!C100</f>
        <v>392221336.96000004</v>
      </c>
      <c r="J408" s="301"/>
      <c r="K408" s="302"/>
      <c r="L408" s="303"/>
      <c r="N408" s="300"/>
      <c r="O408" s="236"/>
    </row>
    <row r="409" spans="1:16" x14ac:dyDescent="0.2">
      <c r="A409" s="221"/>
      <c r="B409" s="209"/>
      <c r="C409" s="240"/>
      <c r="D409" s="209"/>
      <c r="E409" s="209"/>
      <c r="F409" s="209"/>
      <c r="G409" s="311" t="s">
        <v>358</v>
      </c>
      <c r="H409" s="311"/>
      <c r="I409" s="457"/>
      <c r="J409" s="301"/>
      <c r="K409" s="302"/>
      <c r="L409" s="303"/>
      <c r="N409" s="300"/>
      <c r="O409" s="236"/>
    </row>
    <row r="410" spans="1:16" x14ac:dyDescent="0.2">
      <c r="A410" s="221"/>
      <c r="B410" s="209"/>
      <c r="C410" s="240"/>
      <c r="D410" s="209"/>
      <c r="E410" s="209"/>
      <c r="F410" s="209"/>
      <c r="G410" s="311" t="s">
        <v>10</v>
      </c>
      <c r="H410" s="311"/>
      <c r="I410" s="300">
        <v>392221336.95999998</v>
      </c>
      <c r="J410" s="301">
        <f>+I410</f>
        <v>392221336.95999998</v>
      </c>
      <c r="K410" s="302"/>
      <c r="L410" s="303"/>
      <c r="N410" s="300"/>
      <c r="O410" s="236"/>
    </row>
    <row r="411" spans="1:16" x14ac:dyDescent="0.2">
      <c r="A411" s="221"/>
      <c r="B411" s="209"/>
      <c r="C411" s="240"/>
      <c r="D411" s="209"/>
      <c r="E411" s="209"/>
      <c r="F411" s="209"/>
      <c r="G411" s="311"/>
      <c r="H411" s="311"/>
      <c r="I411" s="300"/>
      <c r="J411" s="301"/>
      <c r="K411" s="302"/>
      <c r="L411" s="303"/>
      <c r="N411" s="300"/>
      <c r="O411" s="236"/>
    </row>
    <row r="412" spans="1:16" ht="13.5" thickBot="1" x14ac:dyDescent="0.25">
      <c r="A412" s="221"/>
      <c r="B412" s="209"/>
      <c r="C412" s="240"/>
      <c r="D412" s="209"/>
      <c r="E412" s="209"/>
      <c r="F412" s="209"/>
      <c r="G412" s="311"/>
      <c r="H412" s="311"/>
      <c r="I412" s="300"/>
      <c r="J412" s="301"/>
      <c r="K412" s="302"/>
      <c r="L412" s="303"/>
      <c r="N412" s="300"/>
      <c r="O412" s="236"/>
    </row>
    <row r="413" spans="1:16" ht="13.5" thickBot="1" x14ac:dyDescent="0.25">
      <c r="A413" s="323" t="s">
        <v>180</v>
      </c>
      <c r="B413" s="324"/>
      <c r="C413" s="325">
        <f>SUM(C397:C401)</f>
        <v>3900000000</v>
      </c>
      <c r="D413" s="326"/>
      <c r="E413" s="326"/>
      <c r="F413" s="326"/>
      <c r="G413" s="327"/>
      <c r="H413" s="327"/>
      <c r="I413" s="341">
        <f>SUM(I398:I412)/2</f>
        <v>3900000000.0007873</v>
      </c>
      <c r="J413" s="342"/>
      <c r="K413" s="343"/>
      <c r="L413" s="344"/>
      <c r="M413" s="345"/>
      <c r="N413" s="333">
        <f>+C413-I413</f>
        <v>-7.8725814819335938E-4</v>
      </c>
      <c r="O413" s="345"/>
    </row>
    <row r="414" spans="1:16" x14ac:dyDescent="0.2">
      <c r="A414" s="432"/>
      <c r="B414" s="395"/>
      <c r="C414" s="394"/>
      <c r="D414" s="209"/>
      <c r="E414" s="209"/>
      <c r="F414" s="209"/>
      <c r="G414" s="241"/>
      <c r="H414" s="241"/>
      <c r="I414" s="300"/>
      <c r="J414" s="301"/>
      <c r="K414" s="302"/>
      <c r="L414" s="303"/>
      <c r="N414" s="300"/>
      <c r="O414" s="236"/>
    </row>
    <row r="415" spans="1:16" x14ac:dyDescent="0.2">
      <c r="A415" s="221" t="str">
        <f>+'[1]Clasific. Económica de Ingr (3)'!A68</f>
        <v>1.3.1.2.05.04.2.0.000</v>
      </c>
      <c r="B415" s="395" t="s">
        <v>244</v>
      </c>
      <c r="C415" s="240">
        <f>SUM('[1]Clasific. Económica de Ingr (3)'!C68)</f>
        <v>804853463.96000004</v>
      </c>
      <c r="D415" s="209"/>
      <c r="E415" s="209"/>
      <c r="F415" s="209"/>
      <c r="G415" s="241"/>
      <c r="H415" s="241"/>
      <c r="I415" s="300"/>
      <c r="J415" s="301"/>
      <c r="K415" s="302"/>
      <c r="L415" s="303"/>
      <c r="N415" s="300"/>
      <c r="O415" s="236"/>
    </row>
    <row r="416" spans="1:16" x14ac:dyDescent="0.2">
      <c r="A416" s="221"/>
      <c r="B416" s="395"/>
      <c r="C416" s="240"/>
      <c r="D416" s="209" t="s">
        <v>8</v>
      </c>
      <c r="E416" s="209" t="s">
        <v>184</v>
      </c>
      <c r="F416" s="209" t="s">
        <v>209</v>
      </c>
      <c r="G416" s="241" t="s">
        <v>236</v>
      </c>
      <c r="H416" s="241"/>
      <c r="I416" s="312">
        <f>+C415*10%</f>
        <v>80485346.396000013</v>
      </c>
      <c r="J416" s="434"/>
      <c r="K416" s="435"/>
      <c r="L416" s="436"/>
      <c r="M416" s="211"/>
      <c r="N416" s="300"/>
      <c r="O416" s="236"/>
    </row>
    <row r="417" spans="1:18" x14ac:dyDescent="0.2">
      <c r="A417" s="221"/>
      <c r="B417" s="395"/>
      <c r="C417" s="240"/>
      <c r="D417" s="209"/>
      <c r="E417" s="209"/>
      <c r="F417" s="209"/>
      <c r="G417" s="241" t="s">
        <v>9</v>
      </c>
      <c r="H417" s="241"/>
      <c r="I417" s="237">
        <v>80485346.400000006</v>
      </c>
      <c r="J417" s="434">
        <f>+I417</f>
        <v>80485346.400000006</v>
      </c>
      <c r="K417" s="435"/>
      <c r="L417" s="436"/>
      <c r="M417" s="211"/>
      <c r="N417" s="300"/>
      <c r="O417" s="236"/>
    </row>
    <row r="418" spans="1:18" x14ac:dyDescent="0.2">
      <c r="A418" s="221"/>
      <c r="B418" s="395"/>
      <c r="C418" s="240"/>
      <c r="D418" s="209"/>
      <c r="E418" s="209"/>
      <c r="F418" s="209"/>
      <c r="G418" s="241"/>
      <c r="H418" s="241"/>
      <c r="I418" s="237"/>
      <c r="J418" s="434"/>
      <c r="K418" s="435"/>
      <c r="L418" s="436"/>
      <c r="M418" s="211"/>
      <c r="N418" s="300"/>
      <c r="O418" s="236"/>
    </row>
    <row r="419" spans="1:18" ht="11.25" customHeight="1" x14ac:dyDescent="0.2">
      <c r="A419" s="221"/>
      <c r="B419" s="209"/>
      <c r="C419" s="240"/>
      <c r="D419" s="209" t="s">
        <v>19</v>
      </c>
      <c r="E419" s="209" t="s">
        <v>184</v>
      </c>
      <c r="F419" s="209"/>
      <c r="G419" s="241" t="str">
        <f>+'[2]Egresos Programa II General'!B11</f>
        <v>Aseo de Vías y Sitios Públicos</v>
      </c>
      <c r="H419" s="241"/>
      <c r="I419" s="237">
        <f>+'[2]Egresos Programa II General'!C11-I26</f>
        <v>724368117.56048346</v>
      </c>
      <c r="J419" s="434"/>
      <c r="K419" s="435"/>
      <c r="L419" s="436"/>
      <c r="M419" s="211"/>
      <c r="N419" s="242"/>
      <c r="O419" s="246"/>
      <c r="P419" s="210">
        <f>+C415-I419</f>
        <v>80485346.399516582</v>
      </c>
      <c r="R419" s="254"/>
    </row>
    <row r="420" spans="1:18" ht="11.25" customHeight="1" x14ac:dyDescent="0.2">
      <c r="A420" s="221"/>
      <c r="B420" s="209"/>
      <c r="C420" s="240"/>
      <c r="D420" s="209"/>
      <c r="E420" s="209"/>
      <c r="F420" s="209"/>
      <c r="G420" s="241" t="s">
        <v>9</v>
      </c>
      <c r="H420" s="241"/>
      <c r="I420" s="237">
        <v>259583896.5</v>
      </c>
      <c r="J420" s="434">
        <f>+I420</f>
        <v>259583896.5</v>
      </c>
      <c r="K420" s="435"/>
      <c r="L420" s="436"/>
      <c r="M420" s="211"/>
      <c r="N420" s="242"/>
      <c r="O420" s="246"/>
      <c r="R420" s="254"/>
    </row>
    <row r="421" spans="1:18" ht="11.25" customHeight="1" x14ac:dyDescent="0.2">
      <c r="A421" s="221"/>
      <c r="B421" s="209"/>
      <c r="C421" s="240"/>
      <c r="D421" s="209"/>
      <c r="E421" s="209"/>
      <c r="F421" s="209"/>
      <c r="G421" s="241" t="s">
        <v>361</v>
      </c>
      <c r="H421" s="241"/>
      <c r="I421" s="237">
        <v>426484399.75999999</v>
      </c>
      <c r="J421" s="434">
        <f>+I421</f>
        <v>426484399.75999999</v>
      </c>
      <c r="K421" s="435"/>
      <c r="L421" s="436"/>
      <c r="M421" s="211"/>
      <c r="N421" s="242"/>
      <c r="O421" s="246"/>
      <c r="R421" s="254"/>
    </row>
    <row r="422" spans="1:18" ht="11.25" customHeight="1" x14ac:dyDescent="0.2">
      <c r="A422" s="221"/>
      <c r="B422" s="209"/>
      <c r="C422" s="240"/>
      <c r="D422" s="209"/>
      <c r="E422" s="209"/>
      <c r="F422" s="209"/>
      <c r="G422" s="241" t="s">
        <v>230</v>
      </c>
      <c r="H422" s="241"/>
      <c r="I422" s="237">
        <v>12418000</v>
      </c>
      <c r="J422" s="434">
        <f>+I422</f>
        <v>12418000</v>
      </c>
      <c r="K422" s="435"/>
      <c r="L422" s="436"/>
      <c r="M422" s="211"/>
      <c r="N422" s="242"/>
      <c r="O422" s="246"/>
      <c r="R422" s="254"/>
    </row>
    <row r="423" spans="1:18" ht="11.25" customHeight="1" x14ac:dyDescent="0.2">
      <c r="A423" s="221"/>
      <c r="B423" s="209"/>
      <c r="C423" s="240"/>
      <c r="D423" s="209"/>
      <c r="E423" s="209"/>
      <c r="F423" s="209"/>
      <c r="G423" s="241" t="s">
        <v>181</v>
      </c>
      <c r="H423" s="241"/>
      <c r="I423" s="237">
        <v>1870000</v>
      </c>
      <c r="J423" s="434"/>
      <c r="K423" s="435">
        <f>+I423</f>
        <v>1870000</v>
      </c>
      <c r="L423" s="436"/>
      <c r="M423" s="211"/>
      <c r="N423" s="242"/>
      <c r="O423" s="246"/>
      <c r="R423" s="254"/>
    </row>
    <row r="424" spans="1:18" ht="11.25" customHeight="1" x14ac:dyDescent="0.2">
      <c r="A424" s="221"/>
      <c r="B424" s="209"/>
      <c r="C424" s="240"/>
      <c r="D424" s="209"/>
      <c r="E424" s="209"/>
      <c r="F424" s="209"/>
      <c r="G424" s="241" t="s">
        <v>207</v>
      </c>
      <c r="H424" s="241"/>
      <c r="I424" s="237">
        <v>24011821.300000001</v>
      </c>
      <c r="J424" s="434">
        <f>+I424</f>
        <v>24011821.300000001</v>
      </c>
      <c r="K424" s="435"/>
      <c r="L424" s="436"/>
      <c r="M424" s="211"/>
      <c r="N424" s="242"/>
      <c r="O424" s="246"/>
      <c r="R424" s="254"/>
    </row>
    <row r="425" spans="1:18" ht="11.25" customHeight="1" thickBot="1" x14ac:dyDescent="0.25">
      <c r="A425" s="221"/>
      <c r="B425" s="209"/>
      <c r="C425" s="240"/>
      <c r="D425" s="209"/>
      <c r="E425" s="209"/>
      <c r="F425" s="209"/>
      <c r="G425" s="241"/>
      <c r="H425" s="241"/>
      <c r="I425" s="237"/>
      <c r="J425" s="434"/>
      <c r="K425" s="435"/>
      <c r="L425" s="436"/>
      <c r="M425" s="211"/>
      <c r="N425" s="242"/>
      <c r="O425" s="246"/>
      <c r="R425" s="254"/>
    </row>
    <row r="426" spans="1:18" s="239" customFormat="1" ht="13.5" thickBot="1" x14ac:dyDescent="0.25">
      <c r="A426" s="323" t="s">
        <v>180</v>
      </c>
      <c r="B426" s="324"/>
      <c r="C426" s="325">
        <f>SUM(C415:C419)</f>
        <v>804853463.96000004</v>
      </c>
      <c r="D426" s="326"/>
      <c r="E426" s="326"/>
      <c r="F426" s="326"/>
      <c r="G426" s="327"/>
      <c r="H426" s="327"/>
      <c r="I426" s="341">
        <f>SUM(I415:I424)/2</f>
        <v>804853463.9582417</v>
      </c>
      <c r="J426" s="342"/>
      <c r="K426" s="343"/>
      <c r="L426" s="344"/>
      <c r="M426" s="345"/>
      <c r="N426" s="333">
        <f>+C426-I426</f>
        <v>1.7583370208740234E-3</v>
      </c>
      <c r="O426" s="345"/>
      <c r="P426" s="334"/>
      <c r="Q426" s="335"/>
    </row>
    <row r="427" spans="1:18" x14ac:dyDescent="0.2">
      <c r="A427" s="432"/>
      <c r="B427" s="395"/>
      <c r="C427" s="394"/>
      <c r="D427" s="209"/>
      <c r="E427" s="209"/>
      <c r="F427" s="209"/>
      <c r="G427" s="241"/>
      <c r="H427" s="241"/>
      <c r="I427" s="300"/>
      <c r="J427" s="301"/>
      <c r="K427" s="302"/>
      <c r="L427" s="303"/>
      <c r="N427" s="300"/>
      <c r="O427" s="236"/>
    </row>
    <row r="428" spans="1:18" x14ac:dyDescent="0.2">
      <c r="A428" s="221" t="str">
        <f>+'[1]Clasific. Económica de Ingr (3)'!A69</f>
        <v>1.3.1.2.05.04.4.0.000</v>
      </c>
      <c r="B428" s="395" t="s">
        <v>243</v>
      </c>
      <c r="C428" s="240">
        <f>+'[1]Clasific. Económica de Ingr (3)'!C69</f>
        <v>274482213.24000001</v>
      </c>
      <c r="D428" s="209"/>
      <c r="E428" s="209"/>
      <c r="F428" s="209"/>
      <c r="G428" s="241"/>
      <c r="H428" s="241"/>
      <c r="I428" s="300"/>
      <c r="J428" s="301"/>
      <c r="K428" s="302"/>
      <c r="L428" s="303"/>
      <c r="N428" s="300"/>
      <c r="O428" s="236"/>
    </row>
    <row r="429" spans="1:18" x14ac:dyDescent="0.2">
      <c r="A429" s="221"/>
      <c r="B429" s="209"/>
      <c r="C429" s="240"/>
      <c r="D429" s="209" t="s">
        <v>8</v>
      </c>
      <c r="E429" s="209" t="s">
        <v>184</v>
      </c>
      <c r="F429" s="209" t="s">
        <v>209</v>
      </c>
      <c r="G429" s="241" t="s">
        <v>236</v>
      </c>
      <c r="H429" s="241"/>
      <c r="I429" s="312">
        <f>+C428*10%</f>
        <v>27448221.324000001</v>
      </c>
      <c r="J429" s="434"/>
      <c r="K429" s="435"/>
      <c r="L429" s="436"/>
      <c r="M429" s="211"/>
      <c r="N429" s="300"/>
      <c r="O429" s="236"/>
    </row>
    <row r="430" spans="1:18" x14ac:dyDescent="0.2">
      <c r="A430" s="221"/>
      <c r="B430" s="209"/>
      <c r="C430" s="240"/>
      <c r="D430" s="209"/>
      <c r="E430" s="209"/>
      <c r="F430" s="209"/>
      <c r="G430" s="241" t="s">
        <v>9</v>
      </c>
      <c r="H430" s="241"/>
      <c r="I430" s="237">
        <v>27448221.32</v>
      </c>
      <c r="J430" s="434">
        <f>+I430</f>
        <v>27448221.32</v>
      </c>
      <c r="K430" s="435"/>
      <c r="L430" s="436"/>
      <c r="M430" s="211"/>
      <c r="N430" s="300"/>
      <c r="O430" s="236"/>
    </row>
    <row r="431" spans="1:18" x14ac:dyDescent="0.2">
      <c r="A431" s="221"/>
      <c r="B431" s="209"/>
      <c r="C431" s="240"/>
      <c r="D431" s="209"/>
      <c r="E431" s="209"/>
      <c r="F431" s="209"/>
      <c r="G431" s="241"/>
      <c r="H431" s="241"/>
      <c r="I431" s="237"/>
      <c r="J431" s="434"/>
      <c r="K431" s="435"/>
      <c r="L431" s="436"/>
      <c r="M431" s="211"/>
      <c r="N431" s="300"/>
      <c r="O431" s="236"/>
    </row>
    <row r="432" spans="1:18" x14ac:dyDescent="0.2">
      <c r="A432" s="221"/>
      <c r="B432" s="209"/>
      <c r="C432" s="240"/>
      <c r="D432" s="209" t="s">
        <v>19</v>
      </c>
      <c r="E432" s="209" t="s">
        <v>182</v>
      </c>
      <c r="F432" s="209" t="s">
        <v>209</v>
      </c>
      <c r="G432" s="241" t="str">
        <f>+'[2]Egresos Programa II General'!B15</f>
        <v>Parques Obras de Ornato</v>
      </c>
      <c r="H432" s="241"/>
      <c r="I432" s="237">
        <f>+'[2]Egresos Programa II General'!C15-I28</f>
        <v>247033991.91791552</v>
      </c>
      <c r="J432" s="434"/>
      <c r="K432" s="435"/>
      <c r="L432" s="436"/>
      <c r="M432" s="211"/>
      <c r="N432" s="242"/>
      <c r="O432" s="246"/>
      <c r="P432" s="210">
        <f>+I432+I28</f>
        <v>247033991.91791552</v>
      </c>
      <c r="R432" s="254"/>
    </row>
    <row r="433" spans="1:18" x14ac:dyDescent="0.2">
      <c r="A433" s="221"/>
      <c r="B433" s="209"/>
      <c r="C433" s="240"/>
      <c r="D433" s="209"/>
      <c r="E433" s="209"/>
      <c r="F433" s="209"/>
      <c r="G433" s="241" t="s">
        <v>9</v>
      </c>
      <c r="H433" s="241"/>
      <c r="I433" s="237">
        <v>142574302.69999999</v>
      </c>
      <c r="J433" s="434">
        <f>+I433</f>
        <v>142574302.69999999</v>
      </c>
      <c r="K433" s="435"/>
      <c r="L433" s="436"/>
      <c r="M433" s="211"/>
      <c r="N433" s="242"/>
      <c r="O433" s="246"/>
      <c r="R433" s="254"/>
    </row>
    <row r="434" spans="1:18" x14ac:dyDescent="0.2">
      <c r="A434" s="221"/>
      <c r="B434" s="209"/>
      <c r="C434" s="240"/>
      <c r="D434" s="209"/>
      <c r="E434" s="209"/>
      <c r="F434" s="209"/>
      <c r="G434" s="241" t="s">
        <v>361</v>
      </c>
      <c r="H434" s="241"/>
      <c r="I434" s="237">
        <v>91769997.609999999</v>
      </c>
      <c r="J434" s="434">
        <f>+I434</f>
        <v>91769997.609999999</v>
      </c>
      <c r="K434" s="435"/>
      <c r="L434" s="436"/>
      <c r="M434" s="211"/>
      <c r="N434" s="242"/>
      <c r="O434" s="246"/>
      <c r="R434" s="254"/>
    </row>
    <row r="435" spans="1:18" x14ac:dyDescent="0.2">
      <c r="A435" s="221"/>
      <c r="B435" s="209"/>
      <c r="C435" s="240"/>
      <c r="D435" s="209"/>
      <c r="E435" s="209"/>
      <c r="F435" s="209"/>
      <c r="G435" s="241" t="s">
        <v>230</v>
      </c>
      <c r="H435" s="241"/>
      <c r="I435" s="237">
        <v>5689691.6100000003</v>
      </c>
      <c r="J435" s="434">
        <f>+I435</f>
        <v>5689691.6100000003</v>
      </c>
      <c r="K435" s="435"/>
      <c r="L435" s="436"/>
      <c r="M435" s="211"/>
      <c r="N435" s="242"/>
      <c r="O435" s="246"/>
      <c r="R435" s="254"/>
    </row>
    <row r="436" spans="1:18" x14ac:dyDescent="0.2">
      <c r="A436" s="221"/>
      <c r="B436" s="209"/>
      <c r="C436" s="240"/>
      <c r="D436" s="209"/>
      <c r="E436" s="209"/>
      <c r="F436" s="209"/>
      <c r="G436" s="241" t="s">
        <v>242</v>
      </c>
      <c r="H436" s="241"/>
      <c r="I436" s="237">
        <v>2000000</v>
      </c>
      <c r="J436" s="434"/>
      <c r="K436" s="435">
        <f>+I436</f>
        <v>2000000</v>
      </c>
      <c r="L436" s="436"/>
      <c r="M436" s="211"/>
      <c r="N436" s="242"/>
      <c r="O436" s="246"/>
      <c r="R436" s="254"/>
    </row>
    <row r="437" spans="1:18" x14ac:dyDescent="0.2">
      <c r="A437" s="221"/>
      <c r="B437" s="209"/>
      <c r="C437" s="240"/>
      <c r="D437" s="209"/>
      <c r="E437" s="209"/>
      <c r="F437" s="209"/>
      <c r="G437" s="241" t="s">
        <v>207</v>
      </c>
      <c r="H437" s="241"/>
      <c r="I437" s="237">
        <v>5000000</v>
      </c>
      <c r="J437" s="434">
        <f>+I437</f>
        <v>5000000</v>
      </c>
      <c r="K437" s="435"/>
      <c r="L437" s="436"/>
      <c r="M437" s="211"/>
      <c r="N437" s="242"/>
      <c r="O437" s="246"/>
      <c r="R437" s="254"/>
    </row>
    <row r="438" spans="1:18" ht="13.5" thickBot="1" x14ac:dyDescent="0.25">
      <c r="A438" s="221"/>
      <c r="B438" s="209"/>
      <c r="C438" s="240"/>
      <c r="D438" s="209"/>
      <c r="E438" s="209"/>
      <c r="F438" s="209"/>
      <c r="G438" s="241"/>
      <c r="H438" s="241"/>
      <c r="I438" s="237"/>
      <c r="J438" s="434"/>
      <c r="K438" s="435"/>
      <c r="L438" s="436"/>
      <c r="M438" s="211"/>
      <c r="N438" s="242"/>
      <c r="O438" s="246"/>
      <c r="R438" s="254"/>
    </row>
    <row r="439" spans="1:18" ht="29.45" hidden="1" customHeight="1" thickBot="1" x14ac:dyDescent="0.25">
      <c r="A439" s="221"/>
      <c r="B439" s="209"/>
      <c r="C439" s="240"/>
      <c r="D439" s="209" t="s">
        <v>18</v>
      </c>
      <c r="E439" s="209" t="s">
        <v>183</v>
      </c>
      <c r="F439" s="209" t="s">
        <v>241</v>
      </c>
      <c r="G439" s="311" t="str">
        <f>+'[2]Egresos Programa III General'!B104</f>
        <v>Mejoras Infraestructura Parque de la Garita</v>
      </c>
      <c r="H439" s="311"/>
      <c r="I439" s="242">
        <v>0</v>
      </c>
      <c r="J439" s="243"/>
      <c r="K439" s="244"/>
      <c r="L439" s="245"/>
      <c r="M439" s="246"/>
      <c r="N439" s="247"/>
      <c r="O439" s="248"/>
      <c r="P439" s="210">
        <f>+I439+I480</f>
        <v>4500000</v>
      </c>
    </row>
    <row r="440" spans="1:18" s="239" customFormat="1" ht="13.5" thickBot="1" x14ac:dyDescent="0.25">
      <c r="A440" s="323" t="s">
        <v>180</v>
      </c>
      <c r="B440" s="324"/>
      <c r="C440" s="325">
        <f>SUM(C428:C439)</f>
        <v>274482213.24000001</v>
      </c>
      <c r="D440" s="326"/>
      <c r="E440" s="326"/>
      <c r="F440" s="326"/>
      <c r="G440" s="327"/>
      <c r="H440" s="327"/>
      <c r="I440" s="341">
        <f>SUM(I429:I439)/2</f>
        <v>274482213.24095774</v>
      </c>
      <c r="J440" s="342"/>
      <c r="K440" s="343"/>
      <c r="L440" s="344"/>
      <c r="M440" s="345"/>
      <c r="N440" s="333">
        <f>+C440-I440</f>
        <v>-9.5772743225097656E-4</v>
      </c>
      <c r="O440" s="345"/>
      <c r="P440" s="334"/>
      <c r="Q440" s="335"/>
    </row>
    <row r="441" spans="1:18" x14ac:dyDescent="0.2">
      <c r="A441" s="466"/>
      <c r="B441" s="241"/>
      <c r="C441" s="241"/>
      <c r="D441" s="340"/>
      <c r="E441" s="340"/>
      <c r="F441" s="340"/>
      <c r="G441" s="467"/>
      <c r="H441" s="467"/>
      <c r="I441" s="468"/>
      <c r="J441" s="469"/>
      <c r="K441" s="470"/>
      <c r="L441" s="471"/>
      <c r="M441" s="472"/>
      <c r="N441" s="468"/>
      <c r="O441" s="472"/>
    </row>
    <row r="442" spans="1:18" x14ac:dyDescent="0.2">
      <c r="A442" s="221" t="str">
        <f>+'[1]Clasific. Económica de Ingr (3)'!A70</f>
        <v>1.3.1.2.05.04.5.0.000</v>
      </c>
      <c r="B442" s="241" t="s">
        <v>240</v>
      </c>
      <c r="C442" s="240">
        <f>+'[1]Clasific. Económica de Ingr (3)'!C70</f>
        <v>20000000</v>
      </c>
      <c r="D442" s="209" t="s">
        <v>8</v>
      </c>
      <c r="E442" s="209" t="s">
        <v>184</v>
      </c>
      <c r="F442" s="209" t="s">
        <v>209</v>
      </c>
      <c r="G442" s="241" t="s">
        <v>236</v>
      </c>
      <c r="H442" s="241"/>
      <c r="I442" s="312">
        <f>+C442*10%</f>
        <v>2000000</v>
      </c>
      <c r="J442" s="434"/>
      <c r="K442" s="435"/>
      <c r="L442" s="436"/>
      <c r="M442" s="211"/>
      <c r="N442" s="473"/>
      <c r="O442" s="474"/>
    </row>
    <row r="443" spans="1:18" x14ac:dyDescent="0.2">
      <c r="A443" s="221"/>
      <c r="B443" s="241"/>
      <c r="C443" s="240"/>
      <c r="D443" s="209"/>
      <c r="E443" s="209"/>
      <c r="F443" s="209"/>
      <c r="G443" s="241" t="s">
        <v>9</v>
      </c>
      <c r="H443" s="241"/>
      <c r="I443" s="237">
        <v>2000000</v>
      </c>
      <c r="J443" s="434">
        <f>+I443</f>
        <v>2000000</v>
      </c>
      <c r="K443" s="435"/>
      <c r="L443" s="436"/>
      <c r="M443" s="211"/>
      <c r="N443" s="473"/>
      <c r="O443" s="474"/>
    </row>
    <row r="444" spans="1:18" x14ac:dyDescent="0.2">
      <c r="A444" s="221"/>
      <c r="B444" s="241"/>
      <c r="C444" s="240"/>
      <c r="D444" s="209"/>
      <c r="E444" s="209"/>
      <c r="F444" s="209"/>
      <c r="G444" s="241"/>
      <c r="H444" s="241"/>
      <c r="I444" s="237"/>
      <c r="J444" s="434"/>
      <c r="K444" s="435"/>
      <c r="L444" s="436"/>
      <c r="M444" s="211"/>
      <c r="N444" s="473"/>
      <c r="O444" s="474"/>
    </row>
    <row r="445" spans="1:18" x14ac:dyDescent="0.2">
      <c r="A445" s="221"/>
      <c r="B445" s="209"/>
      <c r="C445" s="240"/>
      <c r="D445" s="209" t="s">
        <v>19</v>
      </c>
      <c r="E445" s="209">
        <v>29</v>
      </c>
      <c r="F445" s="209"/>
      <c r="G445" s="241" t="str">
        <f>+'[2]Egresos Programa II General'!B41</f>
        <v>Por incumplimiento de Deberes de los Propietarios BI</v>
      </c>
      <c r="H445" s="241"/>
      <c r="I445" s="457">
        <f>+'[2]Egresos Programa II General'!C41-'Origen y Aplicación (2)'!I110-I536</f>
        <v>17999999.997135371</v>
      </c>
      <c r="J445" s="301"/>
      <c r="K445" s="302"/>
      <c r="L445" s="303"/>
      <c r="N445" s="237"/>
      <c r="O445" s="294">
        <f>+I445+I536</f>
        <v>109325052.54713537</v>
      </c>
    </row>
    <row r="446" spans="1:18" x14ac:dyDescent="0.2">
      <c r="A446" s="221"/>
      <c r="B446" s="209"/>
      <c r="C446" s="240"/>
      <c r="D446" s="209"/>
      <c r="E446" s="209"/>
      <c r="F446" s="209"/>
      <c r="G446" s="241" t="s">
        <v>9</v>
      </c>
      <c r="H446" s="241"/>
      <c r="I446" s="300">
        <v>18000000</v>
      </c>
      <c r="J446" s="301">
        <f>+I446</f>
        <v>18000000</v>
      </c>
      <c r="K446" s="302"/>
      <c r="L446" s="303"/>
      <c r="N446" s="237"/>
      <c r="O446" s="294"/>
    </row>
    <row r="447" spans="1:18" ht="13.5" thickBot="1" x14ac:dyDescent="0.25">
      <c r="A447" s="221"/>
      <c r="B447" s="209"/>
      <c r="C447" s="240"/>
      <c r="D447" s="209"/>
      <c r="E447" s="209"/>
      <c r="F447" s="209"/>
      <c r="G447" s="241"/>
      <c r="H447" s="241"/>
      <c r="I447" s="300"/>
      <c r="J447" s="301"/>
      <c r="K447" s="302"/>
      <c r="L447" s="303"/>
      <c r="N447" s="237"/>
      <c r="O447" s="294"/>
    </row>
    <row r="448" spans="1:18" s="239" customFormat="1" ht="13.5" thickBot="1" x14ac:dyDescent="0.25">
      <c r="A448" s="323" t="s">
        <v>180</v>
      </c>
      <c r="B448" s="324"/>
      <c r="C448" s="325">
        <f>SUM(C442:C445)</f>
        <v>20000000</v>
      </c>
      <c r="D448" s="326"/>
      <c r="E448" s="326"/>
      <c r="F448" s="326"/>
      <c r="G448" s="327"/>
      <c r="H448" s="327"/>
      <c r="I448" s="341">
        <f>SUM(I442:I446)/2</f>
        <v>19999999.998567685</v>
      </c>
      <c r="J448" s="342"/>
      <c r="K448" s="343"/>
      <c r="L448" s="344"/>
      <c r="M448" s="345"/>
      <c r="N448" s="333">
        <f>+C448-I448</f>
        <v>1.4323145151138306E-3</v>
      </c>
      <c r="O448" s="345"/>
      <c r="P448" s="334"/>
      <c r="Q448" s="335"/>
    </row>
    <row r="449" spans="1:17" hidden="1" x14ac:dyDescent="0.2">
      <c r="A449" s="432"/>
      <c r="B449" s="395"/>
      <c r="C449" s="394"/>
      <c r="D449" s="209"/>
      <c r="E449" s="209"/>
      <c r="F449" s="209"/>
      <c r="G449" s="241"/>
      <c r="H449" s="241"/>
      <c r="I449" s="300"/>
      <c r="J449" s="301"/>
      <c r="K449" s="302"/>
      <c r="L449" s="303"/>
      <c r="N449" s="300"/>
      <c r="O449" s="236"/>
    </row>
    <row r="450" spans="1:17" hidden="1" x14ac:dyDescent="0.2">
      <c r="A450" s="221" t="str">
        <f>+'[1]Clasific. Económica de Ingr (3)'!A71</f>
        <v>1.3.1.2.05.09.9.0.000</v>
      </c>
      <c r="B450" s="395" t="str">
        <f>+'[1]Clasific. Económica de Ingr (3)'!B71</f>
        <v>Venta de otros servicios comunitarios</v>
      </c>
      <c r="C450" s="240">
        <f>+'[1]Clasific. Económica de Ingr (3)'!C71</f>
        <v>0</v>
      </c>
      <c r="D450" s="209"/>
      <c r="E450" s="209"/>
      <c r="F450" s="209"/>
      <c r="G450" s="241"/>
      <c r="H450" s="241"/>
      <c r="I450" s="300"/>
      <c r="J450" s="301"/>
      <c r="K450" s="302"/>
      <c r="L450" s="303"/>
      <c r="N450" s="300"/>
      <c r="O450" s="236"/>
    </row>
    <row r="451" spans="1:17" hidden="1" x14ac:dyDescent="0.2">
      <c r="A451" s="221"/>
      <c r="B451" s="209"/>
      <c r="C451" s="240"/>
      <c r="D451" s="209" t="s">
        <v>19</v>
      </c>
      <c r="E451" s="209">
        <v>10</v>
      </c>
      <c r="F451" s="209" t="s">
        <v>209</v>
      </c>
      <c r="G451" s="241" t="str">
        <f>+'[2]Egresos Programa II General'!B23</f>
        <v>Servicios Sociales Complementarios</v>
      </c>
      <c r="H451" s="241"/>
      <c r="I451" s="300">
        <v>0</v>
      </c>
      <c r="J451" s="301"/>
      <c r="K451" s="302"/>
      <c r="L451" s="303"/>
      <c r="N451" s="300"/>
      <c r="O451" s="236"/>
    </row>
    <row r="452" spans="1:17" hidden="1" x14ac:dyDescent="0.2">
      <c r="A452" s="221"/>
      <c r="B452" s="209"/>
      <c r="C452" s="240"/>
      <c r="D452" s="209"/>
      <c r="E452" s="209"/>
      <c r="F452" s="209"/>
      <c r="G452" s="241"/>
      <c r="H452" s="241"/>
      <c r="I452" s="300"/>
      <c r="J452" s="301"/>
      <c r="K452" s="302"/>
      <c r="L452" s="303"/>
      <c r="N452" s="300"/>
      <c r="O452" s="236"/>
    </row>
    <row r="453" spans="1:17" ht="13.5" hidden="1" thickBot="1" x14ac:dyDescent="0.25">
      <c r="A453" s="323" t="s">
        <v>180</v>
      </c>
      <c r="B453" s="324"/>
      <c r="C453" s="325">
        <f>SUM(C449:C451)</f>
        <v>0</v>
      </c>
      <c r="D453" s="326"/>
      <c r="E453" s="326"/>
      <c r="F453" s="326"/>
      <c r="G453" s="327"/>
      <c r="H453" s="327"/>
      <c r="I453" s="341">
        <f>SUM(I450:I451)</f>
        <v>0</v>
      </c>
      <c r="J453" s="342"/>
      <c r="K453" s="343"/>
      <c r="L453" s="344"/>
      <c r="M453" s="345"/>
      <c r="N453" s="333">
        <f>+C453-I453</f>
        <v>0</v>
      </c>
      <c r="O453" s="345"/>
    </row>
    <row r="454" spans="1:17" x14ac:dyDescent="0.2">
      <c r="A454" s="221"/>
      <c r="B454" s="209"/>
      <c r="C454" s="240"/>
      <c r="D454" s="209"/>
      <c r="E454" s="209"/>
      <c r="F454" s="209"/>
      <c r="G454" s="241"/>
      <c r="H454" s="241"/>
      <c r="I454" s="242"/>
      <c r="J454" s="243"/>
      <c r="K454" s="244"/>
      <c r="L454" s="245"/>
      <c r="M454" s="246"/>
      <c r="N454" s="242"/>
      <c r="O454" s="246"/>
    </row>
    <row r="455" spans="1:17" s="358" customFormat="1" x14ac:dyDescent="0.2">
      <c r="A455" s="413"/>
      <c r="B455" s="363"/>
      <c r="C455" s="363"/>
      <c r="D455" s="362"/>
      <c r="E455" s="427"/>
      <c r="F455" s="362"/>
      <c r="G455" s="363"/>
      <c r="H455" s="363"/>
      <c r="I455" s="475"/>
      <c r="J455" s="476"/>
      <c r="K455" s="477"/>
      <c r="L455" s="478"/>
      <c r="M455" s="479"/>
      <c r="N455" s="475"/>
      <c r="O455" s="479"/>
      <c r="P455" s="297"/>
      <c r="Q455" s="357"/>
    </row>
    <row r="456" spans="1:17" s="358" customFormat="1" x14ac:dyDescent="0.2">
      <c r="A456" s="359" t="str">
        <f>+'[1]Clasific. Económica de Ingr (3)'!A73</f>
        <v>1.3.1.2.09.09.0.0.000</v>
      </c>
      <c r="B456" s="363" t="s">
        <v>239</v>
      </c>
      <c r="C456" s="361">
        <f>SUM('[1]Clasific. Económica de Ingr (3)'!C73)</f>
        <v>10000000</v>
      </c>
      <c r="D456" s="362"/>
      <c r="E456" s="362"/>
      <c r="F456" s="362"/>
      <c r="G456" s="363"/>
      <c r="H456" s="363"/>
      <c r="I456" s="356"/>
      <c r="J456" s="352"/>
      <c r="K456" s="353"/>
      <c r="L456" s="354"/>
      <c r="M456" s="355"/>
      <c r="N456" s="356"/>
      <c r="O456" s="355"/>
      <c r="P456" s="297"/>
      <c r="Q456" s="357"/>
    </row>
    <row r="457" spans="1:17" ht="25.5" hidden="1" customHeight="1" x14ac:dyDescent="0.2">
      <c r="A457" s="221"/>
      <c r="B457" s="363"/>
      <c r="C457" s="361"/>
      <c r="D457" s="362" t="s">
        <v>18</v>
      </c>
      <c r="E457" s="362">
        <v>5</v>
      </c>
      <c r="F457" s="362" t="s">
        <v>189</v>
      </c>
      <c r="G457" s="360" t="str">
        <f>+'[2]Egresos Programa III General'!B79</f>
        <v>Plan Operación Mantenimiento y Des.Sistema de Acueducto 2018-2022</v>
      </c>
      <c r="H457" s="360"/>
      <c r="I457" s="356">
        <v>0</v>
      </c>
      <c r="J457" s="352"/>
      <c r="K457" s="353"/>
      <c r="L457" s="354"/>
      <c r="M457" s="355"/>
      <c r="N457" s="300"/>
      <c r="O457" s="236">
        <f>SUM(I611:I628)</f>
        <v>971939716.55999994</v>
      </c>
    </row>
    <row r="458" spans="1:17" s="358" customFormat="1" x14ac:dyDescent="0.2">
      <c r="A458" s="359"/>
      <c r="B458" s="362"/>
      <c r="C458" s="361"/>
      <c r="D458" s="362" t="s">
        <v>8</v>
      </c>
      <c r="E458" s="362" t="s">
        <v>184</v>
      </c>
      <c r="F458" s="362" t="s">
        <v>209</v>
      </c>
      <c r="G458" s="363" t="s">
        <v>213</v>
      </c>
      <c r="H458" s="363"/>
      <c r="I458" s="364">
        <v>10000000</v>
      </c>
      <c r="J458" s="372"/>
      <c r="K458" s="373"/>
      <c r="L458" s="374"/>
      <c r="M458" s="256"/>
      <c r="N458" s="253"/>
      <c r="O458" s="256"/>
      <c r="P458" s="297"/>
      <c r="Q458" s="357"/>
    </row>
    <row r="459" spans="1:17" s="358" customFormat="1" x14ac:dyDescent="0.2">
      <c r="A459" s="359"/>
      <c r="B459" s="362"/>
      <c r="C459" s="361"/>
      <c r="D459" s="362"/>
      <c r="E459" s="362"/>
      <c r="F459" s="362"/>
      <c r="G459" s="363" t="s">
        <v>9</v>
      </c>
      <c r="H459" s="363"/>
      <c r="I459" s="253">
        <v>10000000</v>
      </c>
      <c r="J459" s="372">
        <f>+I459</f>
        <v>10000000</v>
      </c>
      <c r="K459" s="373"/>
      <c r="L459" s="374"/>
      <c r="M459" s="256"/>
      <c r="N459" s="253"/>
      <c r="O459" s="256"/>
      <c r="P459" s="297"/>
      <c r="Q459" s="357"/>
    </row>
    <row r="460" spans="1:17" s="358" customFormat="1" ht="13.5" thickBot="1" x14ac:dyDescent="0.25">
      <c r="A460" s="359"/>
      <c r="B460" s="362"/>
      <c r="C460" s="361"/>
      <c r="D460" s="362"/>
      <c r="E460" s="362"/>
      <c r="F460" s="362"/>
      <c r="G460" s="363"/>
      <c r="H460" s="363"/>
      <c r="I460" s="253"/>
      <c r="J460" s="372"/>
      <c r="K460" s="373"/>
      <c r="L460" s="374"/>
      <c r="M460" s="256"/>
      <c r="N460" s="253"/>
      <c r="O460" s="256"/>
      <c r="P460" s="297"/>
      <c r="Q460" s="357"/>
    </row>
    <row r="461" spans="1:17" s="386" customFormat="1" ht="13.5" thickBot="1" x14ac:dyDescent="0.25">
      <c r="A461" s="402" t="s">
        <v>180</v>
      </c>
      <c r="B461" s="403"/>
      <c r="C461" s="404">
        <f>SUM(C456:C458)</f>
        <v>10000000</v>
      </c>
      <c r="D461" s="405"/>
      <c r="E461" s="405"/>
      <c r="F461" s="405"/>
      <c r="G461" s="406"/>
      <c r="H461" s="406"/>
      <c r="I461" s="407">
        <f>SUM(I456:I458)</f>
        <v>10000000</v>
      </c>
      <c r="J461" s="480"/>
      <c r="K461" s="481"/>
      <c r="L461" s="482"/>
      <c r="M461" s="483"/>
      <c r="N461" s="484">
        <f>+C461-I461</f>
        <v>0</v>
      </c>
      <c r="O461" s="382"/>
      <c r="P461" s="384"/>
      <c r="Q461" s="385"/>
    </row>
    <row r="462" spans="1:17" x14ac:dyDescent="0.2">
      <c r="A462" s="387"/>
      <c r="B462" s="388"/>
      <c r="C462" s="389"/>
      <c r="D462" s="207"/>
      <c r="E462" s="207"/>
      <c r="F462" s="207"/>
      <c r="G462" s="231"/>
      <c r="H462" s="231"/>
      <c r="I462" s="232"/>
      <c r="J462" s="233"/>
      <c r="K462" s="234"/>
      <c r="L462" s="235"/>
      <c r="M462" s="465"/>
      <c r="N462" s="232"/>
      <c r="O462" s="236"/>
    </row>
    <row r="463" spans="1:17" ht="25.5" x14ac:dyDescent="0.2">
      <c r="A463" s="221" t="str">
        <f>+'[1]Clasific. Económica de Ingr (3)'!A78</f>
        <v>1.3.1.3.01.01.1.0.000</v>
      </c>
      <c r="B463" s="395" t="s">
        <v>238</v>
      </c>
      <c r="C463" s="240">
        <f>SUM('[1]Clasific. Económica de Ingr (3)'!C78)</f>
        <v>72000000</v>
      </c>
      <c r="D463" s="209"/>
      <c r="E463" s="209"/>
      <c r="F463" s="209"/>
      <c r="G463" s="241"/>
      <c r="H463" s="241"/>
      <c r="I463" s="300"/>
      <c r="J463" s="301"/>
      <c r="K463" s="302"/>
      <c r="L463" s="303"/>
      <c r="N463" s="300"/>
      <c r="O463" s="236"/>
    </row>
    <row r="464" spans="1:17" x14ac:dyDescent="0.2">
      <c r="A464" s="221"/>
      <c r="B464" s="209"/>
      <c r="C464" s="240"/>
      <c r="D464" s="209" t="s">
        <v>8</v>
      </c>
      <c r="E464" s="209" t="s">
        <v>184</v>
      </c>
      <c r="F464" s="209" t="s">
        <v>209</v>
      </c>
      <c r="G464" s="241" t="s">
        <v>236</v>
      </c>
      <c r="H464" s="241"/>
      <c r="I464" s="312">
        <f>+C463*10%</f>
        <v>7200000</v>
      </c>
      <c r="J464" s="434"/>
      <c r="K464" s="435"/>
      <c r="L464" s="436"/>
      <c r="M464" s="211"/>
      <c r="N464" s="300"/>
      <c r="O464" s="236"/>
    </row>
    <row r="465" spans="1:15" x14ac:dyDescent="0.2">
      <c r="A465" s="221"/>
      <c r="B465" s="209"/>
      <c r="C465" s="240"/>
      <c r="D465" s="209"/>
      <c r="E465" s="209"/>
      <c r="F465" s="209"/>
      <c r="G465" s="241" t="s">
        <v>9</v>
      </c>
      <c r="H465" s="241"/>
      <c r="I465" s="237">
        <v>7200000</v>
      </c>
      <c r="J465" s="434">
        <f>+I465</f>
        <v>7200000</v>
      </c>
      <c r="K465" s="435"/>
      <c r="L465" s="436"/>
      <c r="M465" s="211"/>
      <c r="N465" s="300"/>
      <c r="O465" s="236"/>
    </row>
    <row r="466" spans="1:15" x14ac:dyDescent="0.2">
      <c r="A466" s="221"/>
      <c r="B466" s="209"/>
      <c r="C466" s="240"/>
      <c r="D466" s="209"/>
      <c r="E466" s="209"/>
      <c r="F466" s="209"/>
      <c r="G466" s="241"/>
      <c r="H466" s="241"/>
      <c r="I466" s="237"/>
      <c r="J466" s="434"/>
      <c r="K466" s="435"/>
      <c r="L466" s="436"/>
      <c r="M466" s="211"/>
      <c r="N466" s="300"/>
      <c r="O466" s="236"/>
    </row>
    <row r="467" spans="1:15" x14ac:dyDescent="0.2">
      <c r="A467" s="221"/>
      <c r="B467" s="209"/>
      <c r="C467" s="240"/>
      <c r="D467" s="209" t="s">
        <v>19</v>
      </c>
      <c r="E467" s="209">
        <v>11</v>
      </c>
      <c r="F467" s="209"/>
      <c r="G467" s="241" t="str">
        <f>+'[2]Egresos Programa II General'!B25</f>
        <v>Estacionamientos y Terminales</v>
      </c>
      <c r="H467" s="241"/>
      <c r="I467" s="312">
        <f>+'[2]Egresos Programa II General'!C25-'Origen y Aplicación (2)'!I54</f>
        <v>64800000.00137341</v>
      </c>
      <c r="J467" s="313"/>
      <c r="K467" s="314"/>
      <c r="L467" s="315"/>
      <c r="M467" s="248"/>
      <c r="N467" s="242"/>
      <c r="O467" s="246"/>
    </row>
    <row r="468" spans="1:15" x14ac:dyDescent="0.2">
      <c r="A468" s="221"/>
      <c r="B468" s="209"/>
      <c r="C468" s="240"/>
      <c r="D468" s="209"/>
      <c r="E468" s="209"/>
      <c r="F468" s="209"/>
      <c r="G468" s="241" t="s">
        <v>9</v>
      </c>
      <c r="H468" s="241"/>
      <c r="I468" s="247">
        <v>42468008.609999999</v>
      </c>
      <c r="J468" s="313">
        <f>+I468</f>
        <v>42468008.609999999</v>
      </c>
      <c r="K468" s="314"/>
      <c r="L468" s="315"/>
      <c r="M468" s="248"/>
      <c r="N468" s="242"/>
      <c r="O468" s="246"/>
    </row>
    <row r="469" spans="1:15" x14ac:dyDescent="0.2">
      <c r="A469" s="221"/>
      <c r="B469" s="209"/>
      <c r="C469" s="240"/>
      <c r="D469" s="209"/>
      <c r="E469" s="209"/>
      <c r="F469" s="209"/>
      <c r="G469" s="241" t="s">
        <v>10</v>
      </c>
      <c r="H469" s="241"/>
      <c r="I469" s="247">
        <v>9531991.3900000006</v>
      </c>
      <c r="J469" s="313">
        <f>+I469</f>
        <v>9531991.3900000006</v>
      </c>
      <c r="K469" s="314"/>
      <c r="L469" s="315"/>
      <c r="M469" s="248"/>
      <c r="N469" s="242"/>
      <c r="O469" s="246"/>
    </row>
    <row r="470" spans="1:15" x14ac:dyDescent="0.2">
      <c r="A470" s="221"/>
      <c r="B470" s="209"/>
      <c r="C470" s="240"/>
      <c r="D470" s="209"/>
      <c r="E470" s="209"/>
      <c r="F470" s="209"/>
      <c r="G470" s="241" t="s">
        <v>230</v>
      </c>
      <c r="H470" s="241"/>
      <c r="I470" s="247">
        <v>4900000</v>
      </c>
      <c r="J470" s="313">
        <f>+I470</f>
        <v>4900000</v>
      </c>
      <c r="K470" s="314"/>
      <c r="L470" s="315"/>
      <c r="M470" s="248"/>
      <c r="N470" s="242"/>
      <c r="O470" s="246"/>
    </row>
    <row r="471" spans="1:15" x14ac:dyDescent="0.2">
      <c r="A471" s="221"/>
      <c r="B471" s="209"/>
      <c r="C471" s="240"/>
      <c r="D471" s="209"/>
      <c r="E471" s="209"/>
      <c r="F471" s="209"/>
      <c r="G471" s="241" t="s">
        <v>181</v>
      </c>
      <c r="H471" s="241"/>
      <c r="I471" s="247">
        <v>400000</v>
      </c>
      <c r="J471" s="313"/>
      <c r="K471" s="314">
        <f>+I471</f>
        <v>400000</v>
      </c>
      <c r="L471" s="315"/>
      <c r="M471" s="248"/>
      <c r="N471" s="242"/>
      <c r="O471" s="246"/>
    </row>
    <row r="472" spans="1:15" x14ac:dyDescent="0.2">
      <c r="A472" s="221"/>
      <c r="B472" s="209"/>
      <c r="C472" s="240"/>
      <c r="D472" s="209"/>
      <c r="E472" s="209"/>
      <c r="F472" s="209"/>
      <c r="G472" s="241" t="s">
        <v>207</v>
      </c>
      <c r="H472" s="241"/>
      <c r="I472" s="247">
        <v>7500000</v>
      </c>
      <c r="J472" s="313">
        <f>+I472</f>
        <v>7500000</v>
      </c>
      <c r="K472" s="314"/>
      <c r="L472" s="315"/>
      <c r="M472" s="248"/>
      <c r="N472" s="242"/>
      <c r="O472" s="246"/>
    </row>
    <row r="473" spans="1:15" ht="13.5" thickBot="1" x14ac:dyDescent="0.25">
      <c r="A473" s="221"/>
      <c r="B473" s="209"/>
      <c r="C473" s="240"/>
      <c r="D473" s="209"/>
      <c r="E473" s="209"/>
      <c r="F473" s="209"/>
      <c r="G473" s="241"/>
      <c r="H473" s="241"/>
      <c r="I473" s="247"/>
      <c r="J473" s="313"/>
      <c r="K473" s="314"/>
      <c r="L473" s="315"/>
      <c r="M473" s="248"/>
      <c r="N473" s="242"/>
      <c r="O473" s="246"/>
    </row>
    <row r="474" spans="1:15" ht="13.5" thickBot="1" x14ac:dyDescent="0.25">
      <c r="A474" s="323" t="s">
        <v>180</v>
      </c>
      <c r="B474" s="324"/>
      <c r="C474" s="325">
        <f>SUM(C463:C467)</f>
        <v>72000000</v>
      </c>
      <c r="D474" s="326"/>
      <c r="E474" s="326"/>
      <c r="F474" s="326"/>
      <c r="G474" s="327"/>
      <c r="H474" s="327"/>
      <c r="I474" s="341">
        <f>SUM(I464:I472)/2</f>
        <v>72000000.000686705</v>
      </c>
      <c r="J474" s="342"/>
      <c r="K474" s="343"/>
      <c r="L474" s="344"/>
      <c r="M474" s="345"/>
      <c r="N474" s="333">
        <f>+C474-I474</f>
        <v>-6.8670511245727539E-4</v>
      </c>
      <c r="O474" s="345"/>
    </row>
    <row r="475" spans="1:15" x14ac:dyDescent="0.2">
      <c r="A475" s="432"/>
      <c r="B475" s="395"/>
      <c r="C475" s="394"/>
      <c r="D475" s="209"/>
      <c r="E475" s="209"/>
      <c r="F475" s="209"/>
      <c r="G475" s="241"/>
      <c r="H475" s="241"/>
      <c r="I475" s="300"/>
      <c r="J475" s="301"/>
      <c r="K475" s="302"/>
      <c r="L475" s="303"/>
      <c r="N475" s="300"/>
      <c r="O475" s="236"/>
    </row>
    <row r="476" spans="1:15" x14ac:dyDescent="0.2">
      <c r="A476" s="221" t="str">
        <f>+'[1]Clasific. Económica de Ingr (3)'!A81</f>
        <v>1.3.1.3.02.03.1.0.000</v>
      </c>
      <c r="B476" s="395" t="s">
        <v>237</v>
      </c>
      <c r="C476" s="240">
        <f>SUM('[1]Clasific. Económica de Ingr (3)'!C81)</f>
        <v>5000000</v>
      </c>
      <c r="D476" s="209"/>
      <c r="E476" s="209"/>
      <c r="F476" s="209"/>
      <c r="G476" s="241"/>
      <c r="H476" s="241"/>
      <c r="I476" s="300"/>
      <c r="J476" s="301"/>
      <c r="K476" s="302"/>
      <c r="L476" s="303"/>
      <c r="N476" s="300"/>
      <c r="O476" s="236"/>
    </row>
    <row r="477" spans="1:15" x14ac:dyDescent="0.2">
      <c r="A477" s="221"/>
      <c r="B477" s="209"/>
      <c r="C477" s="240"/>
      <c r="D477" s="209" t="s">
        <v>8</v>
      </c>
      <c r="E477" s="209" t="s">
        <v>184</v>
      </c>
      <c r="F477" s="209" t="s">
        <v>209</v>
      </c>
      <c r="G477" s="241" t="s">
        <v>236</v>
      </c>
      <c r="H477" s="241"/>
      <c r="I477" s="312">
        <f>+C476*10%</f>
        <v>500000</v>
      </c>
      <c r="J477" s="434"/>
      <c r="K477" s="435"/>
      <c r="L477" s="436"/>
      <c r="M477" s="211"/>
      <c r="N477" s="300"/>
      <c r="O477" s="236"/>
    </row>
    <row r="478" spans="1:15" x14ac:dyDescent="0.2">
      <c r="A478" s="221"/>
      <c r="B478" s="209"/>
      <c r="C478" s="240"/>
      <c r="D478" s="209"/>
      <c r="E478" s="209"/>
      <c r="F478" s="209"/>
      <c r="G478" s="241" t="s">
        <v>9</v>
      </c>
      <c r="H478" s="241"/>
      <c r="I478" s="237">
        <v>500000</v>
      </c>
      <c r="J478" s="434">
        <f>+I478</f>
        <v>500000</v>
      </c>
      <c r="K478" s="435"/>
      <c r="L478" s="436"/>
      <c r="M478" s="211"/>
      <c r="N478" s="300"/>
      <c r="O478" s="236"/>
    </row>
    <row r="479" spans="1:15" x14ac:dyDescent="0.2">
      <c r="A479" s="221"/>
      <c r="B479" s="209"/>
      <c r="C479" s="240"/>
      <c r="D479" s="209"/>
      <c r="E479" s="209"/>
      <c r="F479" s="209"/>
      <c r="G479" s="241"/>
      <c r="H479" s="241"/>
      <c r="I479" s="237"/>
      <c r="J479" s="434"/>
      <c r="K479" s="435"/>
      <c r="L479" s="436"/>
      <c r="M479" s="211"/>
      <c r="N479" s="300"/>
      <c r="O479" s="236"/>
    </row>
    <row r="480" spans="1:15" x14ac:dyDescent="0.2">
      <c r="A480" s="221"/>
      <c r="B480" s="209"/>
      <c r="C480" s="240"/>
      <c r="D480" s="209" t="s">
        <v>19</v>
      </c>
      <c r="E480" s="209" t="s">
        <v>189</v>
      </c>
      <c r="F480" s="209"/>
      <c r="G480" s="241" t="str">
        <f>+'[2]Egresos Programa II General'!B19</f>
        <v>Mercados, Plazas y Ferias</v>
      </c>
      <c r="H480" s="241"/>
      <c r="I480" s="312">
        <v>4500000</v>
      </c>
      <c r="J480" s="313"/>
      <c r="K480" s="314"/>
      <c r="L480" s="315"/>
      <c r="M480" s="248"/>
      <c r="N480" s="242"/>
      <c r="O480" s="246"/>
    </row>
    <row r="481" spans="1:17" ht="13.5" thickBot="1" x14ac:dyDescent="0.25">
      <c r="A481" s="221"/>
      <c r="B481" s="209"/>
      <c r="C481" s="240"/>
      <c r="D481" s="209"/>
      <c r="E481" s="209"/>
      <c r="F481" s="209"/>
      <c r="G481" s="241" t="s">
        <v>9</v>
      </c>
      <c r="H481" s="241"/>
      <c r="I481" s="247">
        <v>4500000</v>
      </c>
      <c r="J481" s="313">
        <f>+I481</f>
        <v>4500000</v>
      </c>
      <c r="K481" s="314"/>
      <c r="L481" s="315"/>
      <c r="M481" s="248"/>
      <c r="N481" s="242"/>
      <c r="O481" s="246"/>
    </row>
    <row r="482" spans="1:17" ht="13.5" hidden="1" thickBot="1" x14ac:dyDescent="0.25">
      <c r="A482" s="221"/>
      <c r="B482" s="209"/>
      <c r="C482" s="240"/>
      <c r="D482" s="209"/>
      <c r="E482" s="209"/>
      <c r="F482" s="209"/>
      <c r="G482" s="241"/>
      <c r="H482" s="241"/>
      <c r="I482" s="247"/>
      <c r="J482" s="313"/>
      <c r="K482" s="314"/>
      <c r="L482" s="315"/>
      <c r="M482" s="248"/>
      <c r="N482" s="242"/>
      <c r="O482" s="246"/>
    </row>
    <row r="483" spans="1:17" ht="13.5" hidden="1" thickBot="1" x14ac:dyDescent="0.25">
      <c r="A483" s="221"/>
      <c r="B483" s="209"/>
      <c r="C483" s="240"/>
      <c r="D483" s="209"/>
      <c r="E483" s="209"/>
      <c r="F483" s="209"/>
      <c r="G483" s="241"/>
      <c r="H483" s="241"/>
      <c r="I483" s="247"/>
      <c r="J483" s="313"/>
      <c r="K483" s="314"/>
      <c r="L483" s="315"/>
      <c r="M483" s="248"/>
      <c r="N483" s="242"/>
      <c r="O483" s="246"/>
    </row>
    <row r="484" spans="1:17" ht="13.5" thickBot="1" x14ac:dyDescent="0.25">
      <c r="A484" s="323" t="s">
        <v>180</v>
      </c>
      <c r="B484" s="324"/>
      <c r="C484" s="325">
        <f>SUM(C476:C480)</f>
        <v>5000000</v>
      </c>
      <c r="D484" s="326"/>
      <c r="E484" s="326"/>
      <c r="F484" s="326"/>
      <c r="G484" s="327"/>
      <c r="H484" s="327"/>
      <c r="I484" s="341">
        <f>SUM(I477:I481)/2</f>
        <v>5000000</v>
      </c>
      <c r="J484" s="342"/>
      <c r="K484" s="343"/>
      <c r="L484" s="344"/>
      <c r="M484" s="345"/>
      <c r="N484" s="333">
        <f>+C484-I484</f>
        <v>0</v>
      </c>
      <c r="O484" s="345"/>
    </row>
    <row r="485" spans="1:17" ht="13.5" thickBot="1" x14ac:dyDescent="0.25">
      <c r="A485" s="320"/>
      <c r="B485" s="321"/>
      <c r="C485" s="321"/>
      <c r="D485" s="321"/>
      <c r="E485" s="321"/>
      <c r="F485" s="321"/>
      <c r="G485" s="485"/>
      <c r="H485" s="485"/>
      <c r="I485" s="442"/>
      <c r="J485" s="301"/>
      <c r="K485" s="302"/>
      <c r="L485" s="303"/>
      <c r="N485" s="237"/>
    </row>
    <row r="486" spans="1:17" ht="13.5" thickBot="1" x14ac:dyDescent="0.25">
      <c r="A486" s="271"/>
      <c r="B486" s="272"/>
      <c r="C486" s="273"/>
      <c r="D486" s="272"/>
      <c r="E486" s="321"/>
      <c r="F486" s="272"/>
      <c r="G486" s="274"/>
      <c r="H486" s="274"/>
      <c r="I486" s="486"/>
      <c r="J486" s="469"/>
      <c r="K486" s="470"/>
      <c r="L486" s="471"/>
      <c r="M486" s="472"/>
      <c r="N486" s="468"/>
      <c r="O486" s="472"/>
    </row>
    <row r="487" spans="1:17" s="358" customFormat="1" x14ac:dyDescent="0.2">
      <c r="A487" s="413" t="s">
        <v>15</v>
      </c>
      <c r="B487" s="363"/>
      <c r="C487" s="363"/>
      <c r="D487" s="362"/>
      <c r="E487" s="362"/>
      <c r="F487" s="362"/>
      <c r="G487" s="363"/>
      <c r="H487" s="363"/>
      <c r="I487" s="356"/>
      <c r="J487" s="352"/>
      <c r="K487" s="353"/>
      <c r="L487" s="354"/>
      <c r="M487" s="355"/>
      <c r="N487" s="356"/>
      <c r="O487" s="355"/>
      <c r="P487" s="297"/>
      <c r="Q487" s="357"/>
    </row>
    <row r="488" spans="1:17" s="358" customFormat="1" x14ac:dyDescent="0.2">
      <c r="A488" s="359" t="str">
        <f>+'[1]Clasific. Económica de Ingr (3)'!A88</f>
        <v>1.3.2.3.01.06.0.0.000</v>
      </c>
      <c r="B488" s="363" t="s">
        <v>235</v>
      </c>
      <c r="C488" s="361">
        <f>SUM('[1]Clasific. Económica de Ingr (3)'!C88)</f>
        <v>750000000</v>
      </c>
      <c r="D488" s="362"/>
      <c r="E488" s="362"/>
      <c r="F488" s="362"/>
      <c r="G488" s="363"/>
      <c r="H488" s="363"/>
      <c r="I488" s="356"/>
      <c r="J488" s="352"/>
      <c r="K488" s="353"/>
      <c r="L488" s="354"/>
      <c r="M488" s="355"/>
      <c r="N488" s="356"/>
      <c r="O488" s="355"/>
      <c r="P488" s="297"/>
      <c r="Q488" s="357"/>
    </row>
    <row r="489" spans="1:17" s="358" customFormat="1" x14ac:dyDescent="0.2">
      <c r="A489" s="359"/>
      <c r="B489" s="363"/>
      <c r="C489" s="361"/>
      <c r="D489" s="362" t="s">
        <v>8</v>
      </c>
      <c r="E489" s="362" t="s">
        <v>184</v>
      </c>
      <c r="F489" s="362" t="s">
        <v>209</v>
      </c>
      <c r="G489" s="363" t="s">
        <v>213</v>
      </c>
      <c r="H489" s="363"/>
      <c r="I489" s="356">
        <v>750000000</v>
      </c>
      <c r="J489" s="352"/>
      <c r="K489" s="353"/>
      <c r="L489" s="354"/>
      <c r="M489" s="355"/>
      <c r="N489" s="356"/>
      <c r="O489" s="355"/>
      <c r="P489" s="297"/>
      <c r="Q489" s="357"/>
    </row>
    <row r="490" spans="1:17" s="358" customFormat="1" hidden="1" x14ac:dyDescent="0.2">
      <c r="A490" s="359"/>
      <c r="B490" s="363"/>
      <c r="C490" s="361"/>
      <c r="D490" s="362" t="s">
        <v>8</v>
      </c>
      <c r="E490" s="362" t="s">
        <v>191</v>
      </c>
      <c r="F490" s="362"/>
      <c r="G490" s="363" t="str">
        <f>+[2]ProgramaI!B32</f>
        <v xml:space="preserve">Comité Cantonal Deportes y Recreación </v>
      </c>
      <c r="H490" s="363"/>
      <c r="I490" s="356">
        <v>0</v>
      </c>
      <c r="J490" s="352"/>
      <c r="K490" s="353"/>
      <c r="L490" s="354"/>
      <c r="M490" s="355"/>
      <c r="N490" s="356"/>
      <c r="O490" s="355"/>
      <c r="P490" s="297"/>
      <c r="Q490" s="357"/>
    </row>
    <row r="491" spans="1:17" s="358" customFormat="1" ht="28.5" hidden="1" customHeight="1" x14ac:dyDescent="0.2">
      <c r="A491" s="359"/>
      <c r="B491" s="362"/>
      <c r="C491" s="361"/>
      <c r="D491" s="362" t="s">
        <v>18</v>
      </c>
      <c r="E491" s="362" t="s">
        <v>185</v>
      </c>
      <c r="F491" s="362" t="s">
        <v>183</v>
      </c>
      <c r="G491" s="360" t="str">
        <f>+'[2]Egresos Programa III General'!B46</f>
        <v>Carpeta Asfaltica en Urbanización las Melisas</v>
      </c>
      <c r="H491" s="360"/>
      <c r="I491" s="356">
        <v>0</v>
      </c>
      <c r="J491" s="352"/>
      <c r="K491" s="353"/>
      <c r="L491" s="354"/>
      <c r="M491" s="355"/>
      <c r="N491" s="356"/>
      <c r="O491" s="355"/>
      <c r="P491" s="297"/>
      <c r="Q491" s="357"/>
    </row>
    <row r="492" spans="1:17" s="358" customFormat="1" hidden="1" x14ac:dyDescent="0.2">
      <c r="A492" s="359"/>
      <c r="B492" s="362"/>
      <c r="C492" s="361"/>
      <c r="D492" s="362" t="s">
        <v>18</v>
      </c>
      <c r="E492" s="362" t="s">
        <v>183</v>
      </c>
      <c r="F492" s="362" t="s">
        <v>182</v>
      </c>
      <c r="G492" s="363" t="s">
        <v>234</v>
      </c>
      <c r="H492" s="363"/>
      <c r="I492" s="356"/>
      <c r="J492" s="352"/>
      <c r="K492" s="353"/>
      <c r="L492" s="354"/>
      <c r="M492" s="355"/>
      <c r="N492" s="356"/>
      <c r="O492" s="355"/>
      <c r="P492" s="297"/>
      <c r="Q492" s="357"/>
    </row>
    <row r="493" spans="1:17" s="358" customFormat="1" hidden="1" x14ac:dyDescent="0.2">
      <c r="A493" s="359"/>
      <c r="B493" s="362"/>
      <c r="C493" s="361"/>
      <c r="D493" s="362" t="s">
        <v>18</v>
      </c>
      <c r="E493" s="362" t="s">
        <v>183</v>
      </c>
      <c r="F493" s="362" t="s">
        <v>183</v>
      </c>
      <c r="G493" s="363" t="s">
        <v>233</v>
      </c>
      <c r="H493" s="363"/>
      <c r="I493" s="356"/>
      <c r="J493" s="352"/>
      <c r="K493" s="353"/>
      <c r="L493" s="354"/>
      <c r="M493" s="355"/>
      <c r="N493" s="356"/>
      <c r="O493" s="355"/>
      <c r="P493" s="297"/>
      <c r="Q493" s="357"/>
    </row>
    <row r="494" spans="1:17" s="358" customFormat="1" hidden="1" x14ac:dyDescent="0.2">
      <c r="A494" s="359"/>
      <c r="B494" s="362"/>
      <c r="C494" s="361"/>
      <c r="D494" s="362" t="s">
        <v>18</v>
      </c>
      <c r="E494" s="362" t="s">
        <v>183</v>
      </c>
      <c r="F494" s="362" t="s">
        <v>189</v>
      </c>
      <c r="G494" s="363" t="s">
        <v>232</v>
      </c>
      <c r="H494" s="363"/>
      <c r="I494" s="356"/>
      <c r="J494" s="352"/>
      <c r="K494" s="353"/>
      <c r="L494" s="354"/>
      <c r="M494" s="355"/>
      <c r="N494" s="356"/>
      <c r="O494" s="355"/>
      <c r="P494" s="297"/>
      <c r="Q494" s="357"/>
    </row>
    <row r="495" spans="1:17" s="358" customFormat="1" ht="38.25" hidden="1" x14ac:dyDescent="0.2">
      <c r="A495" s="359"/>
      <c r="B495" s="362"/>
      <c r="C495" s="361"/>
      <c r="D495" s="362" t="s">
        <v>18</v>
      </c>
      <c r="E495" s="362" t="s">
        <v>183</v>
      </c>
      <c r="F495" s="362">
        <v>10</v>
      </c>
      <c r="G495" s="360" t="s">
        <v>231</v>
      </c>
      <c r="H495" s="360"/>
      <c r="I495" s="356"/>
      <c r="J495" s="352"/>
      <c r="K495" s="353"/>
      <c r="L495" s="354"/>
      <c r="M495" s="355"/>
      <c r="N495" s="356"/>
      <c r="O495" s="355"/>
      <c r="P495" s="297"/>
      <c r="Q495" s="357"/>
    </row>
    <row r="496" spans="1:17" s="358" customFormat="1" hidden="1" x14ac:dyDescent="0.2">
      <c r="A496" s="359"/>
      <c r="B496" s="362"/>
      <c r="C496" s="361"/>
      <c r="D496" s="362" t="s">
        <v>18</v>
      </c>
      <c r="E496" s="362" t="s">
        <v>189</v>
      </c>
      <c r="F496" s="366"/>
      <c r="G496" s="363" t="s">
        <v>188</v>
      </c>
      <c r="H496" s="363"/>
      <c r="I496" s="356">
        <v>0</v>
      </c>
      <c r="J496" s="352"/>
      <c r="K496" s="353"/>
      <c r="L496" s="354"/>
      <c r="M496" s="355"/>
      <c r="N496" s="356"/>
      <c r="O496" s="355"/>
      <c r="P496" s="297"/>
      <c r="Q496" s="357"/>
    </row>
    <row r="497" spans="1:17" s="358" customFormat="1" hidden="1" x14ac:dyDescent="0.2">
      <c r="A497" s="359"/>
      <c r="B497" s="362"/>
      <c r="C497" s="361"/>
      <c r="D497" s="362" t="s">
        <v>18</v>
      </c>
      <c r="E497" s="362" t="s">
        <v>187</v>
      </c>
      <c r="F497" s="366"/>
      <c r="G497" s="363" t="s">
        <v>220</v>
      </c>
      <c r="H497" s="363"/>
      <c r="I497" s="356">
        <v>0</v>
      </c>
      <c r="J497" s="352"/>
      <c r="K497" s="353"/>
      <c r="L497" s="354"/>
      <c r="M497" s="355"/>
      <c r="N497" s="356"/>
      <c r="O497" s="355"/>
      <c r="P497" s="297"/>
      <c r="Q497" s="357"/>
    </row>
    <row r="498" spans="1:17" s="358" customFormat="1" x14ac:dyDescent="0.2">
      <c r="A498" s="359"/>
      <c r="B498" s="362"/>
      <c r="C498" s="361"/>
      <c r="D498" s="362"/>
      <c r="E498" s="362"/>
      <c r="F498" s="366"/>
      <c r="G498" s="363" t="s">
        <v>9</v>
      </c>
      <c r="H498" s="363"/>
      <c r="I498" s="356">
        <v>187817076.72999999</v>
      </c>
      <c r="J498" s="352">
        <f>+I498</f>
        <v>187817076.72999999</v>
      </c>
      <c r="K498" s="353"/>
      <c r="L498" s="354"/>
      <c r="M498" s="355"/>
      <c r="N498" s="356"/>
      <c r="O498" s="355">
        <f>SUM(I498:I500)</f>
        <v>750000000</v>
      </c>
      <c r="P498" s="297">
        <f>+I489-O498</f>
        <v>0</v>
      </c>
      <c r="Q498" s="357"/>
    </row>
    <row r="499" spans="1:17" s="358" customFormat="1" x14ac:dyDescent="0.2">
      <c r="A499" s="359"/>
      <c r="B499" s="362"/>
      <c r="C499" s="361"/>
      <c r="D499" s="362"/>
      <c r="E499" s="362"/>
      <c r="F499" s="366"/>
      <c r="G499" s="363" t="s">
        <v>230</v>
      </c>
      <c r="H499" s="363"/>
      <c r="I499" s="356">
        <v>174462400</v>
      </c>
      <c r="J499" s="352">
        <f>+I499</f>
        <v>174462400</v>
      </c>
      <c r="K499" s="353"/>
      <c r="L499" s="354"/>
      <c r="M499" s="355"/>
      <c r="N499" s="356"/>
      <c r="O499" s="355"/>
      <c r="P499" s="297"/>
      <c r="Q499" s="357"/>
    </row>
    <row r="500" spans="1:17" s="358" customFormat="1" ht="13.5" thickBot="1" x14ac:dyDescent="0.25">
      <c r="A500" s="359"/>
      <c r="B500" s="362"/>
      <c r="C500" s="361"/>
      <c r="D500" s="362"/>
      <c r="E500" s="362"/>
      <c r="F500" s="366"/>
      <c r="G500" s="363" t="s">
        <v>229</v>
      </c>
      <c r="H500" s="363"/>
      <c r="I500" s="356">
        <v>387720523.26999998</v>
      </c>
      <c r="J500" s="352">
        <f>+I500</f>
        <v>387720523.26999998</v>
      </c>
      <c r="K500" s="353"/>
      <c r="L500" s="354"/>
      <c r="M500" s="355"/>
      <c r="N500" s="356"/>
      <c r="O500" s="355"/>
      <c r="P500" s="297"/>
      <c r="Q500" s="357"/>
    </row>
    <row r="501" spans="1:17" s="386" customFormat="1" ht="13.5" thickBot="1" x14ac:dyDescent="0.25">
      <c r="A501" s="402" t="s">
        <v>180</v>
      </c>
      <c r="B501" s="403"/>
      <c r="C501" s="404">
        <f>SUM(C488:C497)</f>
        <v>750000000</v>
      </c>
      <c r="D501" s="405"/>
      <c r="E501" s="405"/>
      <c r="F501" s="405"/>
      <c r="G501" s="406"/>
      <c r="H501" s="406"/>
      <c r="I501" s="407">
        <f>SUM(I489:I500)/2</f>
        <v>750000000</v>
      </c>
      <c r="J501" s="379"/>
      <c r="K501" s="380"/>
      <c r="L501" s="381"/>
      <c r="M501" s="382"/>
      <c r="N501" s="383">
        <f>+C501-I501</f>
        <v>0</v>
      </c>
      <c r="O501" s="382">
        <f>+N501*2</f>
        <v>0</v>
      </c>
      <c r="P501" s="384">
        <f>+C501-I501</f>
        <v>0</v>
      </c>
      <c r="Q501" s="385"/>
    </row>
    <row r="502" spans="1:17" s="358" customFormat="1" ht="12" customHeight="1" x14ac:dyDescent="0.2">
      <c r="A502" s="487"/>
      <c r="B502" s="365"/>
      <c r="C502" s="488"/>
      <c r="D502" s="362"/>
      <c r="E502" s="362"/>
      <c r="F502" s="362"/>
      <c r="G502" s="363"/>
      <c r="H502" s="363"/>
      <c r="I502" s="356"/>
      <c r="J502" s="352"/>
      <c r="K502" s="353"/>
      <c r="L502" s="354"/>
      <c r="M502" s="355"/>
      <c r="N502" s="356"/>
      <c r="O502" s="355"/>
      <c r="P502" s="297"/>
      <c r="Q502" s="357"/>
    </row>
    <row r="503" spans="1:17" s="386" customFormat="1" x14ac:dyDescent="0.2">
      <c r="A503" s="359" t="str">
        <f>+'[1]Clasific. Económica de Ingr (3)'!A95</f>
        <v>1.3.3.1.01.01.0.0.000</v>
      </c>
      <c r="B503" s="365" t="s">
        <v>228</v>
      </c>
      <c r="C503" s="361">
        <f>SUM('[1]Clasific. Económica de Ingr (3)'!C95)</f>
        <v>127000000</v>
      </c>
      <c r="D503" s="362"/>
      <c r="E503" s="362"/>
      <c r="F503" s="362"/>
      <c r="G503" s="363"/>
      <c r="H503" s="363"/>
      <c r="I503" s="356"/>
      <c r="J503" s="352"/>
      <c r="K503" s="353"/>
      <c r="L503" s="354"/>
      <c r="M503" s="355"/>
      <c r="N503" s="356"/>
      <c r="O503" s="355"/>
      <c r="P503" s="384"/>
      <c r="Q503" s="385"/>
    </row>
    <row r="504" spans="1:17" s="386" customFormat="1" hidden="1" x14ac:dyDescent="0.2">
      <c r="A504" s="359"/>
      <c r="B504" s="365"/>
      <c r="C504" s="361"/>
      <c r="D504" s="362" t="s">
        <v>8</v>
      </c>
      <c r="E504" s="362" t="s">
        <v>184</v>
      </c>
      <c r="F504" s="362" t="s">
        <v>209</v>
      </c>
      <c r="G504" s="363" t="s">
        <v>213</v>
      </c>
      <c r="H504" s="363"/>
      <c r="I504" s="356">
        <v>0</v>
      </c>
      <c r="J504" s="352"/>
      <c r="K504" s="353"/>
      <c r="L504" s="354"/>
      <c r="M504" s="355"/>
      <c r="N504" s="356"/>
      <c r="O504" s="355"/>
      <c r="P504" s="384"/>
      <c r="Q504" s="385"/>
    </row>
    <row r="505" spans="1:17" s="358" customFormat="1" hidden="1" x14ac:dyDescent="0.2">
      <c r="A505" s="359"/>
      <c r="B505" s="362"/>
      <c r="C505" s="361"/>
      <c r="D505" s="362" t="s">
        <v>8</v>
      </c>
      <c r="E505" s="362" t="s">
        <v>191</v>
      </c>
      <c r="F505" s="362"/>
      <c r="G505" s="363" t="str">
        <f>+[2]ProgramaI!B32</f>
        <v xml:space="preserve">Comité Cantonal Deportes y Recreación </v>
      </c>
      <c r="H505" s="363"/>
      <c r="I505" s="356"/>
      <c r="J505" s="352"/>
      <c r="K505" s="353"/>
      <c r="L505" s="354"/>
      <c r="M505" s="355"/>
      <c r="N505" s="356"/>
      <c r="O505" s="355">
        <f>+I505+I516+I551</f>
        <v>501704401.70049989</v>
      </c>
      <c r="P505" s="297"/>
      <c r="Q505" s="357"/>
    </row>
    <row r="506" spans="1:17" s="358" customFormat="1" x14ac:dyDescent="0.2">
      <c r="A506" s="359"/>
      <c r="B506" s="362"/>
      <c r="C506" s="361"/>
      <c r="D506" s="362" t="s">
        <v>19</v>
      </c>
      <c r="E506" s="362">
        <v>23</v>
      </c>
      <c r="F506" s="362"/>
      <c r="G506" s="363" t="str">
        <f>+'[2]Egresos Programa II General'!B33</f>
        <v>Seguridad y Vigilancia en la Comunidad</v>
      </c>
      <c r="H506" s="363"/>
      <c r="I506" s="356">
        <v>127000000</v>
      </c>
      <c r="J506" s="352"/>
      <c r="K506" s="353"/>
      <c r="L506" s="354"/>
      <c r="M506" s="355"/>
      <c r="N506" s="356"/>
      <c r="O506" s="355"/>
      <c r="P506" s="297"/>
      <c r="Q506" s="357"/>
    </row>
    <row r="507" spans="1:17" s="358" customFormat="1" x14ac:dyDescent="0.2">
      <c r="A507" s="359"/>
      <c r="B507" s="362"/>
      <c r="C507" s="361"/>
      <c r="D507" s="362"/>
      <c r="E507" s="362"/>
      <c r="F507" s="362"/>
      <c r="G507" s="363" t="s">
        <v>9</v>
      </c>
      <c r="H507" s="363"/>
      <c r="I507" s="356">
        <v>3423253.4200000167</v>
      </c>
      <c r="J507" s="352">
        <f>+I507</f>
        <v>3423253.4200000167</v>
      </c>
      <c r="K507" s="353"/>
      <c r="L507" s="354"/>
      <c r="M507" s="355"/>
      <c r="N507" s="356"/>
      <c r="O507" s="355"/>
      <c r="P507" s="297"/>
      <c r="Q507" s="357"/>
    </row>
    <row r="508" spans="1:17" s="358" customFormat="1" x14ac:dyDescent="0.2">
      <c r="A508" s="359"/>
      <c r="B508" s="362"/>
      <c r="C508" s="361"/>
      <c r="D508" s="362"/>
      <c r="E508" s="362"/>
      <c r="F508" s="362"/>
      <c r="G508" s="363" t="s">
        <v>10</v>
      </c>
      <c r="H508" s="363"/>
      <c r="I508" s="356">
        <v>64276746.579999998</v>
      </c>
      <c r="J508" s="352">
        <f>+I508</f>
        <v>64276746.579999998</v>
      </c>
      <c r="K508" s="353"/>
      <c r="L508" s="354"/>
      <c r="M508" s="355"/>
      <c r="N508" s="356"/>
      <c r="O508" s="355"/>
      <c r="P508" s="297"/>
      <c r="Q508" s="357"/>
    </row>
    <row r="509" spans="1:17" s="358" customFormat="1" x14ac:dyDescent="0.2">
      <c r="A509" s="359"/>
      <c r="B509" s="362"/>
      <c r="C509" s="361"/>
      <c r="D509" s="362"/>
      <c r="E509" s="362"/>
      <c r="F509" s="362"/>
      <c r="G509" s="363" t="s">
        <v>11</v>
      </c>
      <c r="H509" s="363"/>
      <c r="I509" s="356">
        <v>18300000</v>
      </c>
      <c r="J509" s="352">
        <f>+I509</f>
        <v>18300000</v>
      </c>
      <c r="K509" s="353"/>
      <c r="L509" s="354"/>
      <c r="M509" s="355"/>
      <c r="N509" s="356"/>
      <c r="O509" s="355"/>
      <c r="P509" s="297"/>
      <c r="Q509" s="357"/>
    </row>
    <row r="510" spans="1:17" s="358" customFormat="1" x14ac:dyDescent="0.2">
      <c r="A510" s="359"/>
      <c r="B510" s="362"/>
      <c r="C510" s="361"/>
      <c r="D510" s="362"/>
      <c r="E510" s="362"/>
      <c r="F510" s="362"/>
      <c r="G510" s="363" t="s">
        <v>13</v>
      </c>
      <c r="H510" s="363"/>
      <c r="I510" s="356">
        <v>18000000</v>
      </c>
      <c r="J510" s="352"/>
      <c r="K510" s="353">
        <f>+I510</f>
        <v>18000000</v>
      </c>
      <c r="L510" s="354"/>
      <c r="M510" s="355"/>
      <c r="N510" s="356"/>
      <c r="O510" s="355"/>
      <c r="P510" s="297"/>
      <c r="Q510" s="357"/>
    </row>
    <row r="511" spans="1:17" s="358" customFormat="1" ht="13.5" thickBot="1" x14ac:dyDescent="0.25">
      <c r="A511" s="359"/>
      <c r="B511" s="362"/>
      <c r="C511" s="361"/>
      <c r="D511" s="362"/>
      <c r="E511" s="362"/>
      <c r="F511" s="362"/>
      <c r="G511" s="363" t="s">
        <v>14</v>
      </c>
      <c r="H511" s="363"/>
      <c r="I511" s="356">
        <v>23000000</v>
      </c>
      <c r="J511" s="352">
        <f>+I511</f>
        <v>23000000</v>
      </c>
      <c r="K511" s="353"/>
      <c r="L511" s="354"/>
      <c r="M511" s="355"/>
      <c r="N511" s="356"/>
      <c r="O511" s="355"/>
      <c r="P511" s="297"/>
      <c r="Q511" s="357"/>
    </row>
    <row r="512" spans="1:17" s="358" customFormat="1" ht="13.5" hidden="1" thickBot="1" x14ac:dyDescent="0.25">
      <c r="A512" s="413"/>
      <c r="B512" s="363"/>
      <c r="C512" s="361"/>
      <c r="D512" s="362" t="s">
        <v>18</v>
      </c>
      <c r="E512" s="362" t="s">
        <v>189</v>
      </c>
      <c r="F512" s="362"/>
      <c r="G512" s="363" t="s">
        <v>188</v>
      </c>
      <c r="H512" s="363"/>
      <c r="I512" s="356">
        <v>0</v>
      </c>
      <c r="J512" s="352"/>
      <c r="K512" s="353"/>
      <c r="L512" s="354"/>
      <c r="M512" s="355"/>
      <c r="N512" s="356"/>
      <c r="O512" s="355"/>
      <c r="P512" s="297"/>
      <c r="Q512" s="357"/>
    </row>
    <row r="513" spans="1:17" s="358" customFormat="1" ht="13.5" thickBot="1" x14ac:dyDescent="0.25">
      <c r="A513" s="402" t="s">
        <v>180</v>
      </c>
      <c r="B513" s="403"/>
      <c r="C513" s="404">
        <f>SUM(C503:C506)</f>
        <v>127000000</v>
      </c>
      <c r="D513" s="405"/>
      <c r="E513" s="405"/>
      <c r="F513" s="405"/>
      <c r="G513" s="406"/>
      <c r="H513" s="406"/>
      <c r="I513" s="407">
        <f>SUM(I504:I511)/2</f>
        <v>127000000</v>
      </c>
      <c r="J513" s="379"/>
      <c r="K513" s="380"/>
      <c r="L513" s="381"/>
      <c r="M513" s="382"/>
      <c r="N513" s="383">
        <f>+C513-I513</f>
        <v>0</v>
      </c>
      <c r="O513" s="382"/>
      <c r="P513" s="297">
        <f>+C513-I513</f>
        <v>0</v>
      </c>
      <c r="Q513" s="357"/>
    </row>
    <row r="514" spans="1:17" s="358" customFormat="1" x14ac:dyDescent="0.2">
      <c r="A514" s="359"/>
      <c r="B514" s="362"/>
      <c r="C514" s="361"/>
      <c r="D514" s="366"/>
      <c r="E514" s="366"/>
      <c r="F514" s="366"/>
      <c r="G514" s="489"/>
      <c r="H514" s="489"/>
      <c r="I514" s="475"/>
      <c r="J514" s="476"/>
      <c r="K514" s="477"/>
      <c r="L514" s="478"/>
      <c r="M514" s="479"/>
      <c r="N514" s="475"/>
      <c r="O514" s="479"/>
      <c r="P514" s="297"/>
      <c r="Q514" s="357"/>
    </row>
    <row r="515" spans="1:17" s="358" customFormat="1" ht="25.5" x14ac:dyDescent="0.2">
      <c r="A515" s="359" t="str">
        <f>+'[1]Clasific. Económica de Ingr (3)'!A97</f>
        <v>1.3.3.1.02.01.0.0.000</v>
      </c>
      <c r="B515" s="360" t="s">
        <v>227</v>
      </c>
      <c r="C515" s="361">
        <f>SUM('[1]Clasific. Económica de Ingr (3)'!C97)</f>
        <v>191100000</v>
      </c>
      <c r="D515" s="362"/>
      <c r="E515" s="362"/>
      <c r="F515" s="362"/>
      <c r="G515" s="363"/>
      <c r="H515" s="363"/>
      <c r="I515" s="356"/>
      <c r="J515" s="352"/>
      <c r="K515" s="353"/>
      <c r="L515" s="354"/>
      <c r="M515" s="355"/>
      <c r="N515" s="356"/>
      <c r="O515" s="355"/>
      <c r="P515" s="297"/>
      <c r="Q515" s="357"/>
    </row>
    <row r="516" spans="1:17" s="358" customFormat="1" x14ac:dyDescent="0.2">
      <c r="A516" s="359"/>
      <c r="B516" s="362"/>
      <c r="C516" s="361"/>
      <c r="D516" s="362" t="s">
        <v>8</v>
      </c>
      <c r="E516" s="362" t="s">
        <v>191</v>
      </c>
      <c r="F516" s="362"/>
      <c r="G516" s="363" t="str">
        <f>+[2]ProgramaI!B32</f>
        <v xml:space="preserve">Comité Cantonal Deportes y Recreación </v>
      </c>
      <c r="H516" s="363"/>
      <c r="I516" s="253">
        <v>156100000</v>
      </c>
      <c r="J516" s="372"/>
      <c r="K516" s="373"/>
      <c r="L516" s="374"/>
      <c r="M516" s="256"/>
      <c r="N516" s="253"/>
      <c r="O516" s="256">
        <f>+I516+I548</f>
        <v>285495598.30175</v>
      </c>
      <c r="P516" s="297"/>
      <c r="Q516" s="357"/>
    </row>
    <row r="517" spans="1:17" s="358" customFormat="1" x14ac:dyDescent="0.2">
      <c r="A517" s="359"/>
      <c r="B517" s="362"/>
      <c r="C517" s="361"/>
      <c r="D517" s="362"/>
      <c r="E517" s="362"/>
      <c r="F517" s="362"/>
      <c r="G517" s="363" t="s">
        <v>14</v>
      </c>
      <c r="H517" s="363"/>
      <c r="I517" s="253">
        <v>156100000</v>
      </c>
      <c r="J517" s="372">
        <f>+I517</f>
        <v>156100000</v>
      </c>
      <c r="K517" s="373"/>
      <c r="L517" s="374"/>
      <c r="M517" s="256"/>
      <c r="N517" s="253"/>
      <c r="O517" s="256"/>
      <c r="P517" s="297"/>
      <c r="Q517" s="357"/>
    </row>
    <row r="518" spans="1:17" s="358" customFormat="1" x14ac:dyDescent="0.2">
      <c r="A518" s="359"/>
      <c r="B518" s="362"/>
      <c r="C518" s="361"/>
      <c r="D518" s="362"/>
      <c r="E518" s="362"/>
      <c r="F518" s="362"/>
      <c r="G518" s="363"/>
      <c r="H518" s="363"/>
      <c r="I518" s="253"/>
      <c r="J518" s="372"/>
      <c r="K518" s="373"/>
      <c r="L518" s="374"/>
      <c r="M518" s="256"/>
      <c r="N518" s="253"/>
      <c r="O518" s="256"/>
      <c r="P518" s="297"/>
      <c r="Q518" s="357"/>
    </row>
    <row r="519" spans="1:17" s="358" customFormat="1" x14ac:dyDescent="0.2">
      <c r="A519" s="359"/>
      <c r="B519" s="362"/>
      <c r="C519" s="361"/>
      <c r="D519" s="362" t="s">
        <v>8</v>
      </c>
      <c r="E519" s="362" t="s">
        <v>191</v>
      </c>
      <c r="F519" s="362"/>
      <c r="G519" s="363" t="str">
        <f>+[2]ProgramaI!B34</f>
        <v>Unión Nacional de Gobiernos Locales</v>
      </c>
      <c r="H519" s="363"/>
      <c r="I519" s="253">
        <f>+[2]ProgramaI!E34</f>
        <v>35000000</v>
      </c>
      <c r="J519" s="372"/>
      <c r="K519" s="373"/>
      <c r="L519" s="374"/>
      <c r="M519" s="256"/>
      <c r="N519" s="253"/>
      <c r="O519" s="256">
        <f>SUM(I548:I554)</f>
        <v>950000000.00224996</v>
      </c>
      <c r="P519" s="297"/>
      <c r="Q519" s="357"/>
    </row>
    <row r="520" spans="1:17" s="358" customFormat="1" x14ac:dyDescent="0.2">
      <c r="A520" s="359"/>
      <c r="B520" s="362"/>
      <c r="C520" s="361"/>
      <c r="D520" s="362"/>
      <c r="E520" s="362"/>
      <c r="F520" s="362"/>
      <c r="G520" s="363" t="s">
        <v>14</v>
      </c>
      <c r="H520" s="363"/>
      <c r="I520" s="253">
        <v>35000000</v>
      </c>
      <c r="J520" s="372">
        <f>+I520</f>
        <v>35000000</v>
      </c>
      <c r="K520" s="373"/>
      <c r="L520" s="374"/>
      <c r="M520" s="256"/>
      <c r="N520" s="253"/>
      <c r="O520" s="256"/>
      <c r="P520" s="297"/>
      <c r="Q520" s="357"/>
    </row>
    <row r="521" spans="1:17" s="358" customFormat="1" ht="13.5" thickBot="1" x14ac:dyDescent="0.25">
      <c r="A521" s="359"/>
      <c r="B521" s="362"/>
      <c r="C521" s="361"/>
      <c r="D521" s="362"/>
      <c r="E521" s="362"/>
      <c r="F521" s="362"/>
      <c r="G521" s="363"/>
      <c r="H521" s="363"/>
      <c r="I521" s="253"/>
      <c r="J521" s="372"/>
      <c r="K521" s="373"/>
      <c r="L521" s="374"/>
      <c r="M521" s="256"/>
      <c r="N521" s="253"/>
      <c r="O521" s="256"/>
      <c r="P521" s="297"/>
      <c r="Q521" s="357"/>
    </row>
    <row r="522" spans="1:17" s="358" customFormat="1" ht="13.5" hidden="1" thickBot="1" x14ac:dyDescent="0.25">
      <c r="A522" s="359"/>
      <c r="B522" s="362"/>
      <c r="C522" s="361"/>
      <c r="D522" s="362" t="s">
        <v>8</v>
      </c>
      <c r="E522" s="362" t="s">
        <v>191</v>
      </c>
      <c r="F522" s="362"/>
      <c r="G522" s="363" t="str">
        <f>+[2]ProgramaI!B49</f>
        <v>Reintegros o devoluciones</v>
      </c>
      <c r="H522" s="363"/>
      <c r="I522" s="253">
        <v>0</v>
      </c>
      <c r="J522" s="372"/>
      <c r="K522" s="373"/>
      <c r="L522" s="374"/>
      <c r="M522" s="256"/>
      <c r="N522" s="253"/>
      <c r="O522" s="256"/>
      <c r="P522" s="297"/>
      <c r="Q522" s="357"/>
    </row>
    <row r="523" spans="1:17" s="358" customFormat="1" ht="26.25" hidden="1" thickBot="1" x14ac:dyDescent="0.25">
      <c r="A523" s="359"/>
      <c r="B523" s="362"/>
      <c r="C523" s="361"/>
      <c r="D523" s="362" t="s">
        <v>18</v>
      </c>
      <c r="E523" s="362" t="s">
        <v>185</v>
      </c>
      <c r="F523" s="362" t="s">
        <v>184</v>
      </c>
      <c r="G523" s="360" t="s">
        <v>226</v>
      </c>
      <c r="H523" s="360"/>
      <c r="I523" s="253">
        <v>0</v>
      </c>
      <c r="J523" s="372"/>
      <c r="K523" s="373"/>
      <c r="L523" s="374"/>
      <c r="M523" s="256"/>
      <c r="N523" s="253"/>
      <c r="O523" s="256"/>
      <c r="P523" s="297"/>
      <c r="Q523" s="357"/>
    </row>
    <row r="524" spans="1:17" s="358" customFormat="1" ht="13.5" hidden="1" thickBot="1" x14ac:dyDescent="0.25">
      <c r="A524" s="426"/>
      <c r="B524" s="427"/>
      <c r="C524" s="361"/>
      <c r="D524" s="362" t="s">
        <v>18</v>
      </c>
      <c r="E524" s="362" t="s">
        <v>183</v>
      </c>
      <c r="F524" s="362" t="s">
        <v>184</v>
      </c>
      <c r="G524" s="363" t="s">
        <v>199</v>
      </c>
      <c r="H524" s="363"/>
      <c r="I524" s="356">
        <v>0</v>
      </c>
      <c r="J524" s="352"/>
      <c r="K524" s="353"/>
      <c r="L524" s="354"/>
      <c r="M524" s="355"/>
      <c r="N524" s="253"/>
      <c r="O524" s="256">
        <v>750413124.84411395</v>
      </c>
      <c r="P524" s="490"/>
      <c r="Q524" s="357"/>
    </row>
    <row r="525" spans="1:17" s="358" customFormat="1" ht="13.5" hidden="1" thickBot="1" x14ac:dyDescent="0.25">
      <c r="A525" s="359"/>
      <c r="B525" s="362"/>
      <c r="C525" s="361"/>
      <c r="D525" s="362" t="s">
        <v>18</v>
      </c>
      <c r="E525" s="362" t="s">
        <v>183</v>
      </c>
      <c r="F525" s="362" t="s">
        <v>187</v>
      </c>
      <c r="G525" s="363" t="s">
        <v>225</v>
      </c>
      <c r="H525" s="363"/>
      <c r="I525" s="253">
        <v>0</v>
      </c>
      <c r="J525" s="372"/>
      <c r="K525" s="373"/>
      <c r="L525" s="374"/>
      <c r="M525" s="256"/>
      <c r="N525" s="253"/>
      <c r="O525" s="256"/>
      <c r="P525" s="297"/>
      <c r="Q525" s="357"/>
    </row>
    <row r="526" spans="1:17" s="358" customFormat="1" ht="26.25" hidden="1" thickBot="1" x14ac:dyDescent="0.25">
      <c r="A526" s="359"/>
      <c r="B526" s="362"/>
      <c r="C526" s="361"/>
      <c r="D526" s="362" t="s">
        <v>18</v>
      </c>
      <c r="E526" s="362" t="s">
        <v>183</v>
      </c>
      <c r="F526" s="362">
        <v>13</v>
      </c>
      <c r="G526" s="360" t="s">
        <v>224</v>
      </c>
      <c r="H526" s="360"/>
      <c r="I526" s="253">
        <v>0</v>
      </c>
      <c r="J526" s="372"/>
      <c r="K526" s="373"/>
      <c r="L526" s="374"/>
      <c r="M526" s="256"/>
      <c r="N526" s="253"/>
      <c r="O526" s="256"/>
      <c r="P526" s="297"/>
      <c r="Q526" s="357"/>
    </row>
    <row r="527" spans="1:17" s="358" customFormat="1" ht="13.5" hidden="1" thickBot="1" x14ac:dyDescent="0.25">
      <c r="A527" s="359"/>
      <c r="B527" s="362"/>
      <c r="C527" s="361"/>
      <c r="D527" s="362" t="s">
        <v>18</v>
      </c>
      <c r="E527" s="362" t="s">
        <v>185</v>
      </c>
      <c r="F527" s="430" t="s">
        <v>185</v>
      </c>
      <c r="G527" s="363" t="s">
        <v>221</v>
      </c>
      <c r="H527" s="363"/>
      <c r="I527" s="253">
        <v>0</v>
      </c>
      <c r="J527" s="372"/>
      <c r="K527" s="373"/>
      <c r="L527" s="374"/>
      <c r="M527" s="256"/>
      <c r="N527" s="253"/>
      <c r="O527" s="256"/>
      <c r="P527" s="297"/>
      <c r="Q527" s="357"/>
    </row>
    <row r="528" spans="1:17" s="358" customFormat="1" ht="13.5" hidden="1" thickBot="1" x14ac:dyDescent="0.25">
      <c r="A528" s="359"/>
      <c r="B528" s="362"/>
      <c r="C528" s="361"/>
      <c r="D528" s="362" t="s">
        <v>18</v>
      </c>
      <c r="E528" s="362" t="s">
        <v>189</v>
      </c>
      <c r="F528" s="362"/>
      <c r="G528" s="363" t="s">
        <v>188</v>
      </c>
      <c r="H528" s="363"/>
      <c r="I528" s="253">
        <v>0</v>
      </c>
      <c r="J528" s="372"/>
      <c r="K528" s="373"/>
      <c r="L528" s="374"/>
      <c r="M528" s="256"/>
      <c r="N528" s="253"/>
      <c r="O528" s="256"/>
      <c r="P528" s="297"/>
      <c r="Q528" s="357"/>
    </row>
    <row r="529" spans="1:17" s="358" customFormat="1" ht="13.5" thickBot="1" x14ac:dyDescent="0.25">
      <c r="A529" s="402" t="s">
        <v>180</v>
      </c>
      <c r="B529" s="403"/>
      <c r="C529" s="404">
        <f>SUM(C515:C522)</f>
        <v>191100000</v>
      </c>
      <c r="D529" s="405"/>
      <c r="E529" s="405"/>
      <c r="F529" s="405"/>
      <c r="G529" s="406"/>
      <c r="H529" s="406"/>
      <c r="I529" s="407">
        <f>SUM(I516:I528)/2</f>
        <v>191100000</v>
      </c>
      <c r="J529" s="379"/>
      <c r="K529" s="380"/>
      <c r="L529" s="381"/>
      <c r="M529" s="382"/>
      <c r="N529" s="383">
        <f>+C529-I529</f>
        <v>0</v>
      </c>
      <c r="O529" s="433"/>
      <c r="P529" s="297">
        <f>+C529-I529</f>
        <v>0</v>
      </c>
      <c r="Q529" s="357"/>
    </row>
    <row r="530" spans="1:17" s="358" customFormat="1" x14ac:dyDescent="0.2">
      <c r="A530" s="413" t="s">
        <v>15</v>
      </c>
      <c r="B530" s="363"/>
      <c r="C530" s="363"/>
      <c r="D530" s="362"/>
      <c r="E530" s="362"/>
      <c r="F530" s="362"/>
      <c r="G530" s="363"/>
      <c r="H530" s="363"/>
      <c r="I530" s="356"/>
      <c r="J530" s="352"/>
      <c r="K530" s="353"/>
      <c r="L530" s="354"/>
      <c r="M530" s="355"/>
      <c r="N530" s="356"/>
      <c r="O530" s="355"/>
      <c r="P530" s="297"/>
      <c r="Q530" s="357"/>
    </row>
    <row r="531" spans="1:17" s="358" customFormat="1" x14ac:dyDescent="0.2">
      <c r="A531" s="359" t="str">
        <f>+'[1]Clasific. Económica de Ingr (3)'!A98</f>
        <v>1.3.3.1.09.00.0.0.000</v>
      </c>
      <c r="B531" s="363" t="s">
        <v>223</v>
      </c>
      <c r="C531" s="361">
        <f>SUM('[1]Clasific. Económica de Ingr (3)'!C98)</f>
        <v>141812576.22</v>
      </c>
      <c r="D531" s="362"/>
      <c r="E531" s="362"/>
      <c r="F531" s="362"/>
      <c r="G531" s="363"/>
      <c r="H531" s="363"/>
      <c r="I531" s="356"/>
      <c r="J531" s="352"/>
      <c r="K531" s="353"/>
      <c r="L531" s="354"/>
      <c r="M531" s="355"/>
      <c r="N531" s="356"/>
      <c r="O531" s="355"/>
      <c r="P531" s="297"/>
      <c r="Q531" s="357"/>
    </row>
    <row r="532" spans="1:17" s="358" customFormat="1" x14ac:dyDescent="0.2">
      <c r="A532" s="426"/>
      <c r="B532" s="427"/>
      <c r="C532" s="361"/>
      <c r="D532" s="362" t="s">
        <v>8</v>
      </c>
      <c r="E532" s="362" t="s">
        <v>184</v>
      </c>
      <c r="F532" s="362" t="s">
        <v>209</v>
      </c>
      <c r="G532" s="363" t="s">
        <v>213</v>
      </c>
      <c r="H532" s="363"/>
      <c r="I532" s="364">
        <v>50487523.670000002</v>
      </c>
      <c r="J532" s="352"/>
      <c r="K532" s="353"/>
      <c r="L532" s="354"/>
      <c r="M532" s="355"/>
      <c r="N532" s="253"/>
      <c r="O532" s="256"/>
      <c r="P532" s="297">
        <f>+'[2]INGRESOS LIBRES DETALLE Nº17'!H285</f>
        <v>0</v>
      </c>
      <c r="Q532" s="357">
        <f>+I532-P532</f>
        <v>50487523.670000002</v>
      </c>
    </row>
    <row r="533" spans="1:17" s="358" customFormat="1" x14ac:dyDescent="0.2">
      <c r="A533" s="426"/>
      <c r="B533" s="427"/>
      <c r="C533" s="361"/>
      <c r="D533" s="362"/>
      <c r="E533" s="362"/>
      <c r="F533" s="362"/>
      <c r="G533" s="363" t="s">
        <v>362</v>
      </c>
      <c r="H533" s="363"/>
      <c r="I533" s="356">
        <v>50487523.670000002</v>
      </c>
      <c r="J533" s="352">
        <f>+I533</f>
        <v>50487523.670000002</v>
      </c>
      <c r="K533" s="353"/>
      <c r="L533" s="354"/>
      <c r="M533" s="355"/>
      <c r="N533" s="253"/>
      <c r="O533" s="256"/>
      <c r="P533" s="297"/>
      <c r="Q533" s="357"/>
    </row>
    <row r="534" spans="1:17" s="358" customFormat="1" x14ac:dyDescent="0.2">
      <c r="A534" s="426"/>
      <c r="B534" s="427"/>
      <c r="C534" s="361"/>
      <c r="D534" s="362"/>
      <c r="E534" s="362"/>
      <c r="F534" s="362"/>
      <c r="G534" s="363"/>
      <c r="H534" s="363"/>
      <c r="I534" s="356"/>
      <c r="J534" s="352"/>
      <c r="K534" s="353"/>
      <c r="L534" s="354"/>
      <c r="M534" s="355"/>
      <c r="N534" s="253"/>
      <c r="O534" s="256"/>
      <c r="P534" s="297"/>
      <c r="Q534" s="357"/>
    </row>
    <row r="535" spans="1:17" s="358" customFormat="1" x14ac:dyDescent="0.2">
      <c r="A535" s="426"/>
      <c r="B535" s="427"/>
      <c r="C535" s="361"/>
      <c r="D535" s="362"/>
      <c r="E535" s="362"/>
      <c r="F535" s="362"/>
      <c r="G535" s="363"/>
      <c r="H535" s="363"/>
      <c r="I535" s="356"/>
      <c r="J535" s="352"/>
      <c r="K535" s="353"/>
      <c r="L535" s="354"/>
      <c r="M535" s="355"/>
      <c r="N535" s="253"/>
      <c r="O535" s="256"/>
      <c r="P535" s="297"/>
      <c r="Q535" s="357"/>
    </row>
    <row r="536" spans="1:17" s="358" customFormat="1" ht="14.25" customHeight="1" x14ac:dyDescent="0.2">
      <c r="A536" s="359"/>
      <c r="B536" s="362"/>
      <c r="C536" s="361"/>
      <c r="D536" s="362" t="s">
        <v>19</v>
      </c>
      <c r="E536" s="362">
        <v>29</v>
      </c>
      <c r="F536" s="362"/>
      <c r="G536" s="363" t="str">
        <f>+'[2]Egresos Programa II General'!B41</f>
        <v>Por incumplimiento de Deberes de los Propietarios BI</v>
      </c>
      <c r="H536" s="363"/>
      <c r="I536" s="364">
        <v>91325052.549999997</v>
      </c>
      <c r="J536" s="352"/>
      <c r="K536" s="353"/>
      <c r="L536" s="354"/>
      <c r="M536" s="355"/>
      <c r="N536" s="253"/>
      <c r="O536" s="256"/>
      <c r="P536" s="297"/>
      <c r="Q536" s="357"/>
    </row>
    <row r="537" spans="1:17" s="358" customFormat="1" hidden="1" x14ac:dyDescent="0.2">
      <c r="A537" s="359"/>
      <c r="B537" s="362"/>
      <c r="C537" s="361"/>
      <c r="D537" s="362" t="s">
        <v>18</v>
      </c>
      <c r="E537" s="362">
        <v>7</v>
      </c>
      <c r="F537" s="362"/>
      <c r="G537" s="363" t="s">
        <v>188</v>
      </c>
      <c r="H537" s="363"/>
      <c r="I537" s="253">
        <v>0</v>
      </c>
      <c r="J537" s="372"/>
      <c r="K537" s="373"/>
      <c r="L537" s="374"/>
      <c r="M537" s="256"/>
      <c r="N537" s="253"/>
      <c r="O537" s="256"/>
      <c r="P537" s="297"/>
      <c r="Q537" s="357"/>
    </row>
    <row r="538" spans="1:17" s="358" customFormat="1" x14ac:dyDescent="0.2">
      <c r="A538" s="359"/>
      <c r="B538" s="362"/>
      <c r="C538" s="361"/>
      <c r="D538" s="362"/>
      <c r="E538" s="362"/>
      <c r="F538" s="362"/>
      <c r="G538" s="363" t="s">
        <v>9</v>
      </c>
      <c r="H538" s="363"/>
      <c r="I538" s="253">
        <f>-19780000-18000000+99409909.73</f>
        <v>61629909.730000004</v>
      </c>
      <c r="J538" s="372">
        <f>+I538</f>
        <v>61629909.730000004</v>
      </c>
      <c r="K538" s="373"/>
      <c r="L538" s="374"/>
      <c r="M538" s="256"/>
      <c r="N538" s="253"/>
      <c r="O538" s="256"/>
      <c r="P538" s="297"/>
      <c r="Q538" s="357"/>
    </row>
    <row r="539" spans="1:17" s="358" customFormat="1" x14ac:dyDescent="0.2">
      <c r="A539" s="359"/>
      <c r="B539" s="362"/>
      <c r="C539" s="361"/>
      <c r="D539" s="362"/>
      <c r="E539" s="362"/>
      <c r="F539" s="362"/>
      <c r="G539" s="363" t="s">
        <v>10</v>
      </c>
      <c r="H539" s="363"/>
      <c r="I539" s="253">
        <v>12238642.82</v>
      </c>
      <c r="J539" s="372">
        <f>+I539</f>
        <v>12238642.82</v>
      </c>
      <c r="K539" s="373"/>
      <c r="L539" s="374"/>
      <c r="M539" s="256"/>
      <c r="N539" s="253"/>
      <c r="O539" s="256"/>
      <c r="P539" s="297"/>
      <c r="Q539" s="357"/>
    </row>
    <row r="540" spans="1:17" s="358" customFormat="1" x14ac:dyDescent="0.2">
      <c r="A540" s="359"/>
      <c r="B540" s="362"/>
      <c r="C540" s="361"/>
      <c r="D540" s="362"/>
      <c r="E540" s="362"/>
      <c r="F540" s="362"/>
      <c r="G540" s="363" t="s">
        <v>11</v>
      </c>
      <c r="H540" s="363"/>
      <c r="I540" s="253">
        <v>2416500</v>
      </c>
      <c r="J540" s="372">
        <f>+I540</f>
        <v>2416500</v>
      </c>
      <c r="K540" s="373"/>
      <c r="L540" s="374"/>
      <c r="M540" s="256"/>
      <c r="N540" s="253"/>
      <c r="O540" s="256"/>
      <c r="P540" s="297"/>
      <c r="Q540" s="357"/>
    </row>
    <row r="541" spans="1:17" s="358" customFormat="1" x14ac:dyDescent="0.2">
      <c r="A541" s="359"/>
      <c r="B541" s="362"/>
      <c r="C541" s="361"/>
      <c r="D541" s="362"/>
      <c r="E541" s="362"/>
      <c r="F541" s="362"/>
      <c r="G541" s="363" t="s">
        <v>13</v>
      </c>
      <c r="H541" s="363"/>
      <c r="I541" s="253">
        <v>12540000</v>
      </c>
      <c r="J541" s="372"/>
      <c r="K541" s="373">
        <f>+I541</f>
        <v>12540000</v>
      </c>
      <c r="L541" s="374"/>
      <c r="M541" s="256"/>
      <c r="N541" s="253"/>
      <c r="O541" s="256"/>
      <c r="P541" s="297"/>
      <c r="Q541" s="357"/>
    </row>
    <row r="542" spans="1:17" s="358" customFormat="1" x14ac:dyDescent="0.2">
      <c r="A542" s="359"/>
      <c r="B542" s="362"/>
      <c r="C542" s="361"/>
      <c r="D542" s="362"/>
      <c r="E542" s="362"/>
      <c r="F542" s="362"/>
      <c r="G542" s="363" t="s">
        <v>14</v>
      </c>
      <c r="H542" s="363"/>
      <c r="I542" s="253">
        <v>2500000</v>
      </c>
      <c r="J542" s="372">
        <f>+I542</f>
        <v>2500000</v>
      </c>
      <c r="K542" s="373"/>
      <c r="L542" s="374"/>
      <c r="M542" s="256"/>
      <c r="N542" s="253"/>
      <c r="O542" s="256"/>
      <c r="P542" s="297"/>
      <c r="Q542" s="357"/>
    </row>
    <row r="543" spans="1:17" s="358" customFormat="1" ht="13.5" thickBot="1" x14ac:dyDescent="0.25">
      <c r="A543" s="359"/>
      <c r="B543" s="362"/>
      <c r="C543" s="361"/>
      <c r="D543" s="362"/>
      <c r="E543" s="362"/>
      <c r="F543" s="362"/>
      <c r="G543" s="363"/>
      <c r="H543" s="363"/>
      <c r="I543" s="253"/>
      <c r="J543" s="372"/>
      <c r="K543" s="373"/>
      <c r="L543" s="374"/>
      <c r="M543" s="256"/>
      <c r="N543" s="253"/>
      <c r="O543" s="256"/>
      <c r="P543" s="297"/>
      <c r="Q543" s="357"/>
    </row>
    <row r="544" spans="1:17" s="386" customFormat="1" ht="13.5" thickBot="1" x14ac:dyDescent="0.25">
      <c r="A544" s="402" t="s">
        <v>180</v>
      </c>
      <c r="B544" s="403"/>
      <c r="C544" s="404">
        <f>SUM(C531:C536)</f>
        <v>141812576.22</v>
      </c>
      <c r="D544" s="405"/>
      <c r="E544" s="405"/>
      <c r="F544" s="405"/>
      <c r="G544" s="406"/>
      <c r="H544" s="406"/>
      <c r="I544" s="407">
        <f>SUM(I532:I543)/2</f>
        <v>141812576.22</v>
      </c>
      <c r="J544" s="480"/>
      <c r="K544" s="481"/>
      <c r="L544" s="482"/>
      <c r="M544" s="483"/>
      <c r="N544" s="484">
        <f>+C544-I544</f>
        <v>0</v>
      </c>
      <c r="O544" s="382"/>
      <c r="P544" s="384">
        <f>+C544-I544</f>
        <v>0</v>
      </c>
      <c r="Q544" s="385"/>
    </row>
    <row r="545" spans="1:17" s="358" customFormat="1" x14ac:dyDescent="0.2">
      <c r="A545" s="409"/>
      <c r="B545" s="410"/>
      <c r="C545" s="411"/>
      <c r="D545" s="376"/>
      <c r="E545" s="376"/>
      <c r="F545" s="376"/>
      <c r="G545" s="350"/>
      <c r="H545" s="350"/>
      <c r="I545" s="491"/>
      <c r="J545" s="492"/>
      <c r="K545" s="493"/>
      <c r="L545" s="494"/>
      <c r="M545" s="495"/>
      <c r="N545" s="491"/>
      <c r="O545" s="496"/>
      <c r="P545" s="297"/>
      <c r="Q545" s="357"/>
    </row>
    <row r="546" spans="1:17" s="358" customFormat="1" x14ac:dyDescent="0.2">
      <c r="A546" s="359" t="str">
        <f>+'[1]Clasific. Económica de Ingr (3)'!A103</f>
        <v>1.3.4.1.00.00.0.0.000</v>
      </c>
      <c r="B546" s="365" t="s">
        <v>222</v>
      </c>
      <c r="C546" s="361">
        <f>SUM('[1]Clasific. Económica de Ingr (3)'!C103)</f>
        <v>475000000</v>
      </c>
      <c r="D546" s="362"/>
      <c r="E546" s="362"/>
      <c r="F546" s="362"/>
      <c r="G546" s="363"/>
      <c r="H546" s="363"/>
      <c r="I546" s="356"/>
      <c r="J546" s="352"/>
      <c r="K546" s="353"/>
      <c r="L546" s="354"/>
      <c r="M546" s="355"/>
      <c r="N546" s="356"/>
      <c r="O546" s="355"/>
      <c r="P546" s="297"/>
      <c r="Q546" s="357"/>
    </row>
    <row r="547" spans="1:17" s="358" customFormat="1" hidden="1" x14ac:dyDescent="0.2">
      <c r="A547" s="359"/>
      <c r="B547" s="365"/>
      <c r="C547" s="361"/>
      <c r="D547" s="362" t="s">
        <v>8</v>
      </c>
      <c r="E547" s="362" t="s">
        <v>184</v>
      </c>
      <c r="F547" s="362" t="s">
        <v>209</v>
      </c>
      <c r="G547" s="363" t="s">
        <v>213</v>
      </c>
      <c r="H547" s="363"/>
      <c r="I547" s="356"/>
      <c r="J547" s="352"/>
      <c r="K547" s="353"/>
      <c r="L547" s="354"/>
      <c r="M547" s="355"/>
      <c r="N547" s="356"/>
      <c r="O547" s="355"/>
      <c r="P547" s="297"/>
      <c r="Q547" s="357"/>
    </row>
    <row r="548" spans="1:17" s="358" customFormat="1" x14ac:dyDescent="0.2">
      <c r="A548" s="359"/>
      <c r="B548" s="362"/>
      <c r="C548" s="361"/>
      <c r="D548" s="362" t="s">
        <v>8</v>
      </c>
      <c r="E548" s="362" t="s">
        <v>191</v>
      </c>
      <c r="F548" s="362"/>
      <c r="G548" s="363" t="str">
        <f>+[2]ProgramaI!B27</f>
        <v>Consejo Nacionala de Personas con Discapacidad</v>
      </c>
      <c r="H548" s="363"/>
      <c r="I548" s="356">
        <f>+[2]ProgramaI!E27</f>
        <v>129395598.30174999</v>
      </c>
      <c r="J548" s="352"/>
      <c r="K548" s="353"/>
      <c r="L548" s="354"/>
      <c r="M548" s="355"/>
      <c r="N548" s="253"/>
      <c r="O548" s="256"/>
      <c r="P548" s="297"/>
      <c r="Q548" s="357"/>
    </row>
    <row r="549" spans="1:17" s="358" customFormat="1" x14ac:dyDescent="0.2">
      <c r="A549" s="359"/>
      <c r="B549" s="362"/>
      <c r="C549" s="361"/>
      <c r="D549" s="362"/>
      <c r="E549" s="362"/>
      <c r="F549" s="362"/>
      <c r="G549" s="363" t="s">
        <v>14</v>
      </c>
      <c r="H549" s="363"/>
      <c r="I549" s="356">
        <v>129395598.3</v>
      </c>
      <c r="J549" s="352">
        <f>+I549</f>
        <v>129395598.3</v>
      </c>
      <c r="K549" s="353"/>
      <c r="L549" s="354"/>
      <c r="M549" s="355"/>
      <c r="N549" s="253"/>
      <c r="O549" s="256"/>
      <c r="P549" s="297"/>
      <c r="Q549" s="357"/>
    </row>
    <row r="550" spans="1:17" s="358" customFormat="1" x14ac:dyDescent="0.2">
      <c r="A550" s="359"/>
      <c r="B550" s="362"/>
      <c r="C550" s="361"/>
      <c r="D550" s="362"/>
      <c r="E550" s="362"/>
      <c r="F550" s="362"/>
      <c r="G550" s="363"/>
      <c r="H550" s="363"/>
      <c r="I550" s="356"/>
      <c r="J550" s="352"/>
      <c r="K550" s="353"/>
      <c r="L550" s="354"/>
      <c r="M550" s="355"/>
      <c r="N550" s="253"/>
      <c r="O550" s="256"/>
      <c r="P550" s="297"/>
      <c r="Q550" s="357"/>
    </row>
    <row r="551" spans="1:17" s="358" customFormat="1" x14ac:dyDescent="0.2">
      <c r="A551" s="359"/>
      <c r="B551" s="362"/>
      <c r="C551" s="361"/>
      <c r="D551" s="362" t="s">
        <v>8</v>
      </c>
      <c r="E551" s="362" t="s">
        <v>191</v>
      </c>
      <c r="F551" s="362"/>
      <c r="G551" s="363" t="str">
        <f>+[2]ProgramaI!B32</f>
        <v xml:space="preserve">Comité Cantonal Deportes y Recreación </v>
      </c>
      <c r="H551" s="363"/>
      <c r="I551" s="356">
        <f>+[2]ProgramaI!E32-I516-I505-I228-I490-I249+0.01-I23</f>
        <v>345604401.70049989</v>
      </c>
      <c r="J551" s="352"/>
      <c r="K551" s="353"/>
      <c r="L551" s="354"/>
      <c r="M551" s="355"/>
      <c r="N551" s="253"/>
      <c r="O551" s="256">
        <f>+I551+I505+I516+I228+I490</f>
        <v>501704401.70049989</v>
      </c>
      <c r="P551" s="297"/>
      <c r="Q551" s="357"/>
    </row>
    <row r="552" spans="1:17" s="358" customFormat="1" ht="13.5" thickBot="1" x14ac:dyDescent="0.25">
      <c r="A552" s="359"/>
      <c r="B552" s="362"/>
      <c r="C552" s="361"/>
      <c r="D552" s="362"/>
      <c r="E552" s="362"/>
      <c r="F552" s="362"/>
      <c r="G552" s="363" t="s">
        <v>14</v>
      </c>
      <c r="H552" s="363"/>
      <c r="I552" s="356">
        <v>345604401.69999999</v>
      </c>
      <c r="J552" s="352">
        <f>+I552</f>
        <v>345604401.69999999</v>
      </c>
      <c r="K552" s="353"/>
      <c r="L552" s="354"/>
      <c r="M552" s="355"/>
      <c r="N552" s="253"/>
      <c r="O552" s="256"/>
      <c r="P552" s="297"/>
      <c r="Q552" s="357"/>
    </row>
    <row r="553" spans="1:17" s="358" customFormat="1" ht="13.5" hidden="1" thickBot="1" x14ac:dyDescent="0.25">
      <c r="A553" s="359"/>
      <c r="B553" s="362"/>
      <c r="C553" s="361"/>
      <c r="D553" s="362"/>
      <c r="E553" s="362"/>
      <c r="F553" s="362"/>
      <c r="G553" s="363"/>
      <c r="H553" s="363"/>
      <c r="I553" s="356"/>
      <c r="J553" s="352"/>
      <c r="K553" s="353"/>
      <c r="L553" s="354"/>
      <c r="M553" s="355"/>
      <c r="N553" s="253"/>
      <c r="O553" s="256"/>
      <c r="P553" s="297"/>
      <c r="Q553" s="357"/>
    </row>
    <row r="554" spans="1:17" s="358" customFormat="1" ht="13.5" hidden="1" thickBot="1" x14ac:dyDescent="0.25">
      <c r="A554" s="359"/>
      <c r="B554" s="362"/>
      <c r="C554" s="361"/>
      <c r="D554" s="362" t="s">
        <v>8</v>
      </c>
      <c r="E554" s="362" t="s">
        <v>191</v>
      </c>
      <c r="F554" s="362"/>
      <c r="G554" s="363" t="str">
        <f>+[2]ProgramaI!B49</f>
        <v>Reintegros o devoluciones</v>
      </c>
      <c r="H554" s="363"/>
      <c r="I554" s="356">
        <v>0</v>
      </c>
      <c r="J554" s="352"/>
      <c r="K554" s="353"/>
      <c r="L554" s="354"/>
      <c r="M554" s="355"/>
      <c r="N554" s="253"/>
      <c r="O554" s="256"/>
      <c r="P554" s="297"/>
      <c r="Q554" s="357"/>
    </row>
    <row r="555" spans="1:17" s="358" customFormat="1" ht="13.5" hidden="1" thickBot="1" x14ac:dyDescent="0.25">
      <c r="A555" s="359"/>
      <c r="B555" s="363"/>
      <c r="C555" s="361"/>
      <c r="D555" s="362" t="s">
        <v>18</v>
      </c>
      <c r="E555" s="362" t="s">
        <v>185</v>
      </c>
      <c r="F555" s="362" t="s">
        <v>185</v>
      </c>
      <c r="G555" s="363" t="s">
        <v>221</v>
      </c>
      <c r="H555" s="363"/>
      <c r="I555" s="253"/>
      <c r="J555" s="372"/>
      <c r="K555" s="373"/>
      <c r="L555" s="374"/>
      <c r="M555" s="256"/>
      <c r="N555" s="356"/>
      <c r="O555" s="355">
        <f>SUM(I555:I558)</f>
        <v>0</v>
      </c>
      <c r="P555" s="297"/>
      <c r="Q555" s="357"/>
    </row>
    <row r="556" spans="1:17" s="358" customFormat="1" ht="13.5" hidden="1" thickBot="1" x14ac:dyDescent="0.25">
      <c r="A556" s="359"/>
      <c r="B556" s="362"/>
      <c r="C556" s="361"/>
      <c r="D556" s="362" t="s">
        <v>18</v>
      </c>
      <c r="E556" s="362" t="s">
        <v>183</v>
      </c>
      <c r="F556" s="362" t="s">
        <v>184</v>
      </c>
      <c r="G556" s="360" t="s">
        <v>199</v>
      </c>
      <c r="H556" s="360"/>
      <c r="I556" s="253"/>
      <c r="J556" s="372"/>
      <c r="K556" s="373"/>
      <c r="L556" s="374"/>
      <c r="M556" s="256"/>
      <c r="N556" s="253"/>
      <c r="O556" s="256"/>
      <c r="P556" s="297">
        <f>+I556+I757</f>
        <v>0</v>
      </c>
      <c r="Q556" s="357"/>
    </row>
    <row r="557" spans="1:17" s="358" customFormat="1" ht="13.5" hidden="1" thickBot="1" x14ac:dyDescent="0.25">
      <c r="A557" s="359"/>
      <c r="B557" s="362"/>
      <c r="C557" s="361"/>
      <c r="D557" s="362" t="s">
        <v>18</v>
      </c>
      <c r="E557" s="362" t="s">
        <v>189</v>
      </c>
      <c r="F557" s="362"/>
      <c r="G557" s="363" t="s">
        <v>188</v>
      </c>
      <c r="H557" s="363"/>
      <c r="I557" s="253">
        <v>0</v>
      </c>
      <c r="J557" s="372"/>
      <c r="K557" s="373"/>
      <c r="L557" s="374"/>
      <c r="M557" s="256"/>
      <c r="N557" s="253"/>
      <c r="O557" s="256"/>
      <c r="P557" s="297"/>
      <c r="Q557" s="357"/>
    </row>
    <row r="558" spans="1:17" s="358" customFormat="1" ht="13.5" hidden="1" thickBot="1" x14ac:dyDescent="0.25">
      <c r="A558" s="359"/>
      <c r="B558" s="362"/>
      <c r="C558" s="361"/>
      <c r="D558" s="362" t="s">
        <v>18</v>
      </c>
      <c r="E558" s="362" t="s">
        <v>187</v>
      </c>
      <c r="F558" s="366"/>
      <c r="G558" s="363" t="s">
        <v>220</v>
      </c>
      <c r="H558" s="363"/>
      <c r="I558" s="253">
        <v>0</v>
      </c>
      <c r="J558" s="372"/>
      <c r="K558" s="373"/>
      <c r="L558" s="374"/>
      <c r="M558" s="256"/>
      <c r="N558" s="253"/>
      <c r="O558" s="256"/>
      <c r="P558" s="297"/>
      <c r="Q558" s="357"/>
    </row>
    <row r="559" spans="1:17" s="358" customFormat="1" ht="13.5" thickBot="1" x14ac:dyDescent="0.25">
      <c r="A559" s="402" t="s">
        <v>180</v>
      </c>
      <c r="B559" s="403"/>
      <c r="C559" s="404">
        <f>SUM(C546:C548)</f>
        <v>475000000</v>
      </c>
      <c r="D559" s="405"/>
      <c r="E559" s="405"/>
      <c r="F559" s="405"/>
      <c r="G559" s="406"/>
      <c r="H559" s="406"/>
      <c r="I559" s="407">
        <f>SUM(I546:I558)/2</f>
        <v>475000000.00112498</v>
      </c>
      <c r="J559" s="379"/>
      <c r="K559" s="380"/>
      <c r="L559" s="381"/>
      <c r="M559" s="382"/>
      <c r="N559" s="383">
        <f>+C559-I559</f>
        <v>-1.1249780654907227E-3</v>
      </c>
      <c r="O559" s="382"/>
      <c r="P559" s="297"/>
      <c r="Q559" s="357"/>
    </row>
    <row r="560" spans="1:17" x14ac:dyDescent="0.2">
      <c r="A560" s="387"/>
      <c r="B560" s="388"/>
      <c r="C560" s="389"/>
      <c r="D560" s="207"/>
      <c r="E560" s="207"/>
      <c r="F560" s="207"/>
      <c r="G560" s="231"/>
      <c r="H560" s="231"/>
      <c r="I560" s="232"/>
      <c r="J560" s="301"/>
      <c r="K560" s="302"/>
      <c r="L560" s="303"/>
      <c r="N560" s="300"/>
      <c r="O560" s="236"/>
    </row>
    <row r="561" spans="1:17" ht="25.5" x14ac:dyDescent="0.2">
      <c r="A561" s="221" t="str">
        <f>+'[1]Clasific. Económica de Ingr (3)'!A110</f>
        <v>1.4.1.2.01.00.0.0.000</v>
      </c>
      <c r="B561" s="395" t="s">
        <v>219</v>
      </c>
      <c r="C561" s="240">
        <f>SUM('[1]Clasific. Económica de Ingr (3)'!C110)</f>
        <v>103200000</v>
      </c>
      <c r="D561" s="209"/>
      <c r="E561" s="209"/>
      <c r="F561" s="209"/>
      <c r="G561" s="241"/>
      <c r="H561" s="241"/>
      <c r="I561" s="300"/>
      <c r="J561" s="301"/>
      <c r="K561" s="302"/>
      <c r="L561" s="303"/>
      <c r="N561" s="300"/>
      <c r="O561" s="236"/>
    </row>
    <row r="562" spans="1:17" x14ac:dyDescent="0.2">
      <c r="A562" s="221"/>
      <c r="B562" s="209"/>
      <c r="C562" s="240"/>
      <c r="D562" s="209" t="s">
        <v>195</v>
      </c>
      <c r="E562" s="209">
        <v>22</v>
      </c>
      <c r="F562" s="209"/>
      <c r="G562" s="241" t="str">
        <f>+'[2]Egresos Programa II General'!B31</f>
        <v>Seguridad Vial</v>
      </c>
      <c r="H562" s="241"/>
      <c r="I562" s="247">
        <v>103200000</v>
      </c>
      <c r="J562" s="313"/>
      <c r="K562" s="314"/>
      <c r="L562" s="315"/>
      <c r="M562" s="248"/>
      <c r="N562" s="242"/>
      <c r="O562" s="246"/>
    </row>
    <row r="563" spans="1:17" ht="25.5" hidden="1" x14ac:dyDescent="0.2">
      <c r="A563" s="221"/>
      <c r="B563" s="309"/>
      <c r="C563" s="240"/>
      <c r="D563" s="209" t="s">
        <v>18</v>
      </c>
      <c r="E563" s="209" t="s">
        <v>187</v>
      </c>
      <c r="F563" s="209"/>
      <c r="G563" s="296" t="s">
        <v>198</v>
      </c>
      <c r="H563" s="296"/>
      <c r="I563" s="300">
        <v>0</v>
      </c>
      <c r="J563" s="301"/>
      <c r="K563" s="302"/>
      <c r="L563" s="303"/>
      <c r="N563" s="300"/>
      <c r="O563" s="236"/>
    </row>
    <row r="564" spans="1:17" x14ac:dyDescent="0.2">
      <c r="A564" s="221"/>
      <c r="B564" s="309"/>
      <c r="C564" s="240"/>
      <c r="D564" s="209"/>
      <c r="E564" s="209"/>
      <c r="F564" s="209"/>
      <c r="G564" s="296" t="s">
        <v>9</v>
      </c>
      <c r="H564" s="296"/>
      <c r="I564" s="300">
        <v>81751780.670000002</v>
      </c>
      <c r="J564" s="301">
        <f>+I564</f>
        <v>81751780.670000002</v>
      </c>
      <c r="K564" s="302"/>
      <c r="L564" s="303"/>
      <c r="N564" s="300"/>
      <c r="O564" s="236"/>
    </row>
    <row r="565" spans="1:17" x14ac:dyDescent="0.2">
      <c r="A565" s="221"/>
      <c r="B565" s="309"/>
      <c r="C565" s="240"/>
      <c r="D565" s="209"/>
      <c r="E565" s="209"/>
      <c r="F565" s="209"/>
      <c r="G565" s="296" t="s">
        <v>218</v>
      </c>
      <c r="H565" s="296"/>
      <c r="I565" s="300">
        <v>6448219.3300000001</v>
      </c>
      <c r="J565" s="301">
        <f>+I565</f>
        <v>6448219.3300000001</v>
      </c>
      <c r="K565" s="302"/>
      <c r="L565" s="303"/>
      <c r="N565" s="300"/>
      <c r="O565" s="236"/>
    </row>
    <row r="566" spans="1:17" ht="13.5" thickBot="1" x14ac:dyDescent="0.25">
      <c r="A566" s="221"/>
      <c r="B566" s="309"/>
      <c r="C566" s="240"/>
      <c r="D566" s="209"/>
      <c r="E566" s="209"/>
      <c r="F566" s="209"/>
      <c r="G566" s="296" t="s">
        <v>207</v>
      </c>
      <c r="H566" s="296"/>
      <c r="I566" s="300">
        <v>15000000</v>
      </c>
      <c r="J566" s="301">
        <f>+I566</f>
        <v>15000000</v>
      </c>
      <c r="K566" s="302"/>
      <c r="L566" s="303"/>
      <c r="N566" s="300"/>
      <c r="O566" s="236"/>
    </row>
    <row r="567" spans="1:17" s="239" customFormat="1" ht="13.5" thickBot="1" x14ac:dyDescent="0.25">
      <c r="A567" s="323" t="s">
        <v>180</v>
      </c>
      <c r="B567" s="324"/>
      <c r="C567" s="325">
        <f>SUM(C561:C562)</f>
        <v>103200000</v>
      </c>
      <c r="D567" s="326"/>
      <c r="E567" s="326"/>
      <c r="F567" s="326"/>
      <c r="G567" s="327"/>
      <c r="H567" s="327"/>
      <c r="I567" s="341">
        <f>SUM(I562:I566)/2</f>
        <v>103200000.00000001</v>
      </c>
      <c r="J567" s="342"/>
      <c r="K567" s="343"/>
      <c r="L567" s="344"/>
      <c r="M567" s="345"/>
      <c r="N567" s="333">
        <f>+C567-I567</f>
        <v>0</v>
      </c>
      <c r="O567" s="345"/>
      <c r="P567" s="334"/>
      <c r="Q567" s="335"/>
    </row>
    <row r="568" spans="1:17" ht="10.5" customHeight="1" x14ac:dyDescent="0.2">
      <c r="A568" s="221"/>
      <c r="B568" s="209"/>
      <c r="C568" s="240"/>
      <c r="D568" s="209"/>
      <c r="E568" s="209"/>
      <c r="F568" s="209"/>
      <c r="G568" s="241"/>
      <c r="H568" s="241"/>
      <c r="I568" s="242"/>
      <c r="J568" s="243"/>
      <c r="K568" s="244"/>
      <c r="L568" s="245"/>
      <c r="M568" s="246"/>
      <c r="N568" s="242"/>
      <c r="O568" s="246"/>
    </row>
    <row r="569" spans="1:17" ht="13.5" customHeight="1" thickBot="1" x14ac:dyDescent="0.25">
      <c r="A569" s="221"/>
      <c r="B569" s="209"/>
      <c r="D569" s="239"/>
      <c r="E569" s="239"/>
      <c r="F569" s="239"/>
      <c r="G569" s="241"/>
      <c r="H569" s="241"/>
      <c r="I569" s="497"/>
      <c r="J569" s="498"/>
      <c r="K569" s="499"/>
      <c r="L569" s="500"/>
      <c r="M569" s="501"/>
      <c r="N569" s="497"/>
      <c r="O569" s="501"/>
    </row>
    <row r="570" spans="1:17" ht="26.25" hidden="1" thickBot="1" x14ac:dyDescent="0.25">
      <c r="A570" s="286" t="str">
        <f>+'[1]Clasific. Económica de Ingr (3)'!A111</f>
        <v>1.4.1.2.02,00.0.0.000</v>
      </c>
      <c r="B570" s="464" t="str">
        <f>+'[1]Clasific. Económica de Ingr (3)'!B111</f>
        <v>Programas comites cantonales de la Persona Joven</v>
      </c>
      <c r="C570" s="287">
        <f>SUM('[1]Clasific. Económica de Ingr (3)'!C111)</f>
        <v>0</v>
      </c>
      <c r="D570" s="207"/>
      <c r="E570" s="207"/>
      <c r="F570" s="207"/>
      <c r="G570" s="231"/>
      <c r="H570" s="231"/>
      <c r="I570" s="232"/>
      <c r="J570" s="301"/>
      <c r="K570" s="302"/>
      <c r="L570" s="303"/>
      <c r="N570" s="300"/>
      <c r="O570" s="236"/>
    </row>
    <row r="571" spans="1:17" ht="13.5" hidden="1" thickBot="1" x14ac:dyDescent="0.25">
      <c r="A571" s="221"/>
      <c r="B571" s="209"/>
      <c r="C571" s="240"/>
      <c r="D571" s="209" t="s">
        <v>19</v>
      </c>
      <c r="E571" s="209">
        <v>10</v>
      </c>
      <c r="F571" s="209"/>
      <c r="G571" s="241" t="s">
        <v>217</v>
      </c>
      <c r="H571" s="241"/>
      <c r="I571" s="242"/>
      <c r="J571" s="243"/>
      <c r="K571" s="244"/>
      <c r="L571" s="245"/>
      <c r="M571" s="246"/>
      <c r="N571" s="242"/>
      <c r="O571" s="246"/>
    </row>
    <row r="572" spans="1:17" ht="28.5" hidden="1" customHeight="1" thickBot="1" x14ac:dyDescent="0.25">
      <c r="A572" s="271"/>
      <c r="B572" s="459"/>
      <c r="C572" s="273"/>
      <c r="D572" s="272" t="s">
        <v>19</v>
      </c>
      <c r="E572" s="272">
        <v>10</v>
      </c>
      <c r="F572" s="272"/>
      <c r="G572" s="502" t="s">
        <v>198</v>
      </c>
      <c r="H572" s="502"/>
      <c r="I572" s="442">
        <v>0</v>
      </c>
      <c r="J572" s="301"/>
      <c r="K572" s="302"/>
      <c r="L572" s="303"/>
      <c r="N572" s="300"/>
      <c r="O572" s="236"/>
    </row>
    <row r="573" spans="1:17" ht="13.5" hidden="1" thickBot="1" x14ac:dyDescent="0.25">
      <c r="A573" s="323" t="s">
        <v>180</v>
      </c>
      <c r="B573" s="324"/>
      <c r="C573" s="325">
        <f>SUM(C570:C571)</f>
        <v>0</v>
      </c>
      <c r="D573" s="326"/>
      <c r="E573" s="326"/>
      <c r="F573" s="326"/>
      <c r="G573" s="327"/>
      <c r="H573" s="327"/>
      <c r="I573" s="341">
        <f>SUM(I571:I572)</f>
        <v>0</v>
      </c>
      <c r="J573" s="342"/>
      <c r="K573" s="343"/>
      <c r="L573" s="344"/>
      <c r="M573" s="345"/>
      <c r="N573" s="333">
        <f>+C573-I573</f>
        <v>0</v>
      </c>
      <c r="O573" s="345"/>
      <c r="P573" s="503"/>
    </row>
    <row r="574" spans="1:17" s="516" customFormat="1" x14ac:dyDescent="0.2">
      <c r="A574" s="504" t="s">
        <v>15</v>
      </c>
      <c r="B574" s="505"/>
      <c r="C574" s="506"/>
      <c r="D574" s="507"/>
      <c r="E574" s="507"/>
      <c r="F574" s="507"/>
      <c r="G574" s="508"/>
      <c r="H574" s="508"/>
      <c r="I574" s="509"/>
      <c r="J574" s="510"/>
      <c r="K574" s="511"/>
      <c r="L574" s="512"/>
      <c r="M574" s="513"/>
      <c r="N574" s="514"/>
      <c r="O574" s="513"/>
      <c r="P574" s="515"/>
      <c r="Q574" s="513"/>
    </row>
    <row r="575" spans="1:17" s="516" customFormat="1" ht="33.75" customHeight="1" x14ac:dyDescent="0.2">
      <c r="A575" s="517" t="str">
        <f>+'[1]Clasific. Económica de Ingr (3)'!A113</f>
        <v>1.4.1.3.01.00.0.0.000</v>
      </c>
      <c r="B575" s="518" t="s">
        <v>216</v>
      </c>
      <c r="C575" s="519">
        <f>SUM('[1]Clasific. Económica de Ingr (3)'!C113)</f>
        <v>68648573.450000003</v>
      </c>
      <c r="D575" s="520"/>
      <c r="E575" s="520"/>
      <c r="F575" s="520"/>
      <c r="G575" s="521"/>
      <c r="H575" s="521"/>
      <c r="I575" s="514"/>
      <c r="J575" s="510"/>
      <c r="K575" s="511"/>
      <c r="L575" s="512"/>
      <c r="M575" s="513"/>
      <c r="N575" s="514"/>
      <c r="O575" s="513"/>
      <c r="P575" s="515"/>
      <c r="Q575" s="513"/>
    </row>
    <row r="576" spans="1:17" s="516" customFormat="1" x14ac:dyDescent="0.2">
      <c r="A576" s="517"/>
      <c r="B576" s="520"/>
      <c r="C576" s="519"/>
      <c r="D576" s="520" t="s">
        <v>8</v>
      </c>
      <c r="E576" s="520" t="s">
        <v>184</v>
      </c>
      <c r="F576" s="520" t="s">
        <v>209</v>
      </c>
      <c r="G576" s="521" t="s">
        <v>213</v>
      </c>
      <c r="H576" s="521"/>
      <c r="I576" s="522">
        <v>68648573.450000003</v>
      </c>
      <c r="J576" s="523"/>
      <c r="K576" s="524"/>
      <c r="L576" s="525"/>
      <c r="M576" s="526"/>
      <c r="N576" s="527">
        <v>0</v>
      </c>
      <c r="O576" s="526">
        <f>+C575*50.5%-I576</f>
        <v>-33981043.857749999</v>
      </c>
      <c r="P576" s="515"/>
      <c r="Q576" s="513"/>
    </row>
    <row r="577" spans="1:17" s="516" customFormat="1" hidden="1" x14ac:dyDescent="0.2">
      <c r="A577" s="517"/>
      <c r="B577" s="520"/>
      <c r="C577" s="519"/>
      <c r="D577" s="520" t="s">
        <v>19</v>
      </c>
      <c r="E577" s="520">
        <v>31</v>
      </c>
      <c r="F577" s="520"/>
      <c r="G577" s="521" t="str">
        <f>+'[2]Egresos Programa II General'!B45</f>
        <v>Aporte en Especie para Servicios Y Proyectos Comunitarios</v>
      </c>
      <c r="H577" s="521"/>
      <c r="I577" s="527"/>
      <c r="J577" s="523"/>
      <c r="K577" s="524"/>
      <c r="L577" s="525"/>
      <c r="M577" s="526"/>
      <c r="N577" s="527"/>
      <c r="O577" s="526"/>
      <c r="P577" s="515">
        <f>I577+I588</f>
        <v>0</v>
      </c>
      <c r="Q577" s="513"/>
    </row>
    <row r="578" spans="1:17" s="516" customFormat="1" hidden="1" x14ac:dyDescent="0.2">
      <c r="A578" s="517"/>
      <c r="B578" s="520"/>
      <c r="C578" s="519"/>
      <c r="D578" s="520" t="s">
        <v>18</v>
      </c>
      <c r="E578" s="520" t="s">
        <v>189</v>
      </c>
      <c r="F578" s="519"/>
      <c r="G578" s="528" t="s">
        <v>211</v>
      </c>
      <c r="H578" s="528"/>
      <c r="I578" s="527"/>
      <c r="J578" s="523"/>
      <c r="K578" s="524"/>
      <c r="L578" s="525"/>
      <c r="M578" s="526"/>
      <c r="N578" s="527"/>
      <c r="O578" s="526"/>
      <c r="P578" s="515"/>
      <c r="Q578" s="513"/>
    </row>
    <row r="579" spans="1:17" s="516" customFormat="1" hidden="1" x14ac:dyDescent="0.2">
      <c r="A579" s="517"/>
      <c r="B579" s="520"/>
      <c r="C579" s="519"/>
      <c r="D579" s="520" t="s">
        <v>18</v>
      </c>
      <c r="E579" s="520" t="s">
        <v>189</v>
      </c>
      <c r="F579" s="519"/>
      <c r="G579" s="521" t="s">
        <v>188</v>
      </c>
      <c r="H579" s="521"/>
      <c r="I579" s="527"/>
      <c r="J579" s="523"/>
      <c r="K579" s="524"/>
      <c r="L579" s="525"/>
      <c r="M579" s="526"/>
      <c r="N579" s="527"/>
      <c r="O579" s="526"/>
      <c r="P579" s="515"/>
      <c r="Q579" s="513"/>
    </row>
    <row r="580" spans="1:17" s="516" customFormat="1" x14ac:dyDescent="0.2">
      <c r="A580" s="517"/>
      <c r="B580" s="520"/>
      <c r="C580" s="519"/>
      <c r="D580" s="520"/>
      <c r="E580" s="520"/>
      <c r="F580" s="519"/>
      <c r="G580" s="521" t="s">
        <v>9</v>
      </c>
      <c r="H580" s="521"/>
      <c r="I580" s="527">
        <v>68648573.450000003</v>
      </c>
      <c r="J580" s="523">
        <f>+I580</f>
        <v>68648573.450000003</v>
      </c>
      <c r="K580" s="524"/>
      <c r="L580" s="525"/>
      <c r="M580" s="526"/>
      <c r="N580" s="527"/>
      <c r="O580" s="526"/>
      <c r="P580" s="515"/>
      <c r="Q580" s="513"/>
    </row>
    <row r="581" spans="1:17" s="516" customFormat="1" x14ac:dyDescent="0.2">
      <c r="A581" s="517"/>
      <c r="B581" s="520"/>
      <c r="C581" s="519"/>
      <c r="D581" s="520"/>
      <c r="E581" s="520"/>
      <c r="F581" s="519"/>
      <c r="G581" s="521"/>
      <c r="H581" s="521"/>
      <c r="I581" s="527"/>
      <c r="J581" s="523"/>
      <c r="K581" s="524"/>
      <c r="L581" s="525"/>
      <c r="M581" s="526"/>
      <c r="N581" s="527"/>
      <c r="O581" s="526"/>
      <c r="P581" s="515"/>
      <c r="Q581" s="513"/>
    </row>
    <row r="582" spans="1:17" s="516" customFormat="1" ht="13.5" thickBot="1" x14ac:dyDescent="0.25">
      <c r="A582" s="517"/>
      <c r="B582" s="520"/>
      <c r="C582" s="519"/>
      <c r="D582" s="520"/>
      <c r="E582" s="520"/>
      <c r="F582" s="519"/>
      <c r="G582" s="521"/>
      <c r="H582" s="521"/>
      <c r="I582" s="527"/>
      <c r="J582" s="523"/>
      <c r="K582" s="524"/>
      <c r="L582" s="525"/>
      <c r="M582" s="526"/>
      <c r="N582" s="527"/>
      <c r="O582" s="526"/>
      <c r="P582" s="515"/>
      <c r="Q582" s="513"/>
    </row>
    <row r="583" spans="1:17" s="516" customFormat="1" ht="13.5" hidden="1" thickBot="1" x14ac:dyDescent="0.25">
      <c r="A583" s="529"/>
      <c r="B583" s="520"/>
      <c r="C583" s="519"/>
      <c r="D583" s="520" t="s">
        <v>18</v>
      </c>
      <c r="E583" s="520">
        <v>6</v>
      </c>
      <c r="F583" s="520">
        <v>1</v>
      </c>
      <c r="G583" s="521" t="s">
        <v>215</v>
      </c>
      <c r="H583" s="521"/>
      <c r="I583" s="527">
        <v>0</v>
      </c>
      <c r="J583" s="523"/>
      <c r="K583" s="524"/>
      <c r="L583" s="525"/>
      <c r="M583" s="526"/>
      <c r="N583" s="527"/>
      <c r="O583" s="526"/>
      <c r="P583" s="515"/>
      <c r="Q583" s="513"/>
    </row>
    <row r="584" spans="1:17" s="516" customFormat="1" ht="26.25" hidden="1" thickBot="1" x14ac:dyDescent="0.25">
      <c r="A584" s="517"/>
      <c r="B584" s="520"/>
      <c r="C584" s="519"/>
      <c r="D584" s="520" t="s">
        <v>18</v>
      </c>
      <c r="E584" s="520" t="s">
        <v>185</v>
      </c>
      <c r="F584" s="520" t="s">
        <v>183</v>
      </c>
      <c r="G584" s="530" t="str">
        <f>+'[2]Egresos Programa III General'!B46</f>
        <v>Carpeta Asfaltica en Urbanización las Melisas</v>
      </c>
      <c r="H584" s="530"/>
      <c r="I584" s="527">
        <v>0</v>
      </c>
      <c r="J584" s="523"/>
      <c r="K584" s="524"/>
      <c r="L584" s="525"/>
      <c r="M584" s="526"/>
      <c r="N584" s="527"/>
      <c r="O584" s="526">
        <f>+P584-I576</f>
        <v>-33981043.857749999</v>
      </c>
      <c r="P584" s="515">
        <f>+C575*50.5%</f>
        <v>34667529.592250004</v>
      </c>
      <c r="Q584" s="513"/>
    </row>
    <row r="585" spans="1:17" s="543" customFormat="1" ht="13.5" thickBot="1" x14ac:dyDescent="0.25">
      <c r="A585" s="531" t="s">
        <v>180</v>
      </c>
      <c r="B585" s="532"/>
      <c r="C585" s="533">
        <f>SUM(C575:C579)</f>
        <v>68648573.450000003</v>
      </c>
      <c r="D585" s="534"/>
      <c r="E585" s="534"/>
      <c r="F585" s="534"/>
      <c r="G585" s="535"/>
      <c r="H585" s="535"/>
      <c r="I585" s="536">
        <f>SUM(I576:I584)/2</f>
        <v>68648573.450000003</v>
      </c>
      <c r="J585" s="537"/>
      <c r="K585" s="538"/>
      <c r="L585" s="539"/>
      <c r="M585" s="540"/>
      <c r="N585" s="541">
        <f>+C585-I585</f>
        <v>0</v>
      </c>
      <c r="O585" s="540">
        <f>+N585-O576</f>
        <v>33981043.857749999</v>
      </c>
      <c r="P585" s="515">
        <f>+C585*49.5%</f>
        <v>33981043.857749999</v>
      </c>
      <c r="Q585" s="542"/>
    </row>
    <row r="586" spans="1:17" s="358" customFormat="1" hidden="1" x14ac:dyDescent="0.2">
      <c r="A586" s="487"/>
      <c r="B586" s="365"/>
      <c r="C586" s="488"/>
      <c r="D586" s="544"/>
      <c r="E586" s="544"/>
      <c r="F586" s="544"/>
      <c r="G586" s="363"/>
      <c r="H586" s="363"/>
      <c r="I586" s="545"/>
      <c r="J586" s="546"/>
      <c r="K586" s="547"/>
      <c r="L586" s="548"/>
      <c r="M586" s="496"/>
      <c r="N586" s="545"/>
      <c r="O586" s="496"/>
      <c r="P586" s="297"/>
      <c r="Q586" s="357"/>
    </row>
    <row r="587" spans="1:17" s="358" customFormat="1" hidden="1" x14ac:dyDescent="0.2">
      <c r="A587" s="413" t="str">
        <f>+'[1]Clasific. Económica de Ingr (3)'!A121</f>
        <v>2.1.2.1.01.00.0.0.000</v>
      </c>
      <c r="B587" s="363" t="s">
        <v>214</v>
      </c>
      <c r="C587" s="361">
        <f>SUM('[1]Clasific. Económica de Ingr (3)'!C121)</f>
        <v>0</v>
      </c>
      <c r="D587" s="362" t="s">
        <v>8</v>
      </c>
      <c r="E587" s="362" t="s">
        <v>184</v>
      </c>
      <c r="F587" s="362" t="s">
        <v>209</v>
      </c>
      <c r="G587" s="363" t="s">
        <v>213</v>
      </c>
      <c r="H587" s="363"/>
      <c r="I587" s="356">
        <v>0</v>
      </c>
      <c r="J587" s="352"/>
      <c r="K587" s="353"/>
      <c r="L587" s="354"/>
      <c r="M587" s="355"/>
      <c r="N587" s="356"/>
      <c r="O587" s="355"/>
      <c r="P587" s="297"/>
      <c r="Q587" s="357"/>
    </row>
    <row r="588" spans="1:17" s="516" customFormat="1" hidden="1" x14ac:dyDescent="0.2">
      <c r="A588" s="517"/>
      <c r="B588" s="520"/>
      <c r="C588" s="519"/>
      <c r="D588" s="520" t="s">
        <v>18</v>
      </c>
      <c r="E588" s="520" t="s">
        <v>189</v>
      </c>
      <c r="F588" s="520"/>
      <c r="G588" s="521" t="s">
        <v>212</v>
      </c>
      <c r="H588" s="521"/>
      <c r="I588" s="527">
        <v>0</v>
      </c>
      <c r="J588" s="523"/>
      <c r="K588" s="524"/>
      <c r="L588" s="525"/>
      <c r="M588" s="526"/>
      <c r="N588" s="527"/>
      <c r="O588" s="526"/>
      <c r="P588" s="515"/>
      <c r="Q588" s="513"/>
    </row>
    <row r="589" spans="1:17" s="358" customFormat="1" hidden="1" x14ac:dyDescent="0.2">
      <c r="A589" s="359"/>
      <c r="B589" s="362"/>
      <c r="C589" s="361"/>
      <c r="D589" s="362" t="s">
        <v>18</v>
      </c>
      <c r="E589" s="362" t="s">
        <v>189</v>
      </c>
      <c r="F589" s="366"/>
      <c r="G589" s="363" t="s">
        <v>188</v>
      </c>
      <c r="H589" s="363"/>
      <c r="I589" s="356">
        <v>0</v>
      </c>
      <c r="J589" s="352"/>
      <c r="K589" s="353"/>
      <c r="L589" s="354"/>
      <c r="M589" s="355"/>
      <c r="N589" s="356"/>
      <c r="O589" s="355"/>
      <c r="P589" s="297"/>
      <c r="Q589" s="357"/>
    </row>
    <row r="590" spans="1:17" s="516" customFormat="1" hidden="1" x14ac:dyDescent="0.2">
      <c r="A590" s="517"/>
      <c r="B590" s="520"/>
      <c r="C590" s="519"/>
      <c r="D590" s="520" t="s">
        <v>18</v>
      </c>
      <c r="E590" s="520" t="s">
        <v>189</v>
      </c>
      <c r="F590" s="520" t="s">
        <v>209</v>
      </c>
      <c r="G590" s="528" t="s">
        <v>211</v>
      </c>
      <c r="H590" s="528"/>
      <c r="I590" s="527"/>
      <c r="J590" s="523"/>
      <c r="K590" s="524"/>
      <c r="L590" s="525"/>
      <c r="M590" s="526"/>
      <c r="N590" s="527"/>
      <c r="O590" s="526"/>
      <c r="P590" s="515"/>
      <c r="Q590" s="513"/>
    </row>
    <row r="591" spans="1:17" s="516" customFormat="1" ht="13.5" hidden="1" thickBot="1" x14ac:dyDescent="0.25">
      <c r="A591" s="531" t="s">
        <v>180</v>
      </c>
      <c r="B591" s="532"/>
      <c r="C591" s="533">
        <f>SUM(C587:C588)</f>
        <v>0</v>
      </c>
      <c r="D591" s="534"/>
      <c r="E591" s="534"/>
      <c r="F591" s="534"/>
      <c r="G591" s="535"/>
      <c r="H591" s="535"/>
      <c r="I591" s="536">
        <f>SUM(I587:I590)</f>
        <v>0</v>
      </c>
      <c r="J591" s="537"/>
      <c r="K591" s="538"/>
      <c r="L591" s="539"/>
      <c r="M591" s="540"/>
      <c r="N591" s="541">
        <f>+C591-I591</f>
        <v>0</v>
      </c>
      <c r="O591" s="540"/>
      <c r="P591" s="515">
        <f>+C591-I591</f>
        <v>0</v>
      </c>
      <c r="Q591" s="513"/>
    </row>
    <row r="592" spans="1:17" x14ac:dyDescent="0.2">
      <c r="A592" s="221"/>
      <c r="B592" s="209"/>
      <c r="C592" s="240"/>
      <c r="D592" s="340"/>
      <c r="E592" s="340"/>
      <c r="F592" s="340"/>
      <c r="G592" s="467"/>
      <c r="H592" s="467"/>
      <c r="I592" s="549"/>
      <c r="J592" s="550"/>
      <c r="K592" s="551"/>
      <c r="L592" s="552"/>
      <c r="M592" s="553"/>
      <c r="N592" s="549"/>
      <c r="O592" s="553"/>
      <c r="P592" s="210">
        <f>SUM(P584:P585)</f>
        <v>68648573.450000003</v>
      </c>
    </row>
    <row r="593" spans="1:17" x14ac:dyDescent="0.2">
      <c r="A593" s="221" t="str">
        <f>+'[1]Clasific. Económica de Ingr (3)'!A126</f>
        <v>2.2.1.1.00.00.0.0.000</v>
      </c>
      <c r="B593" s="395" t="s">
        <v>210</v>
      </c>
      <c r="C593" s="240">
        <f>+'[1]Clasific. Económica de Ingr (3)'!C126</f>
        <v>3000000</v>
      </c>
      <c r="D593" s="209"/>
      <c r="E593" s="209"/>
      <c r="F593" s="209"/>
      <c r="G593" s="241"/>
      <c r="H593" s="241"/>
      <c r="I593" s="300"/>
      <c r="J593" s="301"/>
      <c r="K593" s="302"/>
      <c r="L593" s="303"/>
      <c r="N593" s="300"/>
      <c r="O593" s="236"/>
    </row>
    <row r="594" spans="1:17" x14ac:dyDescent="0.2">
      <c r="A594" s="221"/>
      <c r="B594" s="209"/>
      <c r="C594" s="240"/>
      <c r="D594" s="209" t="s">
        <v>19</v>
      </c>
      <c r="E594" s="209" t="s">
        <v>183</v>
      </c>
      <c r="F594" s="209" t="s">
        <v>209</v>
      </c>
      <c r="G594" s="241" t="s">
        <v>208</v>
      </c>
      <c r="H594" s="241"/>
      <c r="I594" s="300">
        <v>3000000</v>
      </c>
      <c r="J594" s="301"/>
      <c r="K594" s="302"/>
      <c r="L594" s="303"/>
      <c r="N594" s="300"/>
      <c r="O594" s="236"/>
    </row>
    <row r="595" spans="1:17" x14ac:dyDescent="0.2">
      <c r="A595" s="221"/>
      <c r="B595" s="209"/>
      <c r="C595" s="240"/>
      <c r="D595" s="209"/>
      <c r="E595" s="209"/>
      <c r="F595" s="209"/>
      <c r="G595" s="296" t="s">
        <v>207</v>
      </c>
      <c r="H595" s="241"/>
      <c r="I595" s="300">
        <v>3000000</v>
      </c>
      <c r="J595" s="301">
        <f>+I595</f>
        <v>3000000</v>
      </c>
      <c r="K595" s="302"/>
      <c r="L595" s="303"/>
      <c r="N595" s="300"/>
      <c r="O595" s="236"/>
    </row>
    <row r="596" spans="1:17" ht="13.5" thickBot="1" x14ac:dyDescent="0.25">
      <c r="A596" s="221"/>
      <c r="B596" s="209"/>
      <c r="C596" s="240"/>
      <c r="D596" s="209"/>
      <c r="E596" s="209"/>
      <c r="F596" s="209"/>
      <c r="G596" s="241"/>
      <c r="H596" s="241"/>
      <c r="I596" s="300"/>
      <c r="J596" s="301"/>
      <c r="K596" s="302"/>
      <c r="L596" s="303"/>
      <c r="N596" s="300"/>
      <c r="O596" s="236"/>
    </row>
    <row r="597" spans="1:17" ht="13.5" thickBot="1" x14ac:dyDescent="0.25">
      <c r="A597" s="323" t="s">
        <v>180</v>
      </c>
      <c r="B597" s="324"/>
      <c r="C597" s="325">
        <f>SUM(C593:C594)</f>
        <v>3000000</v>
      </c>
      <c r="D597" s="326"/>
      <c r="E597" s="326"/>
      <c r="F597" s="326"/>
      <c r="G597" s="327"/>
      <c r="H597" s="327"/>
      <c r="I597" s="341">
        <f>SUM(I594:I594)</f>
        <v>3000000</v>
      </c>
      <c r="J597" s="342"/>
      <c r="K597" s="343"/>
      <c r="L597" s="344"/>
      <c r="M597" s="345"/>
      <c r="N597" s="333">
        <f>+C597-I597</f>
        <v>0</v>
      </c>
      <c r="O597" s="345"/>
    </row>
    <row r="598" spans="1:17" x14ac:dyDescent="0.2">
      <c r="A598" s="221"/>
      <c r="B598" s="209"/>
      <c r="C598" s="240"/>
      <c r="D598" s="209"/>
      <c r="E598" s="209"/>
      <c r="F598" s="209"/>
      <c r="G598" s="241"/>
      <c r="H598" s="241"/>
      <c r="I598" s="242"/>
      <c r="J598" s="243"/>
      <c r="K598" s="244"/>
      <c r="L598" s="245"/>
      <c r="M598" s="246"/>
      <c r="N598" s="242"/>
      <c r="O598" s="246"/>
    </row>
    <row r="599" spans="1:17" ht="25.5" x14ac:dyDescent="0.2">
      <c r="A599" s="221" t="str">
        <f>+'[1]Clasific. Económica de Ingr (3)'!A133</f>
        <v>2.4.1.1.01.00.0.0.000</v>
      </c>
      <c r="B599" s="309" t="s">
        <v>206</v>
      </c>
      <c r="C599" s="211">
        <f>SUM('[1]Clasific. Económica de Ingr (3)'!C133)</f>
        <v>1073302108</v>
      </c>
      <c r="D599" s="209"/>
      <c r="E599" s="209"/>
      <c r="F599" s="209"/>
      <c r="G599" s="241"/>
      <c r="H599" s="241"/>
      <c r="I599" s="300"/>
      <c r="J599" s="301"/>
      <c r="K599" s="302"/>
      <c r="L599" s="303"/>
      <c r="N599" s="300"/>
      <c r="O599" s="236"/>
      <c r="P599" s="212"/>
      <c r="Q599" s="212"/>
    </row>
    <row r="600" spans="1:17" hidden="1" x14ac:dyDescent="0.2">
      <c r="A600" s="221"/>
      <c r="B600" s="309"/>
      <c r="C600" s="211"/>
      <c r="D600" s="209" t="s">
        <v>18</v>
      </c>
      <c r="E600" s="209" t="s">
        <v>185</v>
      </c>
      <c r="F600" s="209" t="s">
        <v>184</v>
      </c>
      <c r="G600" s="241" t="s">
        <v>205</v>
      </c>
      <c r="H600" s="241"/>
      <c r="I600" s="237">
        <f>+[3]Remuneraciones!$AB$38+'[3]III-02-01'!$D$180</f>
        <v>0</v>
      </c>
      <c r="J600" s="434"/>
      <c r="K600" s="435"/>
      <c r="L600" s="436"/>
      <c r="M600" s="211"/>
      <c r="N600" s="300"/>
      <c r="O600" s="236"/>
      <c r="P600" s="212"/>
      <c r="Q600" s="212"/>
    </row>
    <row r="601" spans="1:17" hidden="1" x14ac:dyDescent="0.2">
      <c r="A601" s="221"/>
      <c r="B601" s="309"/>
      <c r="C601" s="211"/>
      <c r="D601" s="209" t="s">
        <v>18</v>
      </c>
      <c r="E601" s="209" t="s">
        <v>185</v>
      </c>
      <c r="F601" s="209" t="s">
        <v>185</v>
      </c>
      <c r="G601" s="258" t="str">
        <f>+'[2]Egresos Programa III General'!B42</f>
        <v>Mantenimeiento Rutinario de la Red Vial Cantonal</v>
      </c>
      <c r="H601" s="258"/>
      <c r="I601" s="237">
        <v>0</v>
      </c>
      <c r="J601" s="434"/>
      <c r="K601" s="435"/>
      <c r="L601" s="436"/>
      <c r="M601" s="211"/>
      <c r="N601" s="300"/>
      <c r="O601" s="236"/>
      <c r="P601" s="212"/>
      <c r="Q601" s="212"/>
    </row>
    <row r="602" spans="1:17" x14ac:dyDescent="0.2">
      <c r="A602" s="221"/>
      <c r="B602" s="309"/>
      <c r="C602" s="211"/>
      <c r="D602" s="209" t="s">
        <v>18</v>
      </c>
      <c r="E602" s="209" t="s">
        <v>185</v>
      </c>
      <c r="F602" s="209" t="s">
        <v>193</v>
      </c>
      <c r="G602" s="241" t="s">
        <v>192</v>
      </c>
      <c r="H602" s="241"/>
      <c r="I602" s="237">
        <f>831706587.9+241595520.1</f>
        <v>1073302108</v>
      </c>
      <c r="J602" s="434"/>
      <c r="K602" s="435"/>
      <c r="L602" s="436"/>
      <c r="M602" s="211"/>
      <c r="N602" s="300"/>
      <c r="O602" s="236"/>
      <c r="P602" s="212"/>
      <c r="Q602" s="212"/>
    </row>
    <row r="603" spans="1:17" x14ac:dyDescent="0.2">
      <c r="A603" s="221"/>
      <c r="B603" s="309"/>
      <c r="C603" s="211"/>
      <c r="D603" s="209"/>
      <c r="E603" s="209"/>
      <c r="F603" s="209"/>
      <c r="G603" s="241" t="s">
        <v>181</v>
      </c>
      <c r="H603" s="241"/>
      <c r="I603" s="237">
        <v>1073302108</v>
      </c>
      <c r="J603" s="434"/>
      <c r="K603" s="435">
        <f>+I603</f>
        <v>1073302108</v>
      </c>
      <c r="L603" s="436"/>
      <c r="M603" s="211"/>
      <c r="N603" s="300"/>
      <c r="O603" s="236"/>
      <c r="P603" s="212"/>
      <c r="Q603" s="212"/>
    </row>
    <row r="604" spans="1:17" ht="13.5" thickBot="1" x14ac:dyDescent="0.25">
      <c r="A604" s="221"/>
      <c r="B604" s="309"/>
      <c r="C604" s="211"/>
      <c r="D604" s="209"/>
      <c r="E604" s="209"/>
      <c r="F604" s="209"/>
      <c r="G604" s="241"/>
      <c r="H604" s="241"/>
      <c r="I604" s="237"/>
      <c r="J604" s="434"/>
      <c r="K604" s="435"/>
      <c r="L604" s="436"/>
      <c r="M604" s="211"/>
      <c r="N604" s="300"/>
      <c r="O604" s="236"/>
      <c r="P604" s="212"/>
      <c r="Q604" s="212"/>
    </row>
    <row r="605" spans="1:17" ht="13.5" hidden="1" customHeight="1" x14ac:dyDescent="0.2">
      <c r="A605" s="221"/>
      <c r="B605" s="309"/>
      <c r="C605" s="211"/>
      <c r="D605" s="209" t="s">
        <v>18</v>
      </c>
      <c r="E605" s="209" t="s">
        <v>185</v>
      </c>
      <c r="F605" s="209" t="s">
        <v>191</v>
      </c>
      <c r="G605" s="241" t="s">
        <v>204</v>
      </c>
      <c r="H605" s="241"/>
      <c r="I605" s="237">
        <v>0</v>
      </c>
      <c r="J605" s="434"/>
      <c r="K605" s="435"/>
      <c r="L605" s="436"/>
      <c r="M605" s="211"/>
      <c r="N605" s="300"/>
      <c r="O605" s="236"/>
      <c r="P605" s="212"/>
      <c r="Q605" s="212"/>
    </row>
    <row r="606" spans="1:17" ht="13.5" hidden="1" customHeight="1" thickBot="1" x14ac:dyDescent="0.25">
      <c r="A606" s="221"/>
      <c r="B606" s="209"/>
      <c r="C606" s="240"/>
      <c r="D606" s="209" t="s">
        <v>18</v>
      </c>
      <c r="E606" s="209">
        <v>7</v>
      </c>
      <c r="F606" s="209"/>
      <c r="G606" s="241" t="s">
        <v>203</v>
      </c>
      <c r="H606" s="241"/>
      <c r="I606" s="247">
        <v>0</v>
      </c>
      <c r="J606" s="313"/>
      <c r="K606" s="314"/>
      <c r="L606" s="315"/>
      <c r="M606" s="248"/>
      <c r="N606" s="242"/>
      <c r="O606" s="246"/>
      <c r="P606" s="212"/>
      <c r="Q606" s="212"/>
    </row>
    <row r="607" spans="1:17" ht="13.5" thickBot="1" x14ac:dyDescent="0.25">
      <c r="A607" s="323" t="s">
        <v>180</v>
      </c>
      <c r="B607" s="324"/>
      <c r="C607" s="325">
        <f>SUM(C599:C606)</f>
        <v>1073302108</v>
      </c>
      <c r="D607" s="326"/>
      <c r="E607" s="326"/>
      <c r="F607" s="326"/>
      <c r="G607" s="327"/>
      <c r="H607" s="327"/>
      <c r="I607" s="396">
        <f>SUM(I600:I606)/2</f>
        <v>1073302108</v>
      </c>
      <c r="J607" s="397"/>
      <c r="K607" s="398"/>
      <c r="L607" s="399"/>
      <c r="M607" s="400"/>
      <c r="N607" s="333">
        <f>+C607-I607</f>
        <v>0</v>
      </c>
      <c r="O607" s="345"/>
      <c r="P607" s="212"/>
      <c r="Q607" s="212"/>
    </row>
    <row r="608" spans="1:17" x14ac:dyDescent="0.2">
      <c r="A608" s="221"/>
      <c r="B608" s="209"/>
      <c r="D608" s="239"/>
      <c r="E608" s="239"/>
      <c r="F608" s="239"/>
      <c r="G608" s="241"/>
      <c r="H608" s="241"/>
      <c r="I608" s="554"/>
      <c r="J608" s="555"/>
      <c r="K608" s="556"/>
      <c r="L608" s="557"/>
      <c r="M608" s="558"/>
      <c r="N608" s="497"/>
      <c r="O608" s="501"/>
      <c r="P608" s="212"/>
      <c r="Q608" s="212"/>
    </row>
    <row r="609" spans="1:17" x14ac:dyDescent="0.2">
      <c r="A609" s="221" t="str">
        <f>+'[1]Clasific. Económica de Ingr (3)'!A134</f>
        <v>2.4.1.1.02.00.0.0.000</v>
      </c>
      <c r="B609" s="309" t="str">
        <f>+'[1]Clasific. Económica de Ingr (3)'!B134</f>
        <v>Ley 8316 Fondo de Alcantarillados</v>
      </c>
      <c r="C609" s="240">
        <f>SUM('[1]Clasific. Económica de Ingr (3)'!C134)</f>
        <v>300000000</v>
      </c>
      <c r="D609" s="209"/>
      <c r="E609" s="209"/>
      <c r="F609" s="209"/>
      <c r="G609" s="241"/>
      <c r="H609" s="241"/>
      <c r="I609" s="237"/>
      <c r="J609" s="434"/>
      <c r="K609" s="435"/>
      <c r="L609" s="436"/>
      <c r="M609" s="211"/>
      <c r="N609" s="300"/>
      <c r="O609" s="236"/>
      <c r="P609" s="212"/>
      <c r="Q609" s="212"/>
    </row>
    <row r="610" spans="1:17" hidden="1" x14ac:dyDescent="0.2">
      <c r="A610" s="221"/>
      <c r="B610" s="309"/>
      <c r="C610" s="240"/>
      <c r="D610" s="209" t="s">
        <v>19</v>
      </c>
      <c r="E610" s="209">
        <v>13</v>
      </c>
      <c r="F610" s="209"/>
      <c r="G610" s="310" t="s">
        <v>202</v>
      </c>
      <c r="H610" s="310"/>
      <c r="I610" s="237">
        <v>0</v>
      </c>
      <c r="J610" s="434"/>
      <c r="K610" s="435"/>
      <c r="L610" s="436"/>
      <c r="M610" s="211"/>
      <c r="N610" s="300"/>
      <c r="O610" s="236">
        <f>+I610+I611</f>
        <v>300000000</v>
      </c>
      <c r="P610" s="212"/>
      <c r="Q610" s="212"/>
    </row>
    <row r="611" spans="1:17" x14ac:dyDescent="0.2">
      <c r="A611" s="221"/>
      <c r="B611" s="209"/>
      <c r="C611" s="240"/>
      <c r="D611" s="209" t="s">
        <v>19</v>
      </c>
      <c r="E611" s="209">
        <v>30</v>
      </c>
      <c r="F611" s="209" t="s">
        <v>15</v>
      </c>
      <c r="G611" s="310" t="str">
        <f>+'[2]Egresos Programa II General'!B43</f>
        <v>Alcantarillado Pluvial</v>
      </c>
      <c r="H611" s="310"/>
      <c r="I611" s="247">
        <f>+'[3]II-30'!$D$180</f>
        <v>300000000</v>
      </c>
      <c r="J611" s="313"/>
      <c r="K611" s="314"/>
      <c r="L611" s="315"/>
      <c r="M611" s="248"/>
      <c r="N611" s="242"/>
      <c r="O611" s="246"/>
      <c r="P611" s="212"/>
      <c r="Q611" s="212"/>
    </row>
    <row r="612" spans="1:17" x14ac:dyDescent="0.2">
      <c r="A612" s="221"/>
      <c r="B612" s="209"/>
      <c r="C612" s="240"/>
      <c r="D612" s="209"/>
      <c r="E612" s="209"/>
      <c r="F612" s="209"/>
      <c r="G612" s="310" t="s">
        <v>201</v>
      </c>
      <c r="H612" s="310"/>
      <c r="I612" s="313">
        <v>243372319.75</v>
      </c>
      <c r="J612" s="313">
        <v>243372319.75</v>
      </c>
      <c r="K612" s="314"/>
      <c r="L612" s="315"/>
      <c r="M612" s="248"/>
      <c r="N612" s="242"/>
      <c r="O612" s="246"/>
      <c r="P612" s="212"/>
      <c r="Q612" s="212"/>
    </row>
    <row r="613" spans="1:17" x14ac:dyDescent="0.2">
      <c r="A613" s="221"/>
      <c r="B613" s="209"/>
      <c r="C613" s="240"/>
      <c r="D613" s="209"/>
      <c r="E613" s="209"/>
      <c r="F613" s="209"/>
      <c r="G613" s="310" t="s">
        <v>200</v>
      </c>
      <c r="H613" s="310"/>
      <c r="I613" s="315">
        <v>56627680.25</v>
      </c>
      <c r="J613" s="313"/>
      <c r="K613" s="314"/>
      <c r="L613" s="315">
        <v>56627680.25</v>
      </c>
      <c r="M613" s="248"/>
      <c r="N613" s="242"/>
      <c r="O613" s="246"/>
      <c r="P613" s="212"/>
      <c r="Q613" s="212"/>
    </row>
    <row r="614" spans="1:17" ht="13.5" thickBot="1" x14ac:dyDescent="0.25">
      <c r="A614" s="221"/>
      <c r="B614" s="209"/>
      <c r="C614" s="240"/>
      <c r="D614" s="209"/>
      <c r="E614" s="209"/>
      <c r="F614" s="209"/>
      <c r="G614" s="310"/>
      <c r="H614" s="310"/>
      <c r="I614" s="247"/>
      <c r="J614" s="313"/>
      <c r="K614" s="314"/>
      <c r="L614" s="315"/>
      <c r="M614" s="248"/>
      <c r="N614" s="242"/>
      <c r="O614" s="246"/>
      <c r="P614" s="212"/>
      <c r="Q614" s="212"/>
    </row>
    <row r="615" spans="1:17" ht="13.5" hidden="1" thickBot="1" x14ac:dyDescent="0.25">
      <c r="A615" s="221"/>
      <c r="B615" s="209"/>
      <c r="C615" s="240"/>
      <c r="D615" s="209"/>
      <c r="E615" s="209"/>
      <c r="F615" s="209"/>
      <c r="G615" s="310"/>
      <c r="H615" s="310"/>
      <c r="I615" s="247"/>
      <c r="J615" s="313"/>
      <c r="K615" s="314"/>
      <c r="L615" s="315"/>
      <c r="M615" s="248"/>
      <c r="N615" s="242"/>
      <c r="O615" s="246"/>
      <c r="P615" s="212"/>
      <c r="Q615" s="212"/>
    </row>
    <row r="616" spans="1:17" ht="24.75" hidden="1" customHeight="1" x14ac:dyDescent="0.2">
      <c r="A616" s="221"/>
      <c r="B616" s="309"/>
      <c r="C616" s="240"/>
      <c r="D616" s="209" t="s">
        <v>18</v>
      </c>
      <c r="E616" s="209" t="s">
        <v>182</v>
      </c>
      <c r="F616" s="209" t="s">
        <v>184</v>
      </c>
      <c r="G616" s="296" t="str">
        <f>+'[2]Egresos Programa III General'!B69</f>
        <v>Ley 8316 Mejoras Pluviales Las Vueltas, Guacima</v>
      </c>
      <c r="H616" s="296"/>
      <c r="I616" s="300">
        <f>+'[2]Egresos Programa III General'!C69</f>
        <v>0</v>
      </c>
      <c r="J616" s="301"/>
      <c r="K616" s="302"/>
      <c r="L616" s="303"/>
      <c r="N616" s="300"/>
      <c r="O616" s="236"/>
    </row>
    <row r="617" spans="1:17" ht="24.75" hidden="1" customHeight="1" x14ac:dyDescent="0.2">
      <c r="A617" s="221"/>
      <c r="B617" s="309"/>
      <c r="C617" s="240"/>
      <c r="D617" s="209" t="s">
        <v>18</v>
      </c>
      <c r="E617" s="209">
        <v>6</v>
      </c>
      <c r="F617" s="209">
        <v>1</v>
      </c>
      <c r="G617" s="310" t="s">
        <v>199</v>
      </c>
      <c r="H617" s="310"/>
      <c r="I617" s="300">
        <v>0</v>
      </c>
      <c r="J617" s="301"/>
      <c r="K617" s="302"/>
      <c r="L617" s="303"/>
      <c r="N617" s="300"/>
      <c r="O617" s="236"/>
      <c r="Q617" s="212"/>
    </row>
    <row r="618" spans="1:17" ht="36" hidden="1" customHeight="1" thickBot="1" x14ac:dyDescent="0.25">
      <c r="A618" s="221"/>
      <c r="B618" s="309"/>
      <c r="C618" s="240"/>
      <c r="D618" s="209" t="s">
        <v>18</v>
      </c>
      <c r="E618" s="209" t="s">
        <v>187</v>
      </c>
      <c r="F618" s="209"/>
      <c r="G618" s="296" t="s">
        <v>198</v>
      </c>
      <c r="H618" s="296"/>
      <c r="I618" s="300">
        <v>0</v>
      </c>
      <c r="J618" s="301"/>
      <c r="K618" s="302"/>
      <c r="L618" s="303"/>
      <c r="N618" s="300"/>
      <c r="O618" s="236"/>
      <c r="Q618" s="212"/>
    </row>
    <row r="619" spans="1:17" ht="13.5" thickBot="1" x14ac:dyDescent="0.25">
      <c r="A619" s="323" t="s">
        <v>180</v>
      </c>
      <c r="B619" s="324"/>
      <c r="C619" s="325">
        <f>SUM(C609:C618)</f>
        <v>300000000</v>
      </c>
      <c r="D619" s="326"/>
      <c r="E619" s="326"/>
      <c r="F619" s="326"/>
      <c r="G619" s="327"/>
      <c r="H619" s="327"/>
      <c r="I619" s="341">
        <f>SUM(I610:I618)/2</f>
        <v>300000000</v>
      </c>
      <c r="J619" s="342"/>
      <c r="K619" s="343"/>
      <c r="L619" s="344"/>
      <c r="M619" s="345"/>
      <c r="N619" s="333">
        <f>+C619-I619</f>
        <v>0</v>
      </c>
      <c r="O619" s="345"/>
      <c r="P619" s="503"/>
      <c r="Q619" s="212"/>
    </row>
    <row r="620" spans="1:17" x14ac:dyDescent="0.2">
      <c r="A620" s="221"/>
      <c r="B620" s="209"/>
      <c r="D620" s="239"/>
      <c r="E620" s="239"/>
      <c r="F620" s="239"/>
      <c r="G620" s="241"/>
      <c r="H620" s="241"/>
      <c r="I620" s="497"/>
      <c r="J620" s="498"/>
      <c r="K620" s="499"/>
      <c r="L620" s="500"/>
      <c r="M620" s="501"/>
      <c r="N620" s="497"/>
      <c r="O620" s="501"/>
      <c r="Q620" s="212"/>
    </row>
    <row r="621" spans="1:17" ht="25.5" x14ac:dyDescent="0.2">
      <c r="A621" s="221" t="str">
        <f>+'[1]Clasific. Económica de Ingr (3)'!A141</f>
        <v>2.4.1.3.01.00.0.0.001</v>
      </c>
      <c r="B621" s="395" t="s">
        <v>197</v>
      </c>
      <c r="C621" s="240">
        <f>SUM('[1]Clasific. Económica de Ingr (3)'!C141)</f>
        <v>23979905.52</v>
      </c>
      <c r="D621" s="209"/>
      <c r="E621" s="209"/>
      <c r="F621" s="209"/>
      <c r="G621" s="241"/>
      <c r="H621" s="241"/>
      <c r="I621" s="300"/>
      <c r="J621" s="301"/>
      <c r="K621" s="302"/>
      <c r="L621" s="303"/>
      <c r="N621" s="300"/>
      <c r="O621" s="236"/>
      <c r="Q621" s="212"/>
    </row>
    <row r="622" spans="1:17" x14ac:dyDescent="0.2">
      <c r="A622" s="221"/>
      <c r="B622" s="209"/>
      <c r="C622" s="240"/>
      <c r="D622" s="209" t="s">
        <v>18</v>
      </c>
      <c r="E622" s="209" t="s">
        <v>185</v>
      </c>
      <c r="F622" s="209" t="s">
        <v>184</v>
      </c>
      <c r="G622" s="241" t="s">
        <v>196</v>
      </c>
      <c r="H622" s="241"/>
      <c r="I622" s="457">
        <v>23979905.52</v>
      </c>
      <c r="J622" s="243"/>
      <c r="K622" s="244"/>
      <c r="L622" s="245"/>
      <c r="M622" s="246"/>
      <c r="N622" s="242"/>
      <c r="O622" s="246"/>
      <c r="Q622" s="212"/>
    </row>
    <row r="623" spans="1:17" x14ac:dyDescent="0.2">
      <c r="A623" s="221"/>
      <c r="B623" s="209"/>
      <c r="C623" s="240"/>
      <c r="D623" s="209"/>
      <c r="E623" s="209"/>
      <c r="F623" s="209"/>
      <c r="G623" s="241" t="s">
        <v>181</v>
      </c>
      <c r="H623" s="241"/>
      <c r="I623" s="242">
        <f>+I622</f>
        <v>23979905.52</v>
      </c>
      <c r="J623" s="243"/>
      <c r="K623" s="244">
        <f>+I623</f>
        <v>23979905.52</v>
      </c>
      <c r="L623" s="245"/>
      <c r="M623" s="246"/>
      <c r="N623" s="242"/>
      <c r="O623" s="246"/>
      <c r="Q623" s="212"/>
    </row>
    <row r="624" spans="1:17" ht="13.5" thickBot="1" x14ac:dyDescent="0.25">
      <c r="A624" s="221"/>
      <c r="B624" s="209"/>
      <c r="C624" s="240"/>
      <c r="D624" s="209"/>
      <c r="E624" s="209"/>
      <c r="F624" s="209"/>
      <c r="G624" s="241"/>
      <c r="H624" s="241"/>
      <c r="I624" s="242"/>
      <c r="J624" s="243"/>
      <c r="K624" s="244"/>
      <c r="L624" s="245"/>
      <c r="M624" s="246"/>
      <c r="N624" s="242"/>
      <c r="O624" s="246"/>
      <c r="Q624" s="212"/>
    </row>
    <row r="625" spans="1:17" ht="13.5" thickBot="1" x14ac:dyDescent="0.25">
      <c r="A625" s="323" t="s">
        <v>180</v>
      </c>
      <c r="B625" s="324"/>
      <c r="C625" s="325">
        <f>SUM(C621:C622)</f>
        <v>23979905.52</v>
      </c>
      <c r="D625" s="326"/>
      <c r="E625" s="326"/>
      <c r="F625" s="326"/>
      <c r="G625" s="327"/>
      <c r="H625" s="327"/>
      <c r="I625" s="341">
        <f>SUM(I622:I624)/2</f>
        <v>23979905.52</v>
      </c>
      <c r="J625" s="342"/>
      <c r="K625" s="343"/>
      <c r="L625" s="344"/>
      <c r="M625" s="345"/>
      <c r="N625" s="333">
        <f>+C625-I625</f>
        <v>0</v>
      </c>
      <c r="O625" s="345"/>
      <c r="P625" s="503"/>
      <c r="Q625" s="212"/>
    </row>
    <row r="626" spans="1:17" hidden="1" x14ac:dyDescent="0.2">
      <c r="A626" s="221"/>
      <c r="B626" s="209"/>
      <c r="C626" s="240"/>
      <c r="D626" s="340"/>
      <c r="E626" s="340"/>
      <c r="F626" s="340"/>
      <c r="G626" s="467"/>
      <c r="H626" s="467"/>
      <c r="I626" s="549"/>
      <c r="J626" s="550"/>
      <c r="K626" s="551"/>
      <c r="L626" s="552"/>
      <c r="M626" s="553"/>
      <c r="N626" s="549"/>
      <c r="O626" s="553"/>
      <c r="Q626" s="212"/>
    </row>
    <row r="627" spans="1:17" hidden="1" x14ac:dyDescent="0.2">
      <c r="A627" s="221" t="str">
        <f>+'[1]Clasific. Económica de Ingr (3)'!A147</f>
        <v>2,4.3,1,00,00,0,0,001</v>
      </c>
      <c r="B627" s="395" t="str">
        <f>+'[1]Clasific. Económica de Ingr (3)'!B147</f>
        <v>Aporte de Cooperación Alemana</v>
      </c>
      <c r="C627" s="559">
        <f>+'[1]Clasific. Económica de Ingr (3)'!C147</f>
        <v>0</v>
      </c>
      <c r="D627" s="209"/>
      <c r="E627" s="209"/>
      <c r="F627" s="209"/>
      <c r="G627" s="241"/>
      <c r="H627" s="241"/>
      <c r="I627" s="300"/>
      <c r="J627" s="301"/>
      <c r="K627" s="302"/>
      <c r="L627" s="303"/>
      <c r="N627" s="300"/>
      <c r="O627" s="236"/>
      <c r="Q627" s="212"/>
    </row>
    <row r="628" spans="1:17" ht="24.75" hidden="1" customHeight="1" thickBot="1" x14ac:dyDescent="0.25">
      <c r="A628" s="221"/>
      <c r="B628" s="309"/>
      <c r="C628" s="240"/>
      <c r="D628" s="209" t="s">
        <v>18</v>
      </c>
      <c r="E628" s="209">
        <v>6</v>
      </c>
      <c r="F628" s="209">
        <v>18</v>
      </c>
      <c r="G628" s="311" t="str">
        <f>+'[2]Egresos Programa III General'!B114</f>
        <v>III-06-18</v>
      </c>
      <c r="H628" s="311"/>
      <c r="I628" s="300">
        <v>0</v>
      </c>
      <c r="J628" s="301"/>
      <c r="K628" s="302"/>
      <c r="L628" s="303"/>
      <c r="N628" s="300"/>
      <c r="O628" s="236"/>
      <c r="Q628" s="212"/>
    </row>
    <row r="629" spans="1:17" ht="13.5" hidden="1" thickBot="1" x14ac:dyDescent="0.25">
      <c r="A629" s="323" t="s">
        <v>180</v>
      </c>
      <c r="B629" s="324"/>
      <c r="C629" s="325">
        <f>SUM(C627:C628)</f>
        <v>0</v>
      </c>
      <c r="D629" s="326"/>
      <c r="E629" s="326"/>
      <c r="F629" s="326"/>
      <c r="G629" s="327"/>
      <c r="H629" s="327"/>
      <c r="I629" s="341">
        <f>+I628</f>
        <v>0</v>
      </c>
      <c r="J629" s="342"/>
      <c r="K629" s="343"/>
      <c r="L629" s="344"/>
      <c r="M629" s="345"/>
      <c r="N629" s="333">
        <f>+C629-I629</f>
        <v>0</v>
      </c>
      <c r="O629" s="345"/>
      <c r="Q629" s="212"/>
    </row>
    <row r="630" spans="1:17" hidden="1" x14ac:dyDescent="0.2">
      <c r="A630" s="221"/>
      <c r="B630" s="209"/>
      <c r="C630" s="240"/>
      <c r="D630" s="209"/>
      <c r="E630" s="209"/>
      <c r="F630" s="209"/>
      <c r="G630" s="241"/>
      <c r="H630" s="241"/>
      <c r="I630" s="242"/>
      <c r="J630" s="243"/>
      <c r="K630" s="244"/>
      <c r="L630" s="245"/>
      <c r="M630" s="246"/>
      <c r="N630" s="242"/>
      <c r="O630" s="246"/>
    </row>
    <row r="631" spans="1:17" ht="25.5" hidden="1" x14ac:dyDescent="0.2">
      <c r="A631" s="221" t="str">
        <f>+'[1]Clasific. Económica de Ingr (3)'!A137</f>
        <v>2.4.1.2.01.00.0.0.001</v>
      </c>
      <c r="B631" s="309" t="str">
        <f>+'[1]Clasific. Económica de Ingr (3)'!B137</f>
        <v>Fondo de Desarrollo Social y Asignaciones Familiares</v>
      </c>
      <c r="C631" s="211">
        <f>+'[1]Clasific. Económica de Ingr (3)'!C137</f>
        <v>0</v>
      </c>
      <c r="D631" s="209"/>
      <c r="E631" s="209"/>
      <c r="F631" s="209"/>
      <c r="G631" s="241"/>
      <c r="H631" s="241"/>
      <c r="I631" s="300"/>
      <c r="J631" s="301"/>
      <c r="K631" s="302"/>
      <c r="L631" s="303"/>
      <c r="N631" s="300"/>
      <c r="O631" s="236"/>
    </row>
    <row r="632" spans="1:17" hidden="1" x14ac:dyDescent="0.2">
      <c r="A632" s="221"/>
      <c r="B632" s="309"/>
      <c r="C632" s="211"/>
      <c r="D632" s="209" t="s">
        <v>195</v>
      </c>
      <c r="E632" s="209">
        <v>10</v>
      </c>
      <c r="F632" s="209"/>
      <c r="G632" s="241" t="str">
        <f>+'[2]Egresos Programa II General'!B23</f>
        <v>Servicios Sociales Complementarios</v>
      </c>
      <c r="H632" s="241"/>
      <c r="I632" s="300">
        <v>0</v>
      </c>
      <c r="J632" s="301"/>
      <c r="K632" s="302"/>
      <c r="L632" s="303"/>
      <c r="N632" s="300"/>
      <c r="O632" s="236"/>
    </row>
    <row r="633" spans="1:17" ht="13.5" hidden="1" thickBot="1" x14ac:dyDescent="0.25">
      <c r="A633" s="323" t="s">
        <v>180</v>
      </c>
      <c r="B633" s="324"/>
      <c r="C633" s="325">
        <f>SUM(C631:C632)</f>
        <v>0</v>
      </c>
      <c r="D633" s="326"/>
      <c r="E633" s="326"/>
      <c r="F633" s="326"/>
      <c r="G633" s="327"/>
      <c r="H633" s="327"/>
      <c r="I633" s="341">
        <f>SUM(I632:I632)</f>
        <v>0</v>
      </c>
      <c r="J633" s="342"/>
      <c r="K633" s="343"/>
      <c r="L633" s="344"/>
      <c r="M633" s="345"/>
      <c r="N633" s="333">
        <f>+C633-I633</f>
        <v>0</v>
      </c>
      <c r="O633" s="345"/>
    </row>
    <row r="634" spans="1:17" s="427" customFormat="1" x14ac:dyDescent="0.2">
      <c r="A634" s="413"/>
      <c r="B634" s="362"/>
      <c r="C634" s="361"/>
      <c r="D634" s="362"/>
      <c r="E634" s="362"/>
      <c r="F634" s="362"/>
      <c r="G634" s="363"/>
      <c r="H634" s="363"/>
      <c r="I634" s="560"/>
      <c r="J634" s="379"/>
      <c r="K634" s="380"/>
      <c r="L634" s="381"/>
      <c r="M634" s="382"/>
      <c r="N634" s="560"/>
      <c r="O634" s="382"/>
      <c r="P634" s="257"/>
      <c r="Q634" s="355"/>
    </row>
    <row r="635" spans="1:17" s="427" customFormat="1" x14ac:dyDescent="0.2">
      <c r="A635" s="413" t="str">
        <f>+'[1]Clasific. Económica de Ingr (3)'!A156</f>
        <v>3.3.1.0.00.00.0.0.000</v>
      </c>
      <c r="B635" s="362" t="str">
        <f>+'[1]Clasific. Económica de Ingr (3)'!B156</f>
        <v>Superavit Libre</v>
      </c>
      <c r="C635" s="361">
        <f>+'[1]Clasific. Económica de Ingr (3)'!C156</f>
        <v>1672200626.6700001</v>
      </c>
      <c r="D635" s="362"/>
      <c r="E635" s="362"/>
      <c r="F635" s="362"/>
      <c r="G635" s="363"/>
      <c r="H635" s="363"/>
      <c r="I635" s="560"/>
      <c r="J635" s="379"/>
      <c r="K635" s="380"/>
      <c r="L635" s="381"/>
      <c r="M635" s="382"/>
      <c r="N635" s="560"/>
      <c r="O635" s="382"/>
      <c r="P635" s="257"/>
      <c r="Q635" s="355"/>
    </row>
    <row r="636" spans="1:17" s="427" customFormat="1" hidden="1" x14ac:dyDescent="0.2">
      <c r="A636" s="413"/>
      <c r="B636" s="362"/>
      <c r="C636" s="361"/>
      <c r="D636" s="362" t="s">
        <v>19</v>
      </c>
      <c r="E636" s="362">
        <v>10</v>
      </c>
      <c r="F636" s="362"/>
      <c r="G636" s="363" t="str">
        <f>+'[2]Egresos Programa II General'!B23</f>
        <v>Servicios Sociales Complementarios</v>
      </c>
      <c r="H636" s="363"/>
      <c r="I636" s="560">
        <v>0</v>
      </c>
      <c r="J636" s="379"/>
      <c r="K636" s="380"/>
      <c r="L636" s="381"/>
      <c r="M636" s="382"/>
      <c r="N636" s="560"/>
      <c r="O636" s="382"/>
      <c r="P636" s="257"/>
      <c r="Q636" s="355"/>
    </row>
    <row r="637" spans="1:17" s="427" customFormat="1" x14ac:dyDescent="0.2">
      <c r="A637" s="413"/>
      <c r="B637" s="362"/>
      <c r="C637" s="361"/>
      <c r="D637" s="362" t="s">
        <v>18</v>
      </c>
      <c r="E637" s="362" t="s">
        <v>184</v>
      </c>
      <c r="F637" s="362" t="s">
        <v>184</v>
      </c>
      <c r="G637" s="363" t="str">
        <f>+'[2]Egresos Programa III General'!B13</f>
        <v>Terminal FECOSA</v>
      </c>
      <c r="H637" s="363"/>
      <c r="I637" s="560">
        <v>235407026.66999999</v>
      </c>
      <c r="J637" s="379"/>
      <c r="K637" s="380"/>
      <c r="L637" s="381"/>
      <c r="M637" s="382"/>
      <c r="N637" s="560"/>
      <c r="O637" s="382"/>
      <c r="P637" s="257"/>
      <c r="Q637" s="355"/>
    </row>
    <row r="638" spans="1:17" s="427" customFormat="1" x14ac:dyDescent="0.2">
      <c r="A638" s="413"/>
      <c r="B638" s="362"/>
      <c r="C638" s="361"/>
      <c r="D638" s="362"/>
      <c r="E638" s="362"/>
      <c r="F638" s="362"/>
      <c r="G638" s="363" t="s">
        <v>194</v>
      </c>
      <c r="H638" s="363"/>
      <c r="I638" s="560">
        <v>95000000</v>
      </c>
      <c r="J638" s="379"/>
      <c r="K638" s="380">
        <v>95000000</v>
      </c>
      <c r="L638" s="381"/>
      <c r="M638" s="382"/>
      <c r="N638" s="560"/>
      <c r="O638" s="382"/>
      <c r="P638" s="257"/>
      <c r="Q638" s="355"/>
    </row>
    <row r="639" spans="1:17" s="427" customFormat="1" x14ac:dyDescent="0.2">
      <c r="A639" s="413"/>
      <c r="B639" s="362"/>
      <c r="C639" s="361"/>
      <c r="D639" s="362"/>
      <c r="E639" s="362"/>
      <c r="F639" s="362"/>
      <c r="G639" s="363" t="s">
        <v>181</v>
      </c>
      <c r="H639" s="363"/>
      <c r="I639" s="560">
        <v>140407026.66999999</v>
      </c>
      <c r="J639" s="379"/>
      <c r="K639" s="380">
        <f>+I639</f>
        <v>140407026.66999999</v>
      </c>
      <c r="L639" s="381"/>
      <c r="M639" s="382"/>
      <c r="N639" s="560"/>
      <c r="O639" s="382"/>
      <c r="P639" s="257"/>
      <c r="Q639" s="355"/>
    </row>
    <row r="640" spans="1:17" s="427" customFormat="1" x14ac:dyDescent="0.2">
      <c r="A640" s="413"/>
      <c r="B640" s="362"/>
      <c r="C640" s="361"/>
      <c r="D640" s="362"/>
      <c r="E640" s="362"/>
      <c r="F640" s="362"/>
      <c r="G640" s="363"/>
      <c r="H640" s="363"/>
      <c r="I640" s="560"/>
      <c r="J640" s="379"/>
      <c r="K640" s="380"/>
      <c r="L640" s="381"/>
      <c r="M640" s="382"/>
      <c r="N640" s="560"/>
      <c r="O640" s="382"/>
      <c r="P640" s="257"/>
      <c r="Q640" s="355"/>
    </row>
    <row r="641" spans="1:17" s="427" customFormat="1" hidden="1" x14ac:dyDescent="0.2">
      <c r="A641" s="413"/>
      <c r="B641" s="362"/>
      <c r="C641" s="361"/>
      <c r="D641" s="362" t="s">
        <v>18</v>
      </c>
      <c r="E641" s="362" t="s">
        <v>184</v>
      </c>
      <c r="F641" s="362" t="s">
        <v>185</v>
      </c>
      <c r="G641" s="363" t="str">
        <f>+'[2]Egresos Programa III General'!B14</f>
        <v>Construcción de comedor Escuela Rafael Alberto Luna Herrera</v>
      </c>
      <c r="H641" s="363"/>
      <c r="I641" s="560">
        <v>0</v>
      </c>
      <c r="J641" s="379"/>
      <c r="K641" s="380"/>
      <c r="L641" s="381"/>
      <c r="M641" s="382"/>
      <c r="N641" s="560"/>
      <c r="O641" s="382"/>
      <c r="P641" s="257"/>
      <c r="Q641" s="355"/>
    </row>
    <row r="642" spans="1:17" s="427" customFormat="1" hidden="1" x14ac:dyDescent="0.2">
      <c r="A642" s="413"/>
      <c r="B642" s="362"/>
      <c r="C642" s="361"/>
      <c r="D642" s="362" t="s">
        <v>18</v>
      </c>
      <c r="E642" s="362" t="s">
        <v>185</v>
      </c>
      <c r="F642" s="362" t="s">
        <v>193</v>
      </c>
      <c r="G642" s="363" t="s">
        <v>192</v>
      </c>
      <c r="H642" s="363"/>
      <c r="I642" s="560">
        <v>0</v>
      </c>
      <c r="J642" s="379"/>
      <c r="K642" s="380"/>
      <c r="L642" s="381"/>
      <c r="M642" s="382"/>
      <c r="N642" s="560"/>
      <c r="O642" s="382"/>
      <c r="P642" s="257"/>
      <c r="Q642" s="355"/>
    </row>
    <row r="643" spans="1:17" s="427" customFormat="1" x14ac:dyDescent="0.2">
      <c r="A643" s="413"/>
      <c r="B643" s="362"/>
      <c r="C643" s="361"/>
      <c r="D643" s="362" t="s">
        <v>18</v>
      </c>
      <c r="E643" s="362" t="s">
        <v>182</v>
      </c>
      <c r="F643" s="362" t="s">
        <v>184</v>
      </c>
      <c r="G643" s="431" t="str">
        <f>+'[2]Egresos Programa III General'!B71</f>
        <v>Mejoramiento Pluvial en San Rafael</v>
      </c>
      <c r="H643" s="431"/>
      <c r="I643" s="560">
        <f>+'[2]Egresos Programa III General'!C71</f>
        <v>1200000000</v>
      </c>
      <c r="J643" s="379"/>
      <c r="K643" s="380"/>
      <c r="L643" s="381"/>
      <c r="M643" s="382"/>
      <c r="N643" s="560"/>
      <c r="O643" s="382"/>
      <c r="P643" s="257"/>
      <c r="Q643" s="355"/>
    </row>
    <row r="644" spans="1:17" s="427" customFormat="1" x14ac:dyDescent="0.2">
      <c r="A644" s="413"/>
      <c r="B644" s="362"/>
      <c r="C644" s="361"/>
      <c r="D644" s="362"/>
      <c r="E644" s="362"/>
      <c r="F644" s="362"/>
      <c r="G644" s="431" t="s">
        <v>181</v>
      </c>
      <c r="H644" s="431"/>
      <c r="I644" s="560">
        <v>1200000000</v>
      </c>
      <c r="J644" s="379"/>
      <c r="K644" s="380">
        <f>+I644</f>
        <v>1200000000</v>
      </c>
      <c r="L644" s="381"/>
      <c r="M644" s="382"/>
      <c r="N644" s="560"/>
      <c r="O644" s="382"/>
      <c r="P644" s="257"/>
      <c r="Q644" s="355"/>
    </row>
    <row r="645" spans="1:17" s="427" customFormat="1" ht="13.5" thickBot="1" x14ac:dyDescent="0.25">
      <c r="A645" s="561"/>
      <c r="B645" s="368"/>
      <c r="C645" s="369"/>
      <c r="D645" s="368"/>
      <c r="E645" s="368"/>
      <c r="F645" s="368"/>
      <c r="G645" s="562"/>
      <c r="H645" s="562"/>
      <c r="I645" s="563"/>
      <c r="J645" s="480"/>
      <c r="K645" s="481"/>
      <c r="L645" s="482"/>
      <c r="M645" s="483"/>
      <c r="N645" s="563"/>
      <c r="O645" s="382"/>
      <c r="P645" s="257"/>
      <c r="Q645" s="355"/>
    </row>
    <row r="646" spans="1:17" s="427" customFormat="1" ht="13.5" hidden="1" thickBot="1" x14ac:dyDescent="0.25">
      <c r="A646" s="413"/>
      <c r="B646" s="362"/>
      <c r="C646" s="361"/>
      <c r="D646" s="362" t="s">
        <v>18</v>
      </c>
      <c r="E646" s="362" t="s">
        <v>183</v>
      </c>
      <c r="F646" s="362" t="s">
        <v>184</v>
      </c>
      <c r="G646" s="431" t="str">
        <f>+'[2]Egresos Programa III General'!B97</f>
        <v>Dierección Técnica y Estudio</v>
      </c>
      <c r="H646" s="431"/>
      <c r="I646" s="560">
        <v>0</v>
      </c>
      <c r="J646" s="564"/>
      <c r="K646" s="565"/>
      <c r="L646" s="566"/>
      <c r="M646" s="382"/>
      <c r="N646" s="560"/>
      <c r="O646" s="382"/>
      <c r="P646" s="257"/>
      <c r="Q646" s="355"/>
    </row>
    <row r="647" spans="1:17" s="427" customFormat="1" x14ac:dyDescent="0.2">
      <c r="A647" s="408"/>
      <c r="B647" s="349"/>
      <c r="C647" s="348"/>
      <c r="D647" s="349" t="s">
        <v>18</v>
      </c>
      <c r="E647" s="349" t="s">
        <v>183</v>
      </c>
      <c r="F647" s="349" t="s">
        <v>191</v>
      </c>
      <c r="G647" s="350" t="str">
        <f>+'[2]Egresos Programa III General'!B101</f>
        <v>Alajuela Ciudad Segura</v>
      </c>
      <c r="H647" s="350"/>
      <c r="I647" s="567">
        <f>+'[2]Egresos Programa III General'!C101</f>
        <v>236793600</v>
      </c>
      <c r="J647" s="568"/>
      <c r="K647" s="569"/>
      <c r="L647" s="570"/>
      <c r="M647" s="377"/>
      <c r="N647" s="567"/>
      <c r="O647" s="382"/>
      <c r="P647" s="257"/>
      <c r="Q647" s="355"/>
    </row>
    <row r="648" spans="1:17" s="427" customFormat="1" hidden="1" x14ac:dyDescent="0.2">
      <c r="A648" s="413"/>
      <c r="B648" s="362"/>
      <c r="C648" s="361"/>
      <c r="D648" s="362" t="s">
        <v>18</v>
      </c>
      <c r="E648" s="362" t="s">
        <v>183</v>
      </c>
      <c r="F648" s="362" t="s">
        <v>187</v>
      </c>
      <c r="G648" s="431" t="str">
        <f>+'[2]Egresos Programa III General'!B105</f>
        <v xml:space="preserve">Techado Areas de Juegos de la Escuela Luis Demetrio Tinoco </v>
      </c>
      <c r="H648" s="431"/>
      <c r="I648" s="560">
        <v>0</v>
      </c>
      <c r="J648" s="379"/>
      <c r="K648" s="380"/>
      <c r="L648" s="381"/>
      <c r="M648" s="382"/>
      <c r="N648" s="560"/>
      <c r="O648" s="382"/>
      <c r="P648" s="257"/>
      <c r="Q648" s="355"/>
    </row>
    <row r="649" spans="1:17" s="427" customFormat="1" x14ac:dyDescent="0.2">
      <c r="A649" s="413"/>
      <c r="B649" s="362"/>
      <c r="C649" s="361"/>
      <c r="D649" s="362"/>
      <c r="E649" s="362"/>
      <c r="F649" s="362"/>
      <c r="G649" s="431" t="s">
        <v>10</v>
      </c>
      <c r="H649" s="431"/>
      <c r="I649" s="560">
        <v>236793600</v>
      </c>
      <c r="J649" s="379">
        <f>+I649</f>
        <v>236793600</v>
      </c>
      <c r="K649" s="380"/>
      <c r="L649" s="381"/>
      <c r="M649" s="382"/>
      <c r="N649" s="560"/>
      <c r="O649" s="382"/>
      <c r="P649" s="257"/>
      <c r="Q649" s="355"/>
    </row>
    <row r="650" spans="1:17" s="427" customFormat="1" ht="13.5" thickBot="1" x14ac:dyDescent="0.25">
      <c r="A650" s="413"/>
      <c r="B650" s="362"/>
      <c r="C650" s="361"/>
      <c r="D650" s="362"/>
      <c r="E650" s="362"/>
      <c r="F650" s="362"/>
      <c r="G650" s="431"/>
      <c r="H650" s="431"/>
      <c r="I650" s="560"/>
      <c r="J650" s="379"/>
      <c r="K650" s="380"/>
      <c r="L650" s="381"/>
      <c r="M650" s="382"/>
      <c r="N650" s="560"/>
      <c r="O650" s="382"/>
      <c r="P650" s="257"/>
      <c r="Q650" s="355"/>
    </row>
    <row r="651" spans="1:17" s="427" customFormat="1" ht="13.5" hidden="1" thickBot="1" x14ac:dyDescent="0.25">
      <c r="A651" s="413"/>
      <c r="B651" s="362"/>
      <c r="C651" s="361"/>
      <c r="D651" s="362" t="s">
        <v>18</v>
      </c>
      <c r="E651" s="362" t="s">
        <v>183</v>
      </c>
      <c r="F651" s="362">
        <v>11</v>
      </c>
      <c r="G651" s="431" t="str">
        <f>+'[2]Egresos Programa III General'!B107</f>
        <v>Compra de Terreno para Salón Comunal Río Segundo</v>
      </c>
      <c r="H651" s="431"/>
      <c r="I651" s="560">
        <v>0</v>
      </c>
      <c r="J651" s="379"/>
      <c r="K651" s="380"/>
      <c r="L651" s="381"/>
      <c r="M651" s="382"/>
      <c r="N651" s="560"/>
      <c r="O651" s="382"/>
      <c r="P651" s="257"/>
      <c r="Q651" s="355"/>
    </row>
    <row r="652" spans="1:17" s="427" customFormat="1" ht="13.5" hidden="1" thickBot="1" x14ac:dyDescent="0.25">
      <c r="A652" s="413"/>
      <c r="B652" s="362"/>
      <c r="C652" s="361"/>
      <c r="D652" s="362" t="s">
        <v>18</v>
      </c>
      <c r="E652" s="362" t="s">
        <v>189</v>
      </c>
      <c r="F652" s="362"/>
      <c r="G652" s="363" t="s">
        <v>190</v>
      </c>
      <c r="H652" s="363"/>
      <c r="I652" s="560">
        <v>0</v>
      </c>
      <c r="J652" s="379"/>
      <c r="K652" s="380"/>
      <c r="L652" s="381"/>
      <c r="M652" s="382"/>
      <c r="N652" s="560"/>
      <c r="O652" s="382">
        <f>+O653-1954969833.13</f>
        <v>-1954969833.1300001</v>
      </c>
      <c r="P652" s="257"/>
      <c r="Q652" s="355"/>
    </row>
    <row r="653" spans="1:17" s="427" customFormat="1" ht="13.5" hidden="1" thickBot="1" x14ac:dyDescent="0.25">
      <c r="A653" s="413"/>
      <c r="B653" s="362"/>
      <c r="C653" s="361"/>
      <c r="D653" s="362" t="s">
        <v>18</v>
      </c>
      <c r="E653" s="362" t="s">
        <v>189</v>
      </c>
      <c r="F653" s="362"/>
      <c r="G653" s="363" t="s">
        <v>188</v>
      </c>
      <c r="H653" s="363"/>
      <c r="I653" s="560">
        <v>0</v>
      </c>
      <c r="J653" s="379"/>
      <c r="K653" s="380"/>
      <c r="L653" s="381"/>
      <c r="M653" s="382"/>
      <c r="N653" s="560"/>
      <c r="O653" s="382">
        <f>+I653+I709+I726+I817</f>
        <v>0</v>
      </c>
      <c r="P653" s="257">
        <f>+I653+I652+I654+I725+I900+I914+I686+I726</f>
        <v>0</v>
      </c>
      <c r="Q653" s="355"/>
    </row>
    <row r="654" spans="1:17" s="427" customFormat="1" ht="13.5" hidden="1" thickBot="1" x14ac:dyDescent="0.25">
      <c r="A654" s="413"/>
      <c r="B654" s="362"/>
      <c r="C654" s="361"/>
      <c r="D654" s="362" t="s">
        <v>18</v>
      </c>
      <c r="E654" s="362" t="s">
        <v>187</v>
      </c>
      <c r="F654" s="362"/>
      <c r="G654" s="363" t="s">
        <v>186</v>
      </c>
      <c r="H654" s="363"/>
      <c r="I654" s="560">
        <v>0</v>
      </c>
      <c r="J654" s="379"/>
      <c r="K654" s="380"/>
      <c r="L654" s="381"/>
      <c r="M654" s="382"/>
      <c r="N654" s="560"/>
      <c r="O654" s="382"/>
      <c r="P654" s="257"/>
      <c r="Q654" s="355"/>
    </row>
    <row r="655" spans="1:17" s="427" customFormat="1" ht="13.5" thickBot="1" x14ac:dyDescent="0.25">
      <c r="A655" s="571" t="s">
        <v>180</v>
      </c>
      <c r="B655" s="405"/>
      <c r="C655" s="572">
        <f>SUM(C635:C654)</f>
        <v>1672200626.6700001</v>
      </c>
      <c r="D655" s="405"/>
      <c r="E655" s="405"/>
      <c r="F655" s="405"/>
      <c r="G655" s="406"/>
      <c r="H655" s="406"/>
      <c r="I655" s="573">
        <f>SUM(I634:I654)/2</f>
        <v>1672200626.6700001</v>
      </c>
      <c r="J655" s="379"/>
      <c r="K655" s="380"/>
      <c r="L655" s="381"/>
      <c r="M655" s="382"/>
      <c r="N655" s="560">
        <f>+C655-I655</f>
        <v>0</v>
      </c>
      <c r="O655" s="382"/>
      <c r="P655" s="257"/>
      <c r="Q655" s="355"/>
    </row>
    <row r="656" spans="1:17" hidden="1" x14ac:dyDescent="0.2">
      <c r="A656" s="221"/>
      <c r="B656" s="209"/>
      <c r="C656" s="240"/>
      <c r="D656" s="209"/>
      <c r="E656" s="209"/>
      <c r="F656" s="209"/>
      <c r="G656" s="241"/>
      <c r="H656" s="241"/>
      <c r="I656" s="574"/>
      <c r="J656" s="575"/>
      <c r="K656" s="576"/>
      <c r="L656" s="577"/>
      <c r="M656" s="578"/>
      <c r="N656" s="579"/>
      <c r="O656" s="580"/>
    </row>
    <row r="657" spans="1:15" hidden="1" x14ac:dyDescent="0.2">
      <c r="A657" s="221"/>
      <c r="B657" s="209"/>
      <c r="C657" s="240"/>
      <c r="D657" s="209"/>
      <c r="E657" s="209"/>
      <c r="F657" s="209"/>
      <c r="G657" s="241"/>
      <c r="H657" s="241"/>
      <c r="I657" s="242"/>
      <c r="J657" s="243"/>
      <c r="K657" s="244"/>
      <c r="L657" s="245"/>
      <c r="M657" s="246"/>
      <c r="N657" s="242"/>
      <c r="O657" s="246"/>
    </row>
    <row r="658" spans="1:15" hidden="1" x14ac:dyDescent="0.2">
      <c r="A658" s="221" t="str">
        <f>+'[1]Clasific. Económica de Ingr (3)'!A153</f>
        <v>3.1.1.6.01.00.0.0.000</v>
      </c>
      <c r="B658" s="309" t="str">
        <f>+'[1]Clasific. Económica de Ingr (3)'!B153</f>
        <v xml:space="preserve">Banco Popular </v>
      </c>
      <c r="C658" s="211">
        <f>+'[1]Clasific. Económica de Ingr (3)'!C153</f>
        <v>0</v>
      </c>
      <c r="D658" s="209" t="s">
        <v>18</v>
      </c>
      <c r="E658" s="209" t="s">
        <v>185</v>
      </c>
      <c r="F658" s="209"/>
      <c r="G658" s="258" t="str">
        <f>+'[2]Egresos Programa III General'!B17</f>
        <v>Construcción de Salón Multiusos en Urbanización Las Abras</v>
      </c>
      <c r="H658" s="258"/>
      <c r="I658" s="300">
        <v>0</v>
      </c>
      <c r="J658" s="301"/>
      <c r="K658" s="302"/>
      <c r="L658" s="303"/>
      <c r="N658" s="300"/>
      <c r="O658" s="236"/>
    </row>
    <row r="659" spans="1:15" hidden="1" x14ac:dyDescent="0.2">
      <c r="A659" s="221"/>
      <c r="B659" s="309"/>
      <c r="C659" s="211"/>
      <c r="D659" s="209"/>
      <c r="E659" s="209"/>
      <c r="F659" s="209"/>
      <c r="G659" s="241"/>
      <c r="H659" s="241"/>
      <c r="I659" s="300">
        <v>0</v>
      </c>
      <c r="J659" s="301"/>
      <c r="K659" s="302"/>
      <c r="L659" s="303"/>
      <c r="N659" s="300"/>
      <c r="O659" s="236"/>
    </row>
    <row r="660" spans="1:15" ht="13.5" hidden="1" thickBot="1" x14ac:dyDescent="0.25">
      <c r="A660" s="323" t="s">
        <v>180</v>
      </c>
      <c r="B660" s="324"/>
      <c r="C660" s="325">
        <f>SUM(C658:C659)</f>
        <v>0</v>
      </c>
      <c r="D660" s="326"/>
      <c r="E660" s="326"/>
      <c r="F660" s="326"/>
      <c r="G660" s="327"/>
      <c r="H660" s="327"/>
      <c r="I660" s="341">
        <f>SUM(I658:I659)</f>
        <v>0</v>
      </c>
      <c r="J660" s="342"/>
      <c r="K660" s="343"/>
      <c r="L660" s="344"/>
      <c r="M660" s="345"/>
      <c r="N660" s="333">
        <f>+C660-I660</f>
        <v>0</v>
      </c>
      <c r="O660" s="345"/>
    </row>
    <row r="661" spans="1:15" x14ac:dyDescent="0.2">
      <c r="A661" s="221"/>
      <c r="B661" s="209"/>
      <c r="C661" s="240"/>
      <c r="D661" s="209"/>
      <c r="E661" s="209"/>
      <c r="F661" s="209"/>
      <c r="G661" s="241"/>
      <c r="H661" s="241"/>
      <c r="I661" s="574"/>
      <c r="J661" s="575"/>
      <c r="K661" s="576"/>
      <c r="L661" s="577"/>
      <c r="M661" s="578"/>
      <c r="N661" s="579"/>
      <c r="O661" s="580"/>
    </row>
    <row r="662" spans="1:15" x14ac:dyDescent="0.2">
      <c r="A662" s="221"/>
      <c r="B662" s="209"/>
      <c r="C662" s="240"/>
      <c r="D662" s="209"/>
      <c r="E662" s="209"/>
      <c r="F662" s="209"/>
      <c r="G662" s="241"/>
      <c r="H662" s="241"/>
      <c r="I662" s="242"/>
      <c r="J662" s="243"/>
      <c r="K662" s="244"/>
      <c r="L662" s="245"/>
      <c r="M662" s="246"/>
      <c r="N662" s="242"/>
      <c r="O662" s="246"/>
    </row>
    <row r="663" spans="1:15" x14ac:dyDescent="0.2">
      <c r="A663" s="221" t="str">
        <f>+'[1]Clasific. Económica de Ingr (3)'!A159</f>
        <v>3.3.2.0.00.00.0.0.004</v>
      </c>
      <c r="B663" s="309" t="str">
        <f>+'[1]Clasific. Económica de Ingr (3)'!B159</f>
        <v>Servicio de Recolección de Basura</v>
      </c>
      <c r="C663" s="211">
        <f>+'[1]Clasific. Económica de Ingr (3)'!C159</f>
        <v>598000000</v>
      </c>
      <c r="D663" s="209" t="s">
        <v>185</v>
      </c>
      <c r="E663" s="209" t="s">
        <v>185</v>
      </c>
      <c r="F663" s="209"/>
      <c r="G663" s="258" t="str">
        <f>+'[2]Egresos Programa II General'!B13</f>
        <v>Recolección de Basuras</v>
      </c>
      <c r="H663" s="258"/>
      <c r="I663" s="457">
        <f>147406307.78+444372355.26+3000000+3221336.96</f>
        <v>598000000</v>
      </c>
      <c r="J663" s="301"/>
      <c r="K663" s="302"/>
      <c r="L663" s="303"/>
      <c r="N663" s="300"/>
      <c r="O663" s="236"/>
    </row>
    <row r="664" spans="1:15" x14ac:dyDescent="0.2">
      <c r="A664" s="221"/>
      <c r="B664" s="309"/>
      <c r="C664" s="211"/>
      <c r="D664" s="209"/>
      <c r="E664" s="209"/>
      <c r="F664" s="209"/>
      <c r="G664" s="258" t="s">
        <v>10</v>
      </c>
      <c r="H664" s="258"/>
      <c r="I664" s="300">
        <v>598000000</v>
      </c>
      <c r="J664" s="301">
        <f>+I664</f>
        <v>598000000</v>
      </c>
      <c r="K664" s="302"/>
      <c r="L664" s="303"/>
      <c r="N664" s="300"/>
      <c r="O664" s="236"/>
    </row>
    <row r="665" spans="1:15" ht="13.5" thickBot="1" x14ac:dyDescent="0.25">
      <c r="A665" s="221"/>
      <c r="B665" s="309"/>
      <c r="C665" s="211"/>
      <c r="D665" s="209"/>
      <c r="E665" s="209"/>
      <c r="F665" s="209"/>
      <c r="G665" s="258"/>
      <c r="H665" s="258"/>
      <c r="I665" s="300"/>
      <c r="J665" s="301"/>
      <c r="K665" s="302"/>
      <c r="L665" s="303"/>
      <c r="N665" s="300"/>
      <c r="O665" s="236"/>
    </row>
    <row r="666" spans="1:15" ht="13.5" hidden="1" thickBot="1" x14ac:dyDescent="0.25">
      <c r="A666" s="221"/>
      <c r="B666" s="309"/>
      <c r="C666" s="211"/>
      <c r="D666" s="209"/>
      <c r="E666" s="209"/>
      <c r="F666" s="209"/>
      <c r="G666" s="258"/>
      <c r="H666" s="258"/>
      <c r="I666" s="300"/>
      <c r="J666" s="301"/>
      <c r="K666" s="302"/>
      <c r="L666" s="303"/>
      <c r="N666" s="300"/>
      <c r="O666" s="236"/>
    </row>
    <row r="667" spans="1:15" ht="13.5" hidden="1" thickBot="1" x14ac:dyDescent="0.25">
      <c r="A667" s="221"/>
      <c r="B667" s="309"/>
      <c r="C667" s="211"/>
      <c r="D667" s="209"/>
      <c r="E667" s="209"/>
      <c r="F667" s="209"/>
      <c r="G667" s="241"/>
      <c r="H667" s="241"/>
      <c r="I667" s="300">
        <v>0</v>
      </c>
      <c r="J667" s="301"/>
      <c r="K667" s="302"/>
      <c r="L667" s="303"/>
      <c r="N667" s="300"/>
      <c r="O667" s="236"/>
    </row>
    <row r="668" spans="1:15" ht="13.5" thickBot="1" x14ac:dyDescent="0.25">
      <c r="A668" s="323" t="s">
        <v>180</v>
      </c>
      <c r="B668" s="324"/>
      <c r="C668" s="325">
        <f>SUM(C663:C667)</f>
        <v>598000000</v>
      </c>
      <c r="D668" s="326"/>
      <c r="E668" s="326"/>
      <c r="F668" s="326"/>
      <c r="G668" s="327"/>
      <c r="H668" s="327"/>
      <c r="I668" s="341">
        <f>SUM(I663:I667)/2</f>
        <v>598000000</v>
      </c>
      <c r="J668" s="342"/>
      <c r="K668" s="343"/>
      <c r="L668" s="344"/>
      <c r="M668" s="345"/>
      <c r="N668" s="333">
        <f>+C668-I668</f>
        <v>0</v>
      </c>
      <c r="O668" s="345"/>
    </row>
    <row r="669" spans="1:15" x14ac:dyDescent="0.2">
      <c r="A669" s="221"/>
      <c r="B669" s="209"/>
      <c r="C669" s="240"/>
      <c r="D669" s="209"/>
      <c r="E669" s="209"/>
      <c r="F669" s="209"/>
      <c r="G669" s="241"/>
      <c r="H669" s="241"/>
      <c r="I669" s="574"/>
      <c r="J669" s="575"/>
      <c r="K669" s="576"/>
      <c r="L669" s="577"/>
      <c r="M669" s="578"/>
      <c r="N669" s="579"/>
      <c r="O669" s="580"/>
    </row>
    <row r="670" spans="1:15" x14ac:dyDescent="0.2">
      <c r="A670" s="221"/>
      <c r="B670" s="209"/>
      <c r="C670" s="240"/>
      <c r="D670" s="209"/>
      <c r="E670" s="209"/>
      <c r="F670" s="209"/>
      <c r="G670" s="241"/>
      <c r="H670" s="241"/>
      <c r="I670" s="242"/>
      <c r="J670" s="243"/>
      <c r="K670" s="244"/>
      <c r="L670" s="245"/>
      <c r="M670" s="246"/>
      <c r="N670" s="242"/>
      <c r="O670" s="246"/>
    </row>
    <row r="671" spans="1:15" hidden="1" x14ac:dyDescent="0.2">
      <c r="A671" s="221" t="str">
        <f>+'[1]Clasific. Económica de Ingr (3)'!B160</f>
        <v>Bienes Inmuebles</v>
      </c>
      <c r="B671" s="309" t="str">
        <f>+'[1]Clasific. Económica de Ingr (3)'!B158</f>
        <v>Seperavit especificico</v>
      </c>
      <c r="C671" s="211">
        <f>+'[1]Clasific. Económica de Ingr (3)'!C160</f>
        <v>2260300000</v>
      </c>
      <c r="D671" s="209" t="s">
        <v>18</v>
      </c>
      <c r="E671" s="209" t="s">
        <v>185</v>
      </c>
      <c r="F671" s="209"/>
      <c r="G671" s="258" t="str">
        <f>+'[2]Egresos Programa III General'!B22</f>
        <v>Salón Multiuso en Urbanización La Perla del Distrito de San Rafael</v>
      </c>
      <c r="H671" s="258"/>
      <c r="I671" s="300">
        <v>0</v>
      </c>
      <c r="J671" s="301"/>
      <c r="K671" s="302"/>
      <c r="L671" s="303"/>
      <c r="N671" s="300"/>
      <c r="O671" s="236"/>
    </row>
    <row r="672" spans="1:15" x14ac:dyDescent="0.2">
      <c r="A672" s="221"/>
      <c r="B672" s="209"/>
      <c r="C672" s="240"/>
      <c r="D672" s="209" t="s">
        <v>18</v>
      </c>
      <c r="E672" s="209" t="s">
        <v>184</v>
      </c>
      <c r="F672" s="209" t="s">
        <v>184</v>
      </c>
      <c r="G672" s="295" t="str">
        <f>+'[2]Egresos Programa III General'!B13</f>
        <v>Terminal FECOSA</v>
      </c>
      <c r="H672" s="295"/>
      <c r="I672" s="249">
        <v>1910300000</v>
      </c>
      <c r="J672" s="250"/>
      <c r="K672" s="251"/>
      <c r="L672" s="252"/>
      <c r="M672" s="240"/>
      <c r="N672" s="247"/>
      <c r="O672" s="248"/>
    </row>
    <row r="673" spans="1:17" x14ac:dyDescent="0.2">
      <c r="A673" s="221"/>
      <c r="B673" s="209"/>
      <c r="C673" s="240"/>
      <c r="D673" s="209"/>
      <c r="E673" s="209"/>
      <c r="F673" s="209"/>
      <c r="G673" s="295" t="s">
        <v>181</v>
      </c>
      <c r="H673" s="295"/>
      <c r="I673" s="255">
        <v>1910300000</v>
      </c>
      <c r="J673" s="250"/>
      <c r="K673" s="251">
        <f>+I673</f>
        <v>1910300000</v>
      </c>
      <c r="L673" s="252"/>
      <c r="M673" s="240"/>
      <c r="N673" s="247"/>
      <c r="O673" s="248"/>
    </row>
    <row r="674" spans="1:17" x14ac:dyDescent="0.2">
      <c r="A674" s="221"/>
      <c r="B674" s="209"/>
      <c r="C674" s="240"/>
      <c r="D674" s="209"/>
      <c r="E674" s="209"/>
      <c r="F674" s="209"/>
      <c r="G674" s="295"/>
      <c r="H674" s="295"/>
      <c r="I674" s="255"/>
      <c r="J674" s="250"/>
      <c r="K674" s="251"/>
      <c r="L674" s="252"/>
      <c r="M674" s="240"/>
      <c r="N674" s="247"/>
      <c r="O674" s="248"/>
    </row>
    <row r="675" spans="1:17" x14ac:dyDescent="0.2">
      <c r="A675" s="221"/>
      <c r="B675" s="209"/>
      <c r="C675" s="240"/>
      <c r="D675" s="209" t="s">
        <v>18</v>
      </c>
      <c r="E675" s="209" t="s">
        <v>183</v>
      </c>
      <c r="F675" s="209" t="s">
        <v>182</v>
      </c>
      <c r="G675" s="295" t="str">
        <f>+'[2]Egresos Programa III General'!B102</f>
        <v>Plan de Desarrollo Informático</v>
      </c>
      <c r="H675" s="295"/>
      <c r="I675" s="249">
        <v>350000000</v>
      </c>
      <c r="J675" s="250"/>
      <c r="K675" s="251"/>
      <c r="L675" s="252"/>
      <c r="M675" s="240"/>
      <c r="N675" s="247"/>
      <c r="O675" s="248"/>
    </row>
    <row r="676" spans="1:17" x14ac:dyDescent="0.2">
      <c r="A676" s="221"/>
      <c r="B676" s="209"/>
      <c r="C676" s="240"/>
      <c r="D676" s="209"/>
      <c r="E676" s="209"/>
      <c r="F676" s="209"/>
      <c r="G676" s="295" t="s">
        <v>181</v>
      </c>
      <c r="H676" s="295"/>
      <c r="I676" s="255">
        <v>350000000</v>
      </c>
      <c r="J676" s="250"/>
      <c r="K676" s="251">
        <f>+I676</f>
        <v>350000000</v>
      </c>
      <c r="L676" s="252"/>
      <c r="M676" s="240"/>
      <c r="N676" s="247"/>
      <c r="O676" s="248"/>
    </row>
    <row r="677" spans="1:17" x14ac:dyDescent="0.2">
      <c r="A677" s="221"/>
      <c r="B677" s="209"/>
      <c r="C677" s="240"/>
      <c r="D677" s="209"/>
      <c r="E677" s="209"/>
      <c r="F677" s="209"/>
      <c r="G677" s="295"/>
      <c r="H677" s="295"/>
      <c r="I677" s="255"/>
      <c r="J677" s="250"/>
      <c r="K677" s="251"/>
      <c r="L677" s="252"/>
      <c r="M677" s="240"/>
      <c r="N677" s="247"/>
      <c r="O677" s="248"/>
    </row>
    <row r="678" spans="1:17" ht="13.5" thickBot="1" x14ac:dyDescent="0.25">
      <c r="A678" s="271"/>
      <c r="B678" s="459"/>
      <c r="C678" s="441"/>
      <c r="D678" s="272"/>
      <c r="E678" s="272"/>
      <c r="F678" s="272"/>
      <c r="G678" s="274"/>
      <c r="H678" s="274"/>
      <c r="I678" s="442"/>
      <c r="J678" s="301"/>
      <c r="K678" s="302"/>
      <c r="L678" s="303"/>
      <c r="N678" s="300"/>
      <c r="O678" s="236"/>
    </row>
    <row r="679" spans="1:17" ht="13.5" thickBot="1" x14ac:dyDescent="0.25">
      <c r="A679" s="323" t="s">
        <v>180</v>
      </c>
      <c r="B679" s="324"/>
      <c r="C679" s="325">
        <f>SUM(C671:C678)</f>
        <v>2260300000</v>
      </c>
      <c r="D679" s="326"/>
      <c r="E679" s="326"/>
      <c r="F679" s="326"/>
      <c r="G679" s="327"/>
      <c r="H679" s="327"/>
      <c r="I679" s="581">
        <f>SUM(I671:I678)/2</f>
        <v>2260300000</v>
      </c>
      <c r="J679" s="342"/>
      <c r="K679" s="343"/>
      <c r="L679" s="344"/>
      <c r="M679" s="345"/>
      <c r="N679" s="333">
        <f>+C679-I679</f>
        <v>0</v>
      </c>
      <c r="O679" s="345"/>
    </row>
    <row r="680" spans="1:17" x14ac:dyDescent="0.2">
      <c r="A680" s="582" t="s">
        <v>179</v>
      </c>
      <c r="B680" s="207"/>
      <c r="C680" s="437">
        <f>+C184+C194+C210+C299+C325+C340+C353+C371+C395+C413+C426+C440+C474+C484+C448+C567+C597+C607+C625+C573+C619+C385+C629+C633+C453+C660</f>
        <v>20095366618.68</v>
      </c>
      <c r="D680" s="207"/>
      <c r="E680" s="207"/>
      <c r="F680" s="207"/>
      <c r="G680" s="231"/>
      <c r="H680" s="231"/>
      <c r="I680" s="437">
        <f>+I184+I194+I210+I299+I325+I340+I353+I371+I395+I413+I426+I440+I474+I484+I448+I567+I597+I607+I625+I573+I619+I385+I629+I633+I453+I660</f>
        <v>20095366618.683334</v>
      </c>
      <c r="J680" s="397"/>
      <c r="K680" s="398"/>
      <c r="L680" s="399"/>
      <c r="M680" s="400"/>
      <c r="N680" s="255">
        <f>+N184+N194+N210+N299+N325+N340+N353+N371+N395+N413+N426+N440+N474+N484+N448+N567+N597+N607+N625+N573+N619+N385+N629+N633+N453+N660+N668+N679</f>
        <v>-3.3293813467025757E-3</v>
      </c>
      <c r="O680" s="240">
        <f>+C680-I680</f>
        <v>-3.33404541015625E-3</v>
      </c>
      <c r="P680" s="210">
        <f>+C680-I680</f>
        <v>-3.33404541015625E-3</v>
      </c>
      <c r="Q680" s="211">
        <f>+I680-N680</f>
        <v>20095366618.686665</v>
      </c>
    </row>
    <row r="681" spans="1:17" s="427" customFormat="1" x14ac:dyDescent="0.2">
      <c r="A681" s="413" t="s">
        <v>178</v>
      </c>
      <c r="B681" s="362"/>
      <c r="C681" s="382">
        <f>+C206+C220+C230+C237+C270+C287+C344+C461+C513+C529+C559+C501+C544+C591+C655+C585</f>
        <v>8529255776.3400002</v>
      </c>
      <c r="D681" s="362"/>
      <c r="E681" s="362"/>
      <c r="F681" s="362"/>
      <c r="G681" s="363"/>
      <c r="H681" s="363"/>
      <c r="I681" s="382">
        <f>+I206+I220+I230+I237+I270+I287+I344+I461+I513+I529+I559+I501+I544+I591+I655+I585</f>
        <v>8529255776.3451147</v>
      </c>
      <c r="J681" s="379"/>
      <c r="K681" s="380"/>
      <c r="L681" s="381"/>
      <c r="M681" s="382"/>
      <c r="N681" s="560">
        <f>+N206+N220+N230+N237+N270+N287+N344+N461+N513+N529+N559+N501+N544+N591+N655+N585</f>
        <v>-5.1136016845703125E-3</v>
      </c>
      <c r="O681" s="240">
        <f>+C681-I681</f>
        <v>-5.1145553588867188E-3</v>
      </c>
      <c r="P681" s="257">
        <f>+C681-I681</f>
        <v>-5.1145553588867188E-3</v>
      </c>
      <c r="Q681" s="355"/>
    </row>
    <row r="682" spans="1:17" ht="13.5" thickBot="1" x14ac:dyDescent="0.25">
      <c r="A682" s="271"/>
      <c r="B682" s="272"/>
      <c r="C682" s="454">
        <f>+C680+C681+C679+C668</f>
        <v>31482922395.02</v>
      </c>
      <c r="D682" s="272"/>
      <c r="E682" s="272"/>
      <c r="F682" s="272"/>
      <c r="G682" s="274"/>
      <c r="H682" s="274"/>
      <c r="I682" s="454">
        <f>+I680+I681+I679+I668</f>
        <v>31482922395.02845</v>
      </c>
      <c r="J682" s="397"/>
      <c r="K682" s="398"/>
      <c r="L682" s="399"/>
      <c r="M682" s="454"/>
      <c r="N682" s="275">
        <f>+N680+N681</f>
        <v>-8.4429830312728882E-3</v>
      </c>
      <c r="O682" s="240">
        <f>+C682-I682</f>
        <v>-8.449554443359375E-3</v>
      </c>
      <c r="P682" s="210">
        <f>+P680+P681</f>
        <v>-8.4486007690429688E-3</v>
      </c>
      <c r="Q682" s="212"/>
    </row>
    <row r="683" spans="1:17" ht="13.5" thickBot="1" x14ac:dyDescent="0.25">
      <c r="A683" s="583" t="s">
        <v>177</v>
      </c>
      <c r="B683" s="326"/>
      <c r="C683" s="325">
        <f>+C184+C194+C206+C210+C220+C230+C237+C270+C287+C299+C325+C340+C344+C353+C371++C395+C413+C426+C440+C461+C474+C484+C501+C513+C529+C559+C448+C567+C585+C591+C597+C607+C625+C544+C573+C619+C385+C629+C633+C655+C453+C660+C668+C679</f>
        <v>31482922395.020004</v>
      </c>
      <c r="D683" s="584"/>
      <c r="E683" s="584"/>
      <c r="F683" s="584"/>
      <c r="G683" s="585"/>
      <c r="H683" s="585"/>
      <c r="I683" s="325">
        <f>+I184+I194+I206+I210+I220+I230+I237+I270+I287+I299+I325+I340+I344+I353+I371++I395+I413+I426+I440+I461+I474+I484+I501+I513+I529+I559+I448+I567+I585+I591+I597+I607+I625+I544+I573+I619+I385+I629+I633+I655+I453+I660+I668+I679</f>
        <v>31482922395.02845</v>
      </c>
      <c r="J683" s="586">
        <f>SUM(J9:J682)</f>
        <v>22562608596.239491</v>
      </c>
      <c r="K683" s="454">
        <f>SUM(K9:K682)</f>
        <v>8467955163.3800011</v>
      </c>
      <c r="L683" s="587">
        <f>SUM(L9:L682)</f>
        <v>452358635.42000002</v>
      </c>
      <c r="M683" s="325"/>
      <c r="N683" s="396">
        <f>+N184+N194+N206+N210+N220+N230+N237+N270+N287+N299+N325+N340+N344+N353+N371++N395+N413+N426+N440+N461+N474+N484+N501+N513+N529+N559+N448+N567+N585+N591+N597+N607+N625+N544+N573+N619+N385+N629+N633+N655+N453+N660+N668+N679</f>
        <v>-8.4429830312728882E-3</v>
      </c>
      <c r="O683" s="400">
        <f>+C683-I683</f>
        <v>-8.44573974609375E-3</v>
      </c>
      <c r="Q683" s="212"/>
    </row>
    <row r="684" spans="1:17" x14ac:dyDescent="0.2">
      <c r="A684" s="286"/>
      <c r="B684" s="207"/>
      <c r="C684" s="437">
        <f>+C683-'[1]Clasific. Económica de Ingr (3)'!D163</f>
        <v>0</v>
      </c>
      <c r="D684" s="230"/>
      <c r="E684" s="230"/>
      <c r="F684" s="230"/>
      <c r="G684" s="588"/>
      <c r="H684" s="588"/>
      <c r="I684" s="589"/>
      <c r="J684" s="589"/>
      <c r="K684" s="589"/>
      <c r="L684" s="589"/>
      <c r="M684" s="589"/>
      <c r="N684" s="590"/>
      <c r="O684" s="400"/>
      <c r="Q684" s="212"/>
    </row>
    <row r="685" spans="1:17" ht="31.5" customHeight="1" x14ac:dyDescent="0.2">
      <c r="A685" s="613" t="s">
        <v>176</v>
      </c>
      <c r="B685" s="614"/>
      <c r="C685" s="614"/>
      <c r="D685" s="614"/>
      <c r="E685" s="614"/>
      <c r="F685" s="614"/>
      <c r="G685" s="614"/>
      <c r="H685" s="614"/>
      <c r="I685" s="614"/>
      <c r="J685" s="296"/>
      <c r="K685" s="296"/>
      <c r="L685" s="296"/>
      <c r="M685" s="296"/>
      <c r="N685" s="591"/>
      <c r="O685" s="296"/>
      <c r="Q685" s="212"/>
    </row>
    <row r="686" spans="1:17" x14ac:dyDescent="0.2">
      <c r="A686" s="221"/>
      <c r="B686" s="209"/>
      <c r="C686" s="400"/>
      <c r="I686" s="345"/>
      <c r="J686" s="345"/>
      <c r="K686" s="345"/>
      <c r="L686" s="345"/>
      <c r="M686" s="345"/>
      <c r="N686" s="249"/>
      <c r="O686" s="400"/>
      <c r="Q686" s="212"/>
    </row>
    <row r="687" spans="1:17" x14ac:dyDescent="0.2">
      <c r="A687" s="466" t="s">
        <v>175</v>
      </c>
      <c r="B687" s="209"/>
      <c r="C687" s="400"/>
      <c r="I687" s="345"/>
      <c r="J687" s="345"/>
      <c r="K687" s="345"/>
      <c r="L687" s="345"/>
      <c r="M687" s="345"/>
      <c r="N687" s="249"/>
      <c r="O687" s="400"/>
      <c r="Q687" s="212"/>
    </row>
    <row r="688" spans="1:17" x14ac:dyDescent="0.2">
      <c r="A688" s="221"/>
      <c r="B688" s="209"/>
      <c r="C688" s="400"/>
      <c r="I688" s="345"/>
      <c r="J688" s="345"/>
      <c r="K688" s="345"/>
      <c r="L688" s="345"/>
      <c r="M688" s="345"/>
      <c r="N688" s="249"/>
      <c r="O688" s="400"/>
      <c r="Q688" s="212"/>
    </row>
    <row r="689" spans="1:17" ht="13.5" thickBot="1" x14ac:dyDescent="0.25">
      <c r="A689" s="592" t="s">
        <v>364</v>
      </c>
      <c r="B689" s="272"/>
      <c r="C689" s="454"/>
      <c r="D689" s="321"/>
      <c r="E689" s="321"/>
      <c r="F689" s="321"/>
      <c r="G689" s="485"/>
      <c r="H689" s="485"/>
      <c r="I689" s="593"/>
      <c r="J689" s="593"/>
      <c r="K689" s="593"/>
      <c r="L689" s="593"/>
      <c r="M689" s="593"/>
      <c r="N689" s="587"/>
      <c r="O689" s="400"/>
      <c r="Q689" s="212"/>
    </row>
    <row r="690" spans="1:17" x14ac:dyDescent="0.2">
      <c r="I690" s="236">
        <f>+I683-C683</f>
        <v>8.44573974609375E-3</v>
      </c>
      <c r="J690" s="236">
        <f>+J683-'[4]clasificador economico'!$C$2</f>
        <v>1.9779205322265625E-2</v>
      </c>
      <c r="K690" s="236">
        <f>+K683-'[4]clasificador economico'!$C$16</f>
        <v>1.0000228881835938E-2</v>
      </c>
      <c r="L690" s="236">
        <f>SUM(J683:L683)</f>
        <v>31482922395.03949</v>
      </c>
      <c r="Q690" s="212"/>
    </row>
    <row r="691" spans="1:17" x14ac:dyDescent="0.2">
      <c r="A691" s="209"/>
      <c r="B691" s="209"/>
      <c r="C691" s="240">
        <f>+C683-C682</f>
        <v>0</v>
      </c>
      <c r="I691" s="236">
        <f>+I683-'[2]Detalle General de Egresos'!E7</f>
        <v>1.873779296875E-2</v>
      </c>
      <c r="N691" s="211">
        <f>+N680-N625-N585-N184</f>
        <v>-2.5855004787445068E-4</v>
      </c>
      <c r="Q691" s="212"/>
    </row>
    <row r="692" spans="1:17" x14ac:dyDescent="0.2">
      <c r="A692" s="209"/>
      <c r="B692" s="209"/>
      <c r="C692" s="240"/>
      <c r="N692" s="211">
        <f>+N680-N691</f>
        <v>-3.070831298828125E-3</v>
      </c>
      <c r="Q692" s="212"/>
    </row>
    <row r="693" spans="1:17" x14ac:dyDescent="0.2">
      <c r="A693" s="209"/>
      <c r="B693" s="209"/>
      <c r="C693" s="240"/>
      <c r="Q693" s="212"/>
    </row>
    <row r="694" spans="1:17" x14ac:dyDescent="0.2">
      <c r="A694" s="209"/>
      <c r="B694" s="209"/>
      <c r="C694" s="240"/>
      <c r="Q694" s="212"/>
    </row>
    <row r="695" spans="1:17" x14ac:dyDescent="0.2">
      <c r="A695" s="209"/>
      <c r="B695" s="209"/>
      <c r="C695" s="240"/>
      <c r="Q695" s="212"/>
    </row>
    <row r="696" spans="1:17" x14ac:dyDescent="0.2">
      <c r="A696" s="209"/>
      <c r="B696" s="209"/>
      <c r="C696" s="240"/>
      <c r="Q696" s="212"/>
    </row>
    <row r="697" spans="1:17" x14ac:dyDescent="0.2">
      <c r="A697" s="209"/>
      <c r="B697" s="209"/>
      <c r="C697" s="240"/>
      <c r="Q697" s="212"/>
    </row>
    <row r="698" spans="1:17" x14ac:dyDescent="0.2">
      <c r="A698" s="209"/>
      <c r="B698" s="209"/>
      <c r="C698" s="240"/>
      <c r="O698" s="212"/>
      <c r="P698" s="212"/>
      <c r="Q698" s="212"/>
    </row>
    <row r="699" spans="1:17" x14ac:dyDescent="0.2">
      <c r="A699" s="209"/>
      <c r="B699" s="209"/>
      <c r="C699" s="240"/>
      <c r="O699" s="212"/>
      <c r="P699" s="212"/>
      <c r="Q699" s="212"/>
    </row>
    <row r="700" spans="1:17" x14ac:dyDescent="0.2">
      <c r="A700" s="209"/>
      <c r="B700" s="209"/>
      <c r="C700" s="240"/>
      <c r="O700" s="212"/>
      <c r="P700" s="212"/>
      <c r="Q700" s="212"/>
    </row>
    <row r="701" spans="1:17" x14ac:dyDescent="0.2">
      <c r="A701" s="209"/>
      <c r="B701" s="209"/>
      <c r="C701" s="240"/>
      <c r="O701" s="212"/>
      <c r="P701" s="212"/>
      <c r="Q701" s="212"/>
    </row>
    <row r="702" spans="1:17" x14ac:dyDescent="0.2">
      <c r="A702" s="209"/>
      <c r="B702" s="209"/>
      <c r="C702" s="240"/>
      <c r="O702" s="212"/>
      <c r="P702" s="212"/>
      <c r="Q702" s="212"/>
    </row>
    <row r="703" spans="1:17" x14ac:dyDescent="0.2">
      <c r="A703" s="209"/>
      <c r="B703" s="209"/>
      <c r="C703" s="240"/>
      <c r="O703" s="212"/>
      <c r="P703" s="212"/>
      <c r="Q703" s="212"/>
    </row>
    <row r="704" spans="1:17" x14ac:dyDescent="0.2">
      <c r="A704" s="209"/>
      <c r="B704" s="209"/>
      <c r="C704" s="240"/>
      <c r="O704" s="212"/>
      <c r="P704" s="212"/>
      <c r="Q704" s="212"/>
    </row>
    <row r="705" spans="1:17" x14ac:dyDescent="0.2">
      <c r="A705" s="209"/>
      <c r="B705" s="209"/>
      <c r="C705" s="240"/>
      <c r="O705" s="212"/>
      <c r="P705" s="212"/>
      <c r="Q705" s="212"/>
    </row>
    <row r="706" spans="1:17" x14ac:dyDescent="0.2">
      <c r="A706" s="209"/>
      <c r="B706" s="209"/>
      <c r="C706" s="240"/>
      <c r="O706" s="212"/>
      <c r="P706" s="212"/>
      <c r="Q706" s="212"/>
    </row>
    <row r="707" spans="1:17" x14ac:dyDescent="0.2">
      <c r="A707" s="209"/>
      <c r="B707" s="209"/>
      <c r="C707" s="240"/>
      <c r="O707" s="212"/>
      <c r="P707" s="212"/>
      <c r="Q707" s="212"/>
    </row>
    <row r="708" spans="1:17" x14ac:dyDescent="0.2">
      <c r="A708" s="209"/>
      <c r="B708" s="209"/>
      <c r="C708" s="240"/>
      <c r="O708" s="212"/>
      <c r="P708" s="212"/>
      <c r="Q708" s="212"/>
    </row>
    <row r="709" spans="1:17" x14ac:dyDescent="0.2">
      <c r="A709" s="209"/>
      <c r="B709" s="209"/>
      <c r="C709" s="240"/>
      <c r="O709" s="212"/>
      <c r="P709" s="212"/>
      <c r="Q709" s="212"/>
    </row>
    <row r="710" spans="1:17" x14ac:dyDescent="0.2">
      <c r="A710" s="209"/>
      <c r="B710" s="209"/>
      <c r="C710" s="240"/>
      <c r="O710" s="212"/>
      <c r="P710" s="212"/>
      <c r="Q710" s="212"/>
    </row>
    <row r="711" spans="1:17" x14ac:dyDescent="0.2">
      <c r="A711" s="209"/>
      <c r="B711" s="209"/>
      <c r="C711" s="240"/>
      <c r="O711" s="212"/>
      <c r="P711" s="212"/>
      <c r="Q711" s="212"/>
    </row>
    <row r="712" spans="1:17" x14ac:dyDescent="0.2">
      <c r="A712" s="209"/>
      <c r="B712" s="209"/>
      <c r="C712" s="240"/>
      <c r="O712" s="212"/>
      <c r="P712" s="212"/>
      <c r="Q712" s="212"/>
    </row>
    <row r="713" spans="1:17" x14ac:dyDescent="0.2">
      <c r="A713" s="209"/>
      <c r="B713" s="209"/>
      <c r="C713" s="240"/>
      <c r="O713" s="212"/>
      <c r="P713" s="212"/>
      <c r="Q713" s="212"/>
    </row>
    <row r="714" spans="1:17" x14ac:dyDescent="0.2">
      <c r="A714" s="209"/>
      <c r="B714" s="209"/>
      <c r="C714" s="240"/>
      <c r="G714" s="212"/>
      <c r="H714" s="212"/>
      <c r="I714" s="212"/>
      <c r="J714" s="212"/>
      <c r="K714" s="212"/>
      <c r="L714" s="212"/>
      <c r="M714" s="212"/>
      <c r="N714" s="212"/>
      <c r="O714" s="212"/>
      <c r="P714" s="212"/>
      <c r="Q714" s="212"/>
    </row>
    <row r="715" spans="1:17" x14ac:dyDescent="0.2">
      <c r="A715" s="209"/>
      <c r="B715" s="209"/>
      <c r="C715" s="240"/>
      <c r="G715" s="212"/>
      <c r="H715" s="212"/>
      <c r="I715" s="212"/>
      <c r="J715" s="212"/>
      <c r="K715" s="212"/>
      <c r="L715" s="212"/>
      <c r="M715" s="212"/>
      <c r="N715" s="212"/>
      <c r="O715" s="212"/>
      <c r="P715" s="212"/>
      <c r="Q715" s="212"/>
    </row>
    <row r="716" spans="1:17" x14ac:dyDescent="0.2">
      <c r="A716" s="209"/>
      <c r="B716" s="209"/>
      <c r="C716" s="240"/>
      <c r="G716" s="212"/>
      <c r="H716" s="212"/>
      <c r="I716" s="212"/>
      <c r="J716" s="212"/>
      <c r="K716" s="212"/>
      <c r="L716" s="212"/>
      <c r="M716" s="212"/>
      <c r="N716" s="212"/>
      <c r="O716" s="212"/>
      <c r="P716" s="212"/>
      <c r="Q716" s="212"/>
    </row>
    <row r="717" spans="1:17" x14ac:dyDescent="0.2">
      <c r="A717" s="209"/>
      <c r="B717" s="209"/>
      <c r="C717" s="240"/>
      <c r="G717" s="212"/>
      <c r="H717" s="212"/>
      <c r="I717" s="212"/>
      <c r="J717" s="212"/>
      <c r="K717" s="212"/>
      <c r="L717" s="212"/>
      <c r="M717" s="212"/>
      <c r="N717" s="212"/>
      <c r="O717" s="212"/>
      <c r="P717" s="212"/>
      <c r="Q717" s="212"/>
    </row>
    <row r="718" spans="1:17" x14ac:dyDescent="0.2">
      <c r="A718" s="209"/>
      <c r="B718" s="209"/>
      <c r="C718" s="240"/>
      <c r="G718" s="212"/>
      <c r="H718" s="212"/>
      <c r="I718" s="212"/>
      <c r="J718" s="212"/>
      <c r="K718" s="212"/>
      <c r="L718" s="212"/>
      <c r="M718" s="212"/>
      <c r="N718" s="212"/>
      <c r="O718" s="212"/>
      <c r="P718" s="212"/>
      <c r="Q718" s="212"/>
    </row>
    <row r="719" spans="1:17" x14ac:dyDescent="0.2">
      <c r="A719" s="209"/>
      <c r="B719" s="209"/>
      <c r="C719" s="240"/>
      <c r="G719" s="212"/>
      <c r="H719" s="212"/>
      <c r="I719" s="212"/>
      <c r="J719" s="212"/>
      <c r="K719" s="212"/>
      <c r="L719" s="212"/>
      <c r="M719" s="212"/>
      <c r="N719" s="212"/>
      <c r="O719" s="212"/>
      <c r="P719" s="212"/>
      <c r="Q719" s="212"/>
    </row>
    <row r="720" spans="1:17" x14ac:dyDescent="0.2">
      <c r="A720" s="209"/>
      <c r="B720" s="209"/>
      <c r="C720" s="240"/>
      <c r="G720" s="212"/>
      <c r="H720" s="212"/>
      <c r="I720" s="212"/>
      <c r="J720" s="212"/>
      <c r="K720" s="212"/>
      <c r="L720" s="212"/>
      <c r="M720" s="212"/>
      <c r="N720" s="212"/>
      <c r="O720" s="212"/>
      <c r="P720" s="212"/>
      <c r="Q720" s="212"/>
    </row>
    <row r="721" spans="1:17" x14ac:dyDescent="0.2">
      <c r="A721" s="209"/>
      <c r="B721" s="209"/>
      <c r="C721" s="240"/>
      <c r="G721" s="212"/>
      <c r="H721" s="212"/>
      <c r="I721" s="212"/>
      <c r="J721" s="212"/>
      <c r="K721" s="212"/>
      <c r="L721" s="212"/>
      <c r="M721" s="212"/>
      <c r="N721" s="212"/>
      <c r="O721" s="212"/>
      <c r="P721" s="212"/>
      <c r="Q721" s="212"/>
    </row>
    <row r="722" spans="1:17" x14ac:dyDescent="0.2">
      <c r="A722" s="209"/>
      <c r="B722" s="209"/>
      <c r="C722" s="240"/>
      <c r="G722" s="212"/>
      <c r="H722" s="212"/>
      <c r="I722" s="212"/>
      <c r="J722" s="212"/>
      <c r="K722" s="212"/>
      <c r="L722" s="212"/>
      <c r="M722" s="212"/>
      <c r="N722" s="212"/>
      <c r="O722" s="212"/>
      <c r="P722" s="212"/>
      <c r="Q722" s="212"/>
    </row>
    <row r="723" spans="1:17" x14ac:dyDescent="0.2">
      <c r="A723" s="209"/>
      <c r="B723" s="209"/>
      <c r="C723" s="240"/>
      <c r="G723" s="212"/>
      <c r="H723" s="212"/>
      <c r="I723" s="212"/>
      <c r="J723" s="212"/>
      <c r="K723" s="212"/>
      <c r="L723" s="212"/>
      <c r="M723" s="212"/>
      <c r="N723" s="212"/>
      <c r="O723" s="212"/>
      <c r="P723" s="212"/>
      <c r="Q723" s="212"/>
    </row>
    <row r="724" spans="1:17" x14ac:dyDescent="0.2">
      <c r="A724" s="209"/>
      <c r="B724" s="209"/>
      <c r="C724" s="240"/>
      <c r="G724" s="212"/>
      <c r="H724" s="212"/>
      <c r="I724" s="212"/>
      <c r="J724" s="212"/>
      <c r="K724" s="212"/>
      <c r="L724" s="212"/>
      <c r="M724" s="212"/>
      <c r="N724" s="212"/>
      <c r="O724" s="212"/>
      <c r="P724" s="212"/>
      <c r="Q724" s="212"/>
    </row>
    <row r="725" spans="1:17" x14ac:dyDescent="0.2">
      <c r="A725" s="209"/>
      <c r="B725" s="209"/>
      <c r="C725" s="240"/>
      <c r="G725" s="212"/>
      <c r="H725" s="212"/>
      <c r="I725" s="212"/>
      <c r="J725" s="212"/>
      <c r="K725" s="212"/>
      <c r="L725" s="212"/>
      <c r="M725" s="212"/>
      <c r="N725" s="212"/>
      <c r="O725" s="212"/>
      <c r="P725" s="212"/>
      <c r="Q725" s="212"/>
    </row>
    <row r="726" spans="1:17" x14ac:dyDescent="0.2">
      <c r="A726" s="209"/>
      <c r="B726" s="209"/>
      <c r="C726" s="240"/>
      <c r="G726" s="212"/>
      <c r="H726" s="212"/>
      <c r="I726" s="212"/>
      <c r="J726" s="212"/>
      <c r="K726" s="212"/>
      <c r="L726" s="212"/>
      <c r="M726" s="212"/>
      <c r="N726" s="212"/>
      <c r="O726" s="212"/>
      <c r="P726" s="212"/>
      <c r="Q726" s="212"/>
    </row>
    <row r="727" spans="1:17" x14ac:dyDescent="0.2">
      <c r="A727" s="209"/>
      <c r="B727" s="209"/>
      <c r="C727" s="240"/>
      <c r="G727" s="212"/>
      <c r="H727" s="212"/>
      <c r="I727" s="212"/>
      <c r="J727" s="212"/>
      <c r="K727" s="212"/>
      <c r="L727" s="212"/>
      <c r="M727" s="212"/>
      <c r="N727" s="212"/>
      <c r="O727" s="212"/>
      <c r="P727" s="212"/>
      <c r="Q727" s="212"/>
    </row>
    <row r="728" spans="1:17" x14ac:dyDescent="0.2">
      <c r="A728" s="209"/>
      <c r="B728" s="209"/>
      <c r="C728" s="240"/>
      <c r="G728" s="212"/>
      <c r="H728" s="212"/>
      <c r="I728" s="212"/>
      <c r="J728" s="212"/>
      <c r="K728" s="212"/>
      <c r="L728" s="212"/>
      <c r="M728" s="212"/>
      <c r="N728" s="212"/>
      <c r="O728" s="212"/>
      <c r="P728" s="212"/>
      <c r="Q728" s="212"/>
    </row>
    <row r="729" spans="1:17" x14ac:dyDescent="0.2">
      <c r="A729" s="209"/>
      <c r="B729" s="209"/>
      <c r="C729" s="240"/>
      <c r="G729" s="212"/>
      <c r="H729" s="212"/>
      <c r="I729" s="212"/>
      <c r="J729" s="212"/>
      <c r="K729" s="212"/>
      <c r="L729" s="212"/>
      <c r="M729" s="212"/>
      <c r="N729" s="212"/>
      <c r="O729" s="212"/>
      <c r="P729" s="212"/>
      <c r="Q729" s="212"/>
    </row>
    <row r="730" spans="1:17" x14ac:dyDescent="0.2">
      <c r="A730" s="209"/>
      <c r="B730" s="209"/>
      <c r="C730" s="240"/>
      <c r="G730" s="212"/>
      <c r="H730" s="212"/>
      <c r="I730" s="212"/>
      <c r="J730" s="212"/>
      <c r="K730" s="212"/>
      <c r="L730" s="212"/>
      <c r="M730" s="212"/>
      <c r="N730" s="212"/>
      <c r="O730" s="212"/>
      <c r="P730" s="212"/>
      <c r="Q730" s="212"/>
    </row>
    <row r="731" spans="1:17" x14ac:dyDescent="0.2">
      <c r="A731" s="209"/>
      <c r="B731" s="209"/>
      <c r="C731" s="240"/>
      <c r="G731" s="212"/>
      <c r="H731" s="212"/>
      <c r="I731" s="212"/>
      <c r="J731" s="212"/>
      <c r="K731" s="212"/>
      <c r="L731" s="212"/>
      <c r="M731" s="212"/>
      <c r="N731" s="212"/>
      <c r="O731" s="212"/>
      <c r="P731" s="212"/>
      <c r="Q731" s="212"/>
    </row>
    <row r="732" spans="1:17" x14ac:dyDescent="0.2">
      <c r="A732" s="209"/>
      <c r="B732" s="209"/>
      <c r="C732" s="240"/>
      <c r="G732" s="212"/>
      <c r="H732" s="212"/>
      <c r="I732" s="212"/>
      <c r="J732" s="212"/>
      <c r="K732" s="212"/>
      <c r="L732" s="212"/>
      <c r="M732" s="212"/>
      <c r="N732" s="212"/>
      <c r="O732" s="212"/>
      <c r="P732" s="212"/>
      <c r="Q732" s="212"/>
    </row>
    <row r="733" spans="1:17" x14ac:dyDescent="0.2">
      <c r="A733" s="209"/>
      <c r="B733" s="209"/>
      <c r="C733" s="240"/>
      <c r="G733" s="212"/>
      <c r="H733" s="212"/>
      <c r="I733" s="212"/>
      <c r="J733" s="212"/>
      <c r="K733" s="212"/>
      <c r="L733" s="212"/>
      <c r="M733" s="212"/>
      <c r="N733" s="212"/>
      <c r="O733" s="212"/>
      <c r="P733" s="212"/>
      <c r="Q733" s="212"/>
    </row>
    <row r="734" spans="1:17" x14ac:dyDescent="0.2">
      <c r="A734" s="209"/>
      <c r="B734" s="209"/>
      <c r="C734" s="240"/>
      <c r="G734" s="212"/>
      <c r="H734" s="212"/>
      <c r="I734" s="212"/>
      <c r="J734" s="212"/>
      <c r="K734" s="212"/>
      <c r="L734" s="212"/>
      <c r="M734" s="212"/>
      <c r="N734" s="212"/>
      <c r="O734" s="212"/>
      <c r="P734" s="212"/>
      <c r="Q734" s="212"/>
    </row>
    <row r="735" spans="1:17" x14ac:dyDescent="0.2">
      <c r="A735" s="209"/>
      <c r="B735" s="209"/>
      <c r="C735" s="240"/>
      <c r="G735" s="212"/>
      <c r="H735" s="212"/>
      <c r="I735" s="212"/>
      <c r="J735" s="212"/>
      <c r="K735" s="212"/>
      <c r="L735" s="212"/>
      <c r="M735" s="212"/>
      <c r="N735" s="212"/>
      <c r="O735" s="212"/>
      <c r="P735" s="212"/>
      <c r="Q735" s="212"/>
    </row>
    <row r="736" spans="1:17" x14ac:dyDescent="0.2">
      <c r="A736" s="209"/>
      <c r="B736" s="209"/>
      <c r="C736" s="240"/>
      <c r="G736" s="212"/>
      <c r="H736" s="212"/>
      <c r="I736" s="212"/>
      <c r="J736" s="212"/>
      <c r="K736" s="212"/>
      <c r="L736" s="212"/>
      <c r="M736" s="212"/>
      <c r="N736" s="212"/>
      <c r="O736" s="212"/>
      <c r="P736" s="212"/>
      <c r="Q736" s="212"/>
    </row>
    <row r="737" spans="1:17" x14ac:dyDescent="0.2">
      <c r="A737" s="209"/>
      <c r="B737" s="209"/>
      <c r="C737" s="240"/>
      <c r="G737" s="212"/>
      <c r="H737" s="212"/>
      <c r="I737" s="212"/>
      <c r="J737" s="212"/>
      <c r="K737" s="212"/>
      <c r="L737" s="212"/>
      <c r="M737" s="212"/>
      <c r="N737" s="212"/>
      <c r="O737" s="212"/>
      <c r="P737" s="212"/>
      <c r="Q737" s="212"/>
    </row>
    <row r="738" spans="1:17" x14ac:dyDescent="0.2">
      <c r="A738" s="209"/>
      <c r="B738" s="209"/>
      <c r="C738" s="240"/>
      <c r="G738" s="212"/>
      <c r="H738" s="212"/>
      <c r="I738" s="212"/>
      <c r="J738" s="212"/>
      <c r="K738" s="212"/>
      <c r="L738" s="212"/>
      <c r="M738" s="212"/>
      <c r="N738" s="212"/>
      <c r="O738" s="212"/>
      <c r="P738" s="212"/>
      <c r="Q738" s="212"/>
    </row>
    <row r="739" spans="1:17" x14ac:dyDescent="0.2">
      <c r="A739" s="209"/>
      <c r="B739" s="209"/>
      <c r="C739" s="240"/>
      <c r="G739" s="212"/>
      <c r="H739" s="212"/>
      <c r="I739" s="212"/>
      <c r="J739" s="212"/>
      <c r="K739" s="212"/>
      <c r="L739" s="212"/>
      <c r="M739" s="212"/>
      <c r="N739" s="212"/>
      <c r="O739" s="212"/>
      <c r="P739" s="212"/>
      <c r="Q739" s="212"/>
    </row>
    <row r="740" spans="1:17" x14ac:dyDescent="0.2">
      <c r="A740" s="209"/>
      <c r="B740" s="209"/>
      <c r="C740" s="240"/>
      <c r="G740" s="212"/>
      <c r="H740" s="212"/>
      <c r="I740" s="212"/>
      <c r="J740" s="212"/>
      <c r="K740" s="212"/>
      <c r="L740" s="212"/>
      <c r="M740" s="212"/>
      <c r="N740" s="212"/>
      <c r="O740" s="212"/>
      <c r="P740" s="212"/>
      <c r="Q740" s="212"/>
    </row>
  </sheetData>
  <autoFilter ref="G1:G740" xr:uid="{9C9FC770-913A-412F-8D61-B187F035C33B}"/>
  <mergeCells count="7">
    <mergeCell ref="A685:I685"/>
    <mergeCell ref="A1:I1"/>
    <mergeCell ref="A2:I2"/>
    <mergeCell ref="A3:I3"/>
    <mergeCell ref="A4:I4"/>
    <mergeCell ref="A5:L5"/>
    <mergeCell ref="A6:L6"/>
  </mergeCells>
  <printOptions horizontalCentered="1" verticalCentered="1"/>
  <pageMargins left="0" right="0" top="0" bottom="0" header="0" footer="0"/>
  <pageSetup scale="55" orientation="landscape" horizontalDpi="4294967294" verticalDpi="300" r:id="rId1"/>
  <headerFooter alignWithMargins="0"/>
  <rowBreaks count="7" manualBreakCount="7">
    <brk id="108" max="12" man="1"/>
    <brk id="243" max="12" man="1"/>
    <brk id="335" max="12" man="1"/>
    <brk id="391" max="12" man="1"/>
    <brk id="461" max="12" man="1"/>
    <brk id="544" max="12" man="1"/>
    <brk id="645"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view="pageBreakPreview" topLeftCell="A39" zoomScaleNormal="100" zoomScaleSheetLayoutView="100" workbookViewId="0">
      <selection activeCell="D75" sqref="D75"/>
    </sheetView>
  </sheetViews>
  <sheetFormatPr baseColWidth="10" defaultColWidth="14.42578125" defaultRowHeight="15" customHeight="1" x14ac:dyDescent="0.2"/>
  <cols>
    <col min="1" max="1" width="20.7109375" customWidth="1"/>
    <col min="2" max="2" width="13.85546875" customWidth="1"/>
    <col min="3" max="3" width="12.28515625" customWidth="1"/>
    <col min="4" max="7" width="5" customWidth="1"/>
    <col min="8" max="8" width="4.85546875" customWidth="1"/>
    <col min="9" max="9" width="16.140625" bestFit="1" customWidth="1"/>
    <col min="10" max="11" width="11.5703125" customWidth="1"/>
    <col min="12" max="15" width="4.85546875" customWidth="1"/>
    <col min="16" max="16" width="4.42578125" customWidth="1"/>
    <col min="17" max="17" width="4.85546875" customWidth="1"/>
    <col min="18" max="26" width="10" customWidth="1"/>
  </cols>
  <sheetData>
    <row r="1" spans="1:26" ht="15.75" customHeight="1" x14ac:dyDescent="0.2">
      <c r="A1" s="657" t="s">
        <v>295</v>
      </c>
      <c r="B1" s="642"/>
      <c r="C1" s="642"/>
      <c r="D1" s="642"/>
      <c r="E1" s="642"/>
      <c r="F1" s="642"/>
      <c r="G1" s="642"/>
      <c r="H1" s="642"/>
      <c r="I1" s="642"/>
      <c r="J1" s="642"/>
      <c r="K1" s="642"/>
      <c r="L1" s="642"/>
      <c r="M1" s="642"/>
      <c r="N1" s="642"/>
      <c r="O1" s="642"/>
      <c r="P1" s="642"/>
      <c r="Q1" s="642"/>
      <c r="R1" s="14"/>
      <c r="S1" s="14"/>
      <c r="T1" s="14"/>
      <c r="U1" s="14"/>
      <c r="V1" s="14"/>
      <c r="W1" s="14"/>
      <c r="X1" s="14"/>
      <c r="Y1" s="14"/>
      <c r="Z1" s="14"/>
    </row>
    <row r="2" spans="1:26" ht="15.75" customHeight="1" x14ac:dyDescent="0.2">
      <c r="A2" s="657" t="s">
        <v>22</v>
      </c>
      <c r="B2" s="642"/>
      <c r="C2" s="642"/>
      <c r="D2" s="642"/>
      <c r="E2" s="642"/>
      <c r="F2" s="642"/>
      <c r="G2" s="642"/>
      <c r="H2" s="642"/>
      <c r="I2" s="642"/>
      <c r="J2" s="642"/>
      <c r="K2" s="642"/>
      <c r="L2" s="642"/>
      <c r="M2" s="642"/>
      <c r="N2" s="642"/>
      <c r="O2" s="642"/>
      <c r="P2" s="642"/>
      <c r="Q2" s="642"/>
      <c r="R2" s="14"/>
      <c r="S2" s="14"/>
      <c r="T2" s="14"/>
      <c r="U2" s="14"/>
      <c r="V2" s="14"/>
      <c r="W2" s="14"/>
      <c r="X2" s="14"/>
      <c r="Y2" s="14"/>
      <c r="Z2" s="14"/>
    </row>
    <row r="3" spans="1:26" ht="18" customHeight="1" x14ac:dyDescent="0.25">
      <c r="A3" s="658" t="s">
        <v>23</v>
      </c>
      <c r="B3" s="642"/>
      <c r="C3" s="642"/>
      <c r="D3" s="642"/>
      <c r="E3" s="642"/>
      <c r="F3" s="642"/>
      <c r="G3" s="642"/>
      <c r="H3" s="642"/>
      <c r="I3" s="642"/>
      <c r="J3" s="642"/>
      <c r="K3" s="642"/>
      <c r="L3" s="642"/>
      <c r="M3" s="642"/>
      <c r="N3" s="642"/>
      <c r="O3" s="642"/>
      <c r="P3" s="642"/>
      <c r="Q3" s="642"/>
      <c r="R3" s="14"/>
      <c r="S3" s="14"/>
      <c r="T3" s="14"/>
      <c r="U3" s="14"/>
      <c r="V3" s="14"/>
      <c r="W3" s="14"/>
      <c r="X3" s="14"/>
      <c r="Y3" s="14"/>
      <c r="Z3" s="14"/>
    </row>
    <row r="4" spans="1:26" ht="13.5" customHeight="1" x14ac:dyDescent="0.2">
      <c r="A4" s="14"/>
      <c r="B4" s="1"/>
      <c r="C4" s="1"/>
      <c r="D4" s="1"/>
      <c r="E4" s="1"/>
      <c r="F4" s="1"/>
      <c r="G4" s="1"/>
      <c r="H4" s="1"/>
      <c r="I4" s="1"/>
      <c r="J4" s="1"/>
      <c r="K4" s="1"/>
      <c r="L4" s="1"/>
      <c r="M4" s="1"/>
      <c r="N4" s="1"/>
      <c r="O4" s="1"/>
      <c r="P4" s="1"/>
      <c r="Q4" s="14"/>
      <c r="R4" s="14"/>
      <c r="S4" s="14"/>
      <c r="T4" s="14"/>
      <c r="U4" s="14"/>
      <c r="V4" s="14"/>
      <c r="W4" s="14"/>
      <c r="X4" s="14"/>
      <c r="Y4" s="14"/>
      <c r="Z4" s="14"/>
    </row>
    <row r="5" spans="1:26" ht="33.75" customHeight="1" x14ac:dyDescent="0.3">
      <c r="A5" s="15"/>
      <c r="B5" s="659" t="s">
        <v>24</v>
      </c>
      <c r="C5" s="652"/>
      <c r="D5" s="652"/>
      <c r="E5" s="652"/>
      <c r="F5" s="652"/>
      <c r="G5" s="660"/>
      <c r="H5" s="16"/>
      <c r="I5" s="659" t="s">
        <v>25</v>
      </c>
      <c r="J5" s="652"/>
      <c r="K5" s="652"/>
      <c r="L5" s="652"/>
      <c r="M5" s="652"/>
      <c r="N5" s="652"/>
      <c r="O5" s="660"/>
      <c r="P5" s="1"/>
      <c r="Q5" s="14"/>
      <c r="R5" s="14"/>
      <c r="S5" s="14"/>
      <c r="T5" s="14"/>
      <c r="U5" s="14"/>
      <c r="V5" s="14"/>
      <c r="W5" s="14"/>
      <c r="X5" s="14"/>
      <c r="Y5" s="14"/>
      <c r="Z5" s="14"/>
    </row>
    <row r="6" spans="1:26" ht="13.5" customHeight="1" x14ac:dyDescent="0.2">
      <c r="A6" s="1"/>
      <c r="B6" s="651" t="s">
        <v>26</v>
      </c>
      <c r="C6" s="653"/>
      <c r="D6" s="654" t="s">
        <v>27</v>
      </c>
      <c r="E6" s="655"/>
      <c r="F6" s="655"/>
      <c r="G6" s="656"/>
      <c r="H6" s="1"/>
      <c r="I6" s="651" t="s">
        <v>26</v>
      </c>
      <c r="J6" s="652"/>
      <c r="K6" s="653"/>
      <c r="L6" s="654" t="s">
        <v>27</v>
      </c>
      <c r="M6" s="655"/>
      <c r="N6" s="655"/>
      <c r="O6" s="656"/>
      <c r="P6" s="1"/>
      <c r="Q6" s="1"/>
      <c r="R6" s="1"/>
      <c r="S6" s="1"/>
      <c r="T6" s="1"/>
      <c r="U6" s="1"/>
      <c r="V6" s="1"/>
      <c r="W6" s="1"/>
      <c r="X6" s="1"/>
      <c r="Y6" s="1"/>
      <c r="Z6" s="1"/>
    </row>
    <row r="7" spans="1:26" ht="26.25" customHeight="1" x14ac:dyDescent="0.2">
      <c r="A7" s="648" t="s">
        <v>28</v>
      </c>
      <c r="B7" s="646" t="s">
        <v>29</v>
      </c>
      <c r="C7" s="646" t="s">
        <v>30</v>
      </c>
      <c r="D7" s="646" t="s">
        <v>8</v>
      </c>
      <c r="E7" s="646" t="s">
        <v>19</v>
      </c>
      <c r="F7" s="646" t="s">
        <v>18</v>
      </c>
      <c r="G7" s="646" t="s">
        <v>31</v>
      </c>
      <c r="H7" s="17"/>
      <c r="I7" s="646" t="s">
        <v>29</v>
      </c>
      <c r="J7" s="649" t="s">
        <v>32</v>
      </c>
      <c r="K7" s="650"/>
      <c r="L7" s="646" t="s">
        <v>8</v>
      </c>
      <c r="M7" s="646" t="s">
        <v>19</v>
      </c>
      <c r="N7" s="646" t="s">
        <v>18</v>
      </c>
      <c r="O7" s="646" t="s">
        <v>31</v>
      </c>
      <c r="P7" s="1"/>
      <c r="Q7" s="1"/>
      <c r="R7" s="1"/>
      <c r="S7" s="1"/>
      <c r="T7" s="1"/>
      <c r="U7" s="1"/>
      <c r="V7" s="1"/>
      <c r="W7" s="1"/>
      <c r="X7" s="1"/>
      <c r="Y7" s="1"/>
      <c r="Z7" s="1"/>
    </row>
    <row r="8" spans="1:26" ht="23.25" customHeight="1" x14ac:dyDescent="0.2">
      <c r="A8" s="647"/>
      <c r="B8" s="647"/>
      <c r="C8" s="647"/>
      <c r="D8" s="647"/>
      <c r="E8" s="647"/>
      <c r="F8" s="647"/>
      <c r="G8" s="647"/>
      <c r="H8" s="17"/>
      <c r="I8" s="647"/>
      <c r="J8" s="18" t="s">
        <v>33</v>
      </c>
      <c r="K8" s="19" t="s">
        <v>34</v>
      </c>
      <c r="L8" s="647"/>
      <c r="M8" s="647"/>
      <c r="N8" s="647"/>
      <c r="O8" s="647"/>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20" t="s">
        <v>35</v>
      </c>
      <c r="B10" s="21">
        <v>2</v>
      </c>
      <c r="C10" s="21"/>
      <c r="D10" s="21">
        <v>0</v>
      </c>
      <c r="E10" s="21">
        <v>1</v>
      </c>
      <c r="F10" s="21">
        <v>1</v>
      </c>
      <c r="G10" s="21"/>
      <c r="H10" s="22"/>
      <c r="I10" s="21">
        <v>2</v>
      </c>
      <c r="J10" s="21">
        <v>4</v>
      </c>
      <c r="K10" s="21"/>
      <c r="L10" s="21">
        <v>6</v>
      </c>
      <c r="M10" s="21"/>
      <c r="N10" s="21"/>
      <c r="O10" s="21"/>
      <c r="P10" s="1"/>
      <c r="Q10" s="1"/>
      <c r="R10" s="1"/>
      <c r="S10" s="1"/>
      <c r="T10" s="1"/>
      <c r="U10" s="1"/>
      <c r="V10" s="1"/>
      <c r="W10" s="1"/>
      <c r="X10" s="1"/>
      <c r="Y10" s="1"/>
      <c r="Z10" s="1"/>
    </row>
    <row r="11" spans="1:26" ht="12.75" customHeight="1" x14ac:dyDescent="0.2">
      <c r="A11" s="20"/>
      <c r="B11" s="22"/>
      <c r="C11" s="22"/>
      <c r="D11" s="22"/>
      <c r="E11" s="22"/>
      <c r="F11" s="22"/>
      <c r="G11" s="22"/>
      <c r="H11" s="22"/>
      <c r="I11" s="22"/>
      <c r="J11" s="22"/>
      <c r="K11" s="22"/>
      <c r="L11" s="22"/>
      <c r="M11" s="22"/>
      <c r="N11" s="22"/>
      <c r="O11" s="22"/>
      <c r="P11" s="1"/>
      <c r="Q11" s="1"/>
      <c r="R11" s="1"/>
      <c r="S11" s="1"/>
      <c r="T11" s="1"/>
      <c r="U11" s="1"/>
      <c r="V11" s="1"/>
      <c r="W11" s="1"/>
      <c r="X11" s="1"/>
      <c r="Y11" s="1"/>
      <c r="Z11" s="1"/>
    </row>
    <row r="12" spans="1:26" ht="12.75" customHeight="1" x14ac:dyDescent="0.2">
      <c r="A12" s="20" t="s">
        <v>36</v>
      </c>
      <c r="B12" s="21">
        <v>54</v>
      </c>
      <c r="C12" s="21"/>
      <c r="D12" s="21">
        <v>0</v>
      </c>
      <c r="E12" s="21">
        <v>32</v>
      </c>
      <c r="F12" s="21">
        <v>22</v>
      </c>
      <c r="G12" s="21"/>
      <c r="H12" s="22"/>
      <c r="I12" s="21">
        <v>66</v>
      </c>
      <c r="J12" s="21">
        <v>14</v>
      </c>
      <c r="K12" s="21"/>
      <c r="L12" s="21">
        <v>80</v>
      </c>
      <c r="M12" s="21"/>
      <c r="N12" s="21"/>
      <c r="O12" s="21"/>
      <c r="P12" s="1"/>
      <c r="Q12" s="1"/>
      <c r="R12" s="1"/>
      <c r="S12" s="1"/>
      <c r="T12" s="1"/>
      <c r="U12" s="1"/>
      <c r="V12" s="1"/>
      <c r="W12" s="1"/>
      <c r="X12" s="1"/>
      <c r="Y12" s="1"/>
      <c r="Z12" s="1"/>
    </row>
    <row r="13" spans="1:26" ht="12.75" customHeight="1" x14ac:dyDescent="0.2">
      <c r="A13" s="20"/>
      <c r="B13" s="22"/>
      <c r="C13" s="22"/>
      <c r="D13" s="22"/>
      <c r="E13" s="22"/>
      <c r="F13" s="22"/>
      <c r="G13" s="22"/>
      <c r="H13" s="22"/>
      <c r="I13" s="22"/>
      <c r="J13" s="22"/>
      <c r="K13" s="22"/>
      <c r="L13" s="22"/>
      <c r="M13" s="22"/>
      <c r="N13" s="22"/>
      <c r="O13" s="22"/>
      <c r="P13" s="1"/>
      <c r="Q13" s="1"/>
      <c r="R13" s="1"/>
      <c r="S13" s="1"/>
      <c r="T13" s="1"/>
      <c r="U13" s="1"/>
      <c r="V13" s="1"/>
      <c r="W13" s="1"/>
      <c r="X13" s="1"/>
      <c r="Y13" s="1"/>
      <c r="Z13" s="1"/>
    </row>
    <row r="14" spans="1:26" ht="12.75" customHeight="1" x14ac:dyDescent="0.2">
      <c r="A14" s="20" t="s">
        <v>37</v>
      </c>
      <c r="B14" s="21">
        <v>25</v>
      </c>
      <c r="C14" s="21"/>
      <c r="D14" s="21">
        <v>0</v>
      </c>
      <c r="E14" s="21">
        <v>20</v>
      </c>
      <c r="F14" s="21">
        <v>5</v>
      </c>
      <c r="G14" s="21"/>
      <c r="H14" s="22"/>
      <c r="I14" s="21">
        <v>43</v>
      </c>
      <c r="J14" s="21"/>
      <c r="K14" s="21"/>
      <c r="L14" s="21">
        <v>43</v>
      </c>
      <c r="M14" s="21"/>
      <c r="N14" s="21"/>
      <c r="O14" s="21"/>
      <c r="P14" s="1"/>
      <c r="Q14" s="1"/>
      <c r="R14" s="1"/>
      <c r="S14" s="1"/>
      <c r="T14" s="1"/>
      <c r="U14" s="1"/>
      <c r="V14" s="1"/>
      <c r="W14" s="1"/>
      <c r="X14" s="1"/>
      <c r="Y14" s="1"/>
      <c r="Z14" s="1"/>
    </row>
    <row r="15" spans="1:26" ht="12.75" customHeight="1" x14ac:dyDescent="0.2">
      <c r="A15" s="20"/>
      <c r="B15" s="22"/>
      <c r="C15" s="22"/>
      <c r="D15" s="22"/>
      <c r="E15" s="22"/>
      <c r="F15" s="22"/>
      <c r="G15" s="22"/>
      <c r="H15" s="22"/>
      <c r="I15" s="22"/>
      <c r="J15" s="22"/>
      <c r="K15" s="22"/>
      <c r="L15" s="22"/>
      <c r="M15" s="22"/>
      <c r="N15" s="22"/>
      <c r="O15" s="22"/>
      <c r="P15" s="1"/>
      <c r="Q15" s="1"/>
      <c r="R15" s="1"/>
      <c r="S15" s="1"/>
      <c r="T15" s="1"/>
      <c r="U15" s="1"/>
      <c r="V15" s="1"/>
      <c r="W15" s="1"/>
      <c r="X15" s="1"/>
      <c r="Y15" s="1"/>
      <c r="Z15" s="1"/>
    </row>
    <row r="16" spans="1:26" ht="12.75" customHeight="1" x14ac:dyDescent="0.2">
      <c r="A16" s="20" t="s">
        <v>38</v>
      </c>
      <c r="B16" s="21">
        <v>47</v>
      </c>
      <c r="C16" s="21"/>
      <c r="D16" s="21">
        <v>0</v>
      </c>
      <c r="E16" s="21">
        <v>37</v>
      </c>
      <c r="F16" s="21">
        <v>10</v>
      </c>
      <c r="G16" s="21"/>
      <c r="H16" s="22"/>
      <c r="I16" s="21">
        <v>78</v>
      </c>
      <c r="J16" s="21">
        <v>1</v>
      </c>
      <c r="K16" s="21"/>
      <c r="L16" s="21">
        <v>79</v>
      </c>
      <c r="M16" s="21"/>
      <c r="N16" s="21"/>
      <c r="O16" s="21"/>
      <c r="P16" s="1"/>
      <c r="Q16" s="1"/>
      <c r="R16" s="1"/>
      <c r="S16" s="1"/>
      <c r="T16" s="1"/>
      <c r="U16" s="1"/>
      <c r="V16" s="1"/>
      <c r="W16" s="1"/>
      <c r="X16" s="1"/>
      <c r="Y16" s="1"/>
      <c r="Z16" s="1"/>
    </row>
    <row r="17" spans="1:26" ht="12.75" customHeight="1" x14ac:dyDescent="0.2">
      <c r="A17" s="20"/>
      <c r="B17" s="22"/>
      <c r="C17" s="22"/>
      <c r="D17" s="22"/>
      <c r="E17" s="22"/>
      <c r="F17" s="22"/>
      <c r="G17" s="22"/>
      <c r="H17" s="22"/>
      <c r="I17" s="22"/>
      <c r="J17" s="22"/>
      <c r="K17" s="22"/>
      <c r="L17" s="22"/>
      <c r="M17" s="22"/>
      <c r="N17" s="22"/>
      <c r="O17" s="22"/>
      <c r="P17" s="1"/>
      <c r="Q17" s="1"/>
      <c r="R17" s="1"/>
      <c r="S17" s="1"/>
      <c r="T17" s="1"/>
      <c r="U17" s="1"/>
      <c r="V17" s="1"/>
      <c r="W17" s="1"/>
      <c r="X17" s="1"/>
      <c r="Y17" s="1"/>
      <c r="Z17" s="1"/>
    </row>
    <row r="18" spans="1:26" ht="12.75" customHeight="1" x14ac:dyDescent="0.2">
      <c r="A18" s="20" t="s">
        <v>39</v>
      </c>
      <c r="B18" s="21">
        <v>278</v>
      </c>
      <c r="C18" s="21"/>
      <c r="D18" s="21">
        <v>0</v>
      </c>
      <c r="E18" s="21">
        <v>207</v>
      </c>
      <c r="F18" s="21">
        <v>71</v>
      </c>
      <c r="G18" s="21"/>
      <c r="H18" s="22"/>
      <c r="I18" s="21">
        <v>25</v>
      </c>
      <c r="J18" s="21"/>
      <c r="K18" s="21"/>
      <c r="L18" s="21">
        <v>25</v>
      </c>
      <c r="M18" s="21"/>
      <c r="N18" s="21"/>
      <c r="O18" s="21"/>
      <c r="P18" s="1"/>
      <c r="Q18" s="1"/>
      <c r="R18" s="1"/>
      <c r="S18" s="1"/>
      <c r="T18" s="1"/>
      <c r="U18" s="1"/>
      <c r="V18" s="1"/>
      <c r="W18" s="1"/>
      <c r="X18" s="1"/>
      <c r="Y18" s="1"/>
      <c r="Z18" s="1"/>
    </row>
    <row r="19" spans="1:26" ht="13.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23" t="s">
        <v>16</v>
      </c>
      <c r="B20" s="24">
        <f>SUM(B10:B19)</f>
        <v>406</v>
      </c>
      <c r="C20" s="25">
        <f t="shared" ref="C20:G20" si="0">SUM(C10:C18)</f>
        <v>0</v>
      </c>
      <c r="D20" s="24">
        <f t="shared" si="0"/>
        <v>0</v>
      </c>
      <c r="E20" s="25">
        <f t="shared" si="0"/>
        <v>297</v>
      </c>
      <c r="F20" s="25">
        <f t="shared" si="0"/>
        <v>109</v>
      </c>
      <c r="G20" s="25">
        <f t="shared" si="0"/>
        <v>0</v>
      </c>
      <c r="H20" s="5"/>
      <c r="I20" s="24">
        <f t="shared" ref="I20:O20" si="1">SUM(I10:I18)</f>
        <v>214</v>
      </c>
      <c r="J20" s="25">
        <f t="shared" si="1"/>
        <v>19</v>
      </c>
      <c r="K20" s="25">
        <f t="shared" si="1"/>
        <v>0</v>
      </c>
      <c r="L20" s="24">
        <f t="shared" si="1"/>
        <v>233</v>
      </c>
      <c r="M20" s="25">
        <f t="shared" si="1"/>
        <v>0</v>
      </c>
      <c r="N20" s="25">
        <f t="shared" si="1"/>
        <v>0</v>
      </c>
      <c r="O20" s="25">
        <f t="shared" si="1"/>
        <v>0</v>
      </c>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4"/>
      <c r="R21" s="14"/>
      <c r="S21" s="14"/>
      <c r="T21" s="14"/>
      <c r="U21" s="14"/>
      <c r="V21" s="14"/>
      <c r="W21" s="14"/>
      <c r="X21" s="14"/>
      <c r="Y21" s="14"/>
      <c r="Z21" s="14"/>
    </row>
    <row r="22" spans="1:26" ht="12.75" customHeight="1" x14ac:dyDescent="0.2">
      <c r="A22" s="627" t="s">
        <v>40</v>
      </c>
      <c r="B22" s="628"/>
      <c r="C22" s="628"/>
      <c r="D22" s="628"/>
      <c r="E22" s="628"/>
      <c r="F22" s="628"/>
      <c r="G22" s="628"/>
      <c r="H22" s="628"/>
      <c r="I22" s="628"/>
      <c r="J22" s="628"/>
      <c r="K22" s="628"/>
      <c r="L22" s="628"/>
      <c r="M22" s="628"/>
      <c r="N22" s="628"/>
      <c r="O22" s="629"/>
      <c r="P22" s="1"/>
      <c r="Q22" s="14"/>
      <c r="R22" s="14"/>
      <c r="S22" s="14"/>
      <c r="T22" s="14"/>
      <c r="U22" s="14"/>
      <c r="V22" s="14"/>
      <c r="W22" s="14"/>
      <c r="X22" s="14"/>
      <c r="Y22" s="14"/>
      <c r="Z22" s="14"/>
    </row>
    <row r="23" spans="1:26" ht="12.75" customHeight="1" x14ac:dyDescent="0.2">
      <c r="A23" s="26"/>
      <c r="B23" s="26"/>
      <c r="C23" s="26"/>
      <c r="D23" s="26"/>
      <c r="E23" s="1"/>
      <c r="F23" s="14"/>
      <c r="G23" s="14"/>
      <c r="H23" s="14"/>
      <c r="I23" s="14"/>
      <c r="J23" s="14"/>
      <c r="K23" s="14"/>
      <c r="L23" s="27"/>
      <c r="M23" s="14"/>
      <c r="N23" s="1"/>
      <c r="O23" s="1"/>
      <c r="P23" s="1"/>
      <c r="Q23" s="14"/>
      <c r="R23" s="14"/>
      <c r="S23" s="14"/>
      <c r="T23" s="14"/>
      <c r="U23" s="14"/>
      <c r="V23" s="14"/>
      <c r="W23" s="14"/>
      <c r="X23" s="14"/>
      <c r="Y23" s="14"/>
      <c r="Z23" s="14"/>
    </row>
    <row r="24" spans="1:26" ht="12.75" customHeight="1" x14ac:dyDescent="0.2">
      <c r="A24" s="630" t="s">
        <v>41</v>
      </c>
      <c r="B24" s="631"/>
      <c r="C24" s="632"/>
      <c r="D24" s="26"/>
      <c r="E24" s="1"/>
      <c r="F24" s="14"/>
      <c r="G24" s="14"/>
      <c r="H24" s="14"/>
      <c r="I24" s="14"/>
      <c r="J24" s="14"/>
      <c r="K24" s="14"/>
      <c r="L24" s="27"/>
      <c r="M24" s="14"/>
      <c r="N24" s="1"/>
      <c r="O24" s="1"/>
      <c r="P24" s="1"/>
      <c r="Q24" s="14"/>
      <c r="R24" s="14"/>
      <c r="S24" s="14"/>
      <c r="T24" s="14"/>
      <c r="U24" s="14"/>
      <c r="V24" s="14"/>
      <c r="W24" s="14"/>
      <c r="X24" s="14"/>
      <c r="Y24" s="14"/>
      <c r="Z24" s="14"/>
    </row>
    <row r="25" spans="1:26" ht="12.75" customHeight="1" x14ac:dyDescent="0.2">
      <c r="A25" s="633"/>
      <c r="B25" s="634"/>
      <c r="C25" s="635"/>
      <c r="D25" s="26"/>
      <c r="E25" s="1"/>
      <c r="F25" s="14"/>
      <c r="G25" s="14"/>
      <c r="H25" s="14"/>
      <c r="I25" s="14"/>
      <c r="J25" s="14"/>
      <c r="K25" s="14"/>
      <c r="L25" s="27"/>
      <c r="M25" s="14"/>
      <c r="N25" s="1"/>
      <c r="O25" s="1"/>
      <c r="P25" s="1"/>
      <c r="Q25" s="14"/>
      <c r="R25" s="14"/>
      <c r="S25" s="14"/>
      <c r="T25" s="14"/>
      <c r="U25" s="14"/>
      <c r="V25" s="14"/>
      <c r="W25" s="14"/>
      <c r="X25" s="14"/>
      <c r="Y25" s="14"/>
      <c r="Z25" s="14"/>
    </row>
    <row r="26" spans="1:26" ht="22.5" customHeight="1" x14ac:dyDescent="0.2">
      <c r="A26" s="28" t="s">
        <v>42</v>
      </c>
      <c r="B26" s="28"/>
      <c r="C26" s="29">
        <f>B20+I20</f>
        <v>620</v>
      </c>
      <c r="D26" s="30"/>
      <c r="E26" s="30"/>
      <c r="F26" s="31"/>
      <c r="G26" s="31"/>
      <c r="H26" s="31"/>
      <c r="I26" s="31"/>
      <c r="J26" s="31"/>
      <c r="K26" s="31"/>
      <c r="L26" s="32"/>
      <c r="M26" s="31"/>
      <c r="N26" s="30"/>
      <c r="O26" s="30"/>
      <c r="P26" s="30"/>
      <c r="Q26" s="31"/>
      <c r="R26" s="31"/>
      <c r="S26" s="31"/>
      <c r="T26" s="31"/>
      <c r="U26" s="31"/>
      <c r="V26" s="31"/>
      <c r="W26" s="31"/>
      <c r="X26" s="31"/>
      <c r="Y26" s="31"/>
      <c r="Z26" s="31"/>
    </row>
    <row r="27" spans="1:26" ht="22.5" customHeight="1" x14ac:dyDescent="0.2">
      <c r="A27" s="28" t="s">
        <v>43</v>
      </c>
      <c r="B27" s="28"/>
      <c r="C27" s="29">
        <f>C20+J20+K20</f>
        <v>19</v>
      </c>
      <c r="D27" s="30"/>
      <c r="E27" s="30"/>
      <c r="F27" s="31"/>
      <c r="G27" s="31"/>
      <c r="H27" s="31"/>
      <c r="I27" s="31"/>
      <c r="J27" s="31"/>
      <c r="K27" s="31"/>
      <c r="L27" s="32"/>
      <c r="M27" s="31"/>
      <c r="N27" s="30"/>
      <c r="O27" s="30"/>
      <c r="P27" s="30"/>
      <c r="Q27" s="31"/>
      <c r="R27" s="31"/>
      <c r="S27" s="31"/>
      <c r="T27" s="31"/>
      <c r="U27" s="31"/>
      <c r="V27" s="31"/>
      <c r="W27" s="31"/>
      <c r="X27" s="31"/>
      <c r="Y27" s="31"/>
      <c r="Z27" s="31"/>
    </row>
    <row r="28" spans="1:26" ht="13.5" customHeight="1" x14ac:dyDescent="0.2">
      <c r="A28" s="33" t="s">
        <v>44</v>
      </c>
      <c r="B28" s="34"/>
      <c r="C28" s="35">
        <f>SUM(C26:C27)</f>
        <v>639</v>
      </c>
      <c r="D28" s="1"/>
      <c r="E28" s="1"/>
      <c r="F28" s="14"/>
      <c r="G28" s="14"/>
      <c r="H28" s="14"/>
      <c r="I28" s="14"/>
      <c r="J28" s="14"/>
      <c r="K28" s="14"/>
      <c r="L28" s="27"/>
      <c r="M28" s="14"/>
      <c r="N28" s="1"/>
      <c r="O28" s="1"/>
      <c r="P28" s="1"/>
      <c r="Q28" s="14"/>
      <c r="R28" s="14"/>
      <c r="S28" s="14"/>
      <c r="T28" s="14"/>
      <c r="U28" s="14"/>
      <c r="V28" s="14"/>
      <c r="W28" s="14"/>
      <c r="X28" s="14"/>
      <c r="Y28" s="14"/>
      <c r="Z28" s="14"/>
    </row>
    <row r="29" spans="1:26" ht="12.75" customHeight="1" x14ac:dyDescent="0.2">
      <c r="A29" s="14"/>
      <c r="B29" s="14"/>
      <c r="C29" s="36"/>
      <c r="D29" s="1"/>
      <c r="E29" s="1"/>
      <c r="F29" s="14"/>
      <c r="G29" s="14"/>
      <c r="H29" s="14"/>
      <c r="I29" s="14"/>
      <c r="J29" s="14"/>
      <c r="K29" s="14"/>
      <c r="L29" s="27"/>
      <c r="M29" s="14"/>
      <c r="N29" s="1"/>
      <c r="O29" s="1"/>
      <c r="P29" s="1"/>
      <c r="Q29" s="14"/>
      <c r="R29" s="14"/>
      <c r="S29" s="14"/>
      <c r="T29" s="14"/>
      <c r="U29" s="14"/>
      <c r="V29" s="14"/>
      <c r="W29" s="14"/>
      <c r="X29" s="14"/>
      <c r="Y29" s="14"/>
      <c r="Z29" s="14"/>
    </row>
    <row r="30" spans="1:26" ht="12.75" customHeight="1" x14ac:dyDescent="0.2">
      <c r="A30" s="14"/>
      <c r="B30" s="14"/>
      <c r="C30" s="36"/>
      <c r="D30" s="26"/>
      <c r="E30" s="1"/>
      <c r="F30" s="14"/>
      <c r="G30" s="14"/>
      <c r="H30" s="14"/>
      <c r="I30" s="14"/>
      <c r="J30" s="14"/>
      <c r="K30" s="14"/>
      <c r="L30" s="27"/>
      <c r="M30" s="14"/>
      <c r="N30" s="1"/>
      <c r="O30" s="1"/>
      <c r="P30" s="1"/>
      <c r="Q30" s="14"/>
      <c r="R30" s="14"/>
      <c r="S30" s="14"/>
      <c r="T30" s="14"/>
      <c r="U30" s="14"/>
      <c r="V30" s="14"/>
      <c r="W30" s="14"/>
      <c r="X30" s="14"/>
      <c r="Y30" s="14"/>
      <c r="Z30" s="14"/>
    </row>
    <row r="31" spans="1:26" ht="12.75" customHeight="1" x14ac:dyDescent="0.2">
      <c r="A31" s="14"/>
      <c r="B31" s="14"/>
      <c r="C31" s="36"/>
      <c r="D31" s="26"/>
      <c r="E31" s="1"/>
      <c r="F31" s="26"/>
      <c r="G31" s="26"/>
      <c r="H31" s="1"/>
      <c r="I31" s="1"/>
      <c r="J31" s="1"/>
      <c r="K31" s="1"/>
      <c r="L31" s="1"/>
      <c r="M31" s="26"/>
      <c r="N31" s="1"/>
      <c r="O31" s="1"/>
      <c r="P31" s="1"/>
      <c r="Q31" s="14"/>
      <c r="R31" s="14"/>
      <c r="S31" s="14"/>
      <c r="T31" s="14"/>
      <c r="U31" s="14"/>
      <c r="V31" s="14"/>
      <c r="W31" s="14"/>
      <c r="X31" s="14"/>
      <c r="Y31" s="14"/>
      <c r="Z31" s="14"/>
    </row>
    <row r="32" spans="1:26" ht="12.75" customHeight="1" x14ac:dyDescent="0.2">
      <c r="A32" s="26"/>
      <c r="B32" s="26"/>
      <c r="C32" s="37"/>
      <c r="D32" s="26"/>
      <c r="E32" s="1"/>
      <c r="F32" s="1"/>
      <c r="G32" s="1"/>
      <c r="H32" s="1"/>
      <c r="I32" s="1"/>
      <c r="J32" s="1"/>
      <c r="K32" s="1"/>
      <c r="L32" s="1"/>
      <c r="M32" s="1"/>
      <c r="N32" s="1"/>
      <c r="O32" s="1"/>
      <c r="P32" s="1"/>
      <c r="Q32" s="14"/>
      <c r="R32" s="14"/>
      <c r="S32" s="14"/>
      <c r="T32" s="14"/>
      <c r="U32" s="14"/>
      <c r="V32" s="14"/>
      <c r="W32" s="14"/>
      <c r="X32" s="14"/>
      <c r="Y32" s="14"/>
      <c r="Z32" s="14"/>
    </row>
    <row r="33" spans="1:26" ht="12.75" customHeight="1" x14ac:dyDescent="0.2">
      <c r="A33" s="630" t="s">
        <v>41</v>
      </c>
      <c r="B33" s="631"/>
      <c r="C33" s="632"/>
      <c r="D33" s="26"/>
      <c r="E33" s="1"/>
      <c r="F33" s="1"/>
      <c r="G33" s="1"/>
      <c r="H33" s="1"/>
      <c r="I33" s="1"/>
      <c r="J33" s="1"/>
      <c r="K33" s="1"/>
      <c r="L33" s="1"/>
      <c r="M33" s="1"/>
      <c r="N33" s="1"/>
      <c r="O33" s="1"/>
      <c r="P33" s="1"/>
      <c r="Q33" s="14"/>
      <c r="R33" s="14"/>
      <c r="S33" s="14"/>
      <c r="T33" s="14"/>
      <c r="U33" s="14"/>
      <c r="V33" s="14"/>
      <c r="W33" s="14"/>
      <c r="X33" s="14"/>
      <c r="Y33" s="14"/>
      <c r="Z33" s="14"/>
    </row>
    <row r="34" spans="1:26" ht="12.75" customHeight="1" x14ac:dyDescent="0.2">
      <c r="A34" s="633"/>
      <c r="B34" s="634"/>
      <c r="C34" s="635"/>
      <c r="D34" s="26"/>
      <c r="E34" s="1"/>
      <c r="F34" s="1"/>
      <c r="G34" s="1"/>
      <c r="H34" s="1"/>
      <c r="I34" s="1"/>
      <c r="J34" s="1"/>
      <c r="K34" s="1"/>
      <c r="L34" s="1"/>
      <c r="M34" s="1"/>
      <c r="N34" s="1"/>
      <c r="O34" s="1"/>
      <c r="P34" s="1"/>
      <c r="Q34" s="14"/>
      <c r="R34" s="14"/>
      <c r="S34" s="14"/>
      <c r="T34" s="14"/>
      <c r="U34" s="14"/>
      <c r="V34" s="14"/>
      <c r="W34" s="14"/>
      <c r="X34" s="14"/>
      <c r="Y34" s="14"/>
      <c r="Z34" s="14"/>
    </row>
    <row r="35" spans="1:26" ht="22.5" customHeight="1" x14ac:dyDescent="0.2">
      <c r="A35" s="28" t="s">
        <v>45</v>
      </c>
      <c r="B35" s="28"/>
      <c r="C35" s="29">
        <f>B20+C20</f>
        <v>406</v>
      </c>
      <c r="D35" s="26"/>
      <c r="E35" s="1"/>
      <c r="F35" s="1"/>
      <c r="G35" s="1"/>
      <c r="H35" s="1"/>
      <c r="I35" s="1"/>
      <c r="J35" s="1"/>
      <c r="K35" s="1"/>
      <c r="L35" s="1"/>
      <c r="M35" s="1"/>
      <c r="N35" s="1"/>
      <c r="O35" s="1"/>
      <c r="P35" s="1"/>
      <c r="Q35" s="14"/>
      <c r="R35" s="14"/>
      <c r="S35" s="14"/>
      <c r="T35" s="14"/>
      <c r="U35" s="14"/>
      <c r="V35" s="14"/>
      <c r="W35" s="14"/>
      <c r="X35" s="14"/>
      <c r="Y35" s="14"/>
      <c r="Z35" s="14"/>
    </row>
    <row r="36" spans="1:26" ht="22.5" customHeight="1" x14ac:dyDescent="0.2">
      <c r="A36" s="28" t="s">
        <v>46</v>
      </c>
      <c r="B36" s="28"/>
      <c r="C36" s="29">
        <f>I20+J20+K20</f>
        <v>233</v>
      </c>
      <c r="D36" s="26"/>
      <c r="E36" s="1"/>
      <c r="F36" s="1"/>
      <c r="G36" s="1"/>
      <c r="H36" s="1"/>
      <c r="I36" s="1"/>
      <c r="J36" s="1"/>
      <c r="K36" s="1"/>
      <c r="L36" s="1"/>
      <c r="M36" s="1"/>
      <c r="N36" s="1"/>
      <c r="O36" s="1"/>
      <c r="P36" s="1"/>
      <c r="Q36" s="14"/>
      <c r="R36" s="14"/>
      <c r="S36" s="14"/>
      <c r="T36" s="14"/>
      <c r="U36" s="14"/>
      <c r="V36" s="14"/>
      <c r="W36" s="14"/>
      <c r="X36" s="14"/>
      <c r="Y36" s="14"/>
      <c r="Z36" s="14"/>
    </row>
    <row r="37" spans="1:26" ht="13.5" customHeight="1" x14ac:dyDescent="0.2">
      <c r="A37" s="33" t="s">
        <v>44</v>
      </c>
      <c r="B37" s="34"/>
      <c r="C37" s="35">
        <f>B26+C26+E45+F45+G45+C27</f>
        <v>639</v>
      </c>
      <c r="D37" s="26"/>
      <c r="E37" s="1"/>
      <c r="F37" s="1"/>
      <c r="G37" s="1"/>
      <c r="H37" s="1"/>
      <c r="I37" s="1"/>
      <c r="J37" s="1"/>
      <c r="K37" s="1"/>
      <c r="L37" s="1"/>
      <c r="M37" s="1"/>
      <c r="N37" s="1"/>
      <c r="O37" s="1"/>
      <c r="P37" s="1"/>
      <c r="Q37" s="14"/>
      <c r="R37" s="14"/>
      <c r="S37" s="14"/>
      <c r="T37" s="14"/>
      <c r="U37" s="14"/>
      <c r="V37" s="14"/>
      <c r="W37" s="14"/>
      <c r="X37" s="14"/>
      <c r="Y37" s="14"/>
      <c r="Z37" s="14"/>
    </row>
    <row r="38" spans="1:26" ht="12.75" customHeight="1" x14ac:dyDescent="0.2">
      <c r="A38" s="26"/>
      <c r="B38" s="26"/>
      <c r="C38" s="37"/>
      <c r="D38" s="26"/>
      <c r="E38" s="1"/>
      <c r="F38" s="1"/>
      <c r="G38" s="1"/>
      <c r="H38" s="1"/>
      <c r="I38" s="1"/>
      <c r="J38" s="1"/>
      <c r="K38" s="1"/>
      <c r="L38" s="1"/>
      <c r="M38" s="1"/>
      <c r="N38" s="1"/>
      <c r="O38" s="1"/>
      <c r="P38" s="1"/>
      <c r="Q38" s="14"/>
      <c r="R38" s="14"/>
      <c r="S38" s="14"/>
      <c r="T38" s="14"/>
      <c r="U38" s="14"/>
      <c r="V38" s="14"/>
      <c r="W38" s="14"/>
      <c r="X38" s="14"/>
      <c r="Y38" s="14"/>
      <c r="Z38" s="14"/>
    </row>
    <row r="39" spans="1:26" ht="12.75" customHeight="1" x14ac:dyDescent="0.2">
      <c r="A39" s="26"/>
      <c r="B39" s="26"/>
      <c r="C39" s="37"/>
      <c r="D39" s="26"/>
      <c r="E39" s="1"/>
      <c r="F39" s="1"/>
      <c r="G39" s="1"/>
      <c r="H39" s="1"/>
      <c r="I39" s="1"/>
      <c r="J39" s="1"/>
      <c r="K39" s="1"/>
      <c r="L39" s="1"/>
      <c r="M39" s="1"/>
      <c r="N39" s="1"/>
      <c r="O39" s="1"/>
      <c r="P39" s="1"/>
      <c r="Q39" s="14"/>
      <c r="R39" s="14"/>
      <c r="S39" s="14"/>
      <c r="T39" s="14"/>
      <c r="U39" s="14"/>
      <c r="V39" s="14"/>
      <c r="W39" s="14"/>
      <c r="X39" s="14"/>
      <c r="Y39" s="14"/>
      <c r="Z39" s="14"/>
    </row>
    <row r="40" spans="1:26" ht="12.75" customHeight="1" x14ac:dyDescent="0.2">
      <c r="A40" s="26"/>
      <c r="B40" s="26"/>
      <c r="C40" s="26"/>
      <c r="D40" s="26"/>
      <c r="E40" s="1"/>
      <c r="F40" s="1"/>
      <c r="G40" s="1"/>
      <c r="H40" s="1"/>
      <c r="I40" s="1"/>
      <c r="J40" s="1"/>
      <c r="K40" s="1"/>
      <c r="L40" s="1"/>
      <c r="M40" s="1"/>
      <c r="N40" s="1"/>
      <c r="O40" s="1"/>
      <c r="P40" s="1"/>
      <c r="Q40" s="14"/>
      <c r="R40" s="14"/>
      <c r="S40" s="14"/>
      <c r="T40" s="14"/>
      <c r="U40" s="14"/>
      <c r="V40" s="14"/>
      <c r="W40" s="14"/>
      <c r="X40" s="14"/>
      <c r="Y40" s="14"/>
      <c r="Z40" s="14"/>
    </row>
    <row r="41" spans="1:26" ht="12.75" customHeight="1" x14ac:dyDescent="0.2">
      <c r="A41" s="26"/>
      <c r="B41" s="26"/>
      <c r="C41" s="26"/>
      <c r="D41" s="26"/>
      <c r="E41" s="1"/>
      <c r="F41" s="1"/>
      <c r="G41" s="1"/>
      <c r="H41" s="1"/>
      <c r="I41" s="1"/>
      <c r="J41" s="1"/>
      <c r="K41" s="1"/>
      <c r="L41" s="1"/>
      <c r="M41" s="1"/>
      <c r="N41" s="1"/>
      <c r="O41" s="1"/>
      <c r="P41" s="1"/>
      <c r="Q41" s="14"/>
      <c r="R41" s="14"/>
      <c r="S41" s="14"/>
      <c r="T41" s="14"/>
      <c r="U41" s="14"/>
      <c r="V41" s="14"/>
      <c r="W41" s="14"/>
      <c r="X41" s="14"/>
      <c r="Y41" s="14"/>
      <c r="Z41" s="14"/>
    </row>
    <row r="42" spans="1:26" ht="12" customHeight="1" x14ac:dyDescent="0.2">
      <c r="A42" s="26"/>
      <c r="B42" s="26"/>
      <c r="C42" s="26"/>
      <c r="D42" s="26"/>
      <c r="E42" s="1"/>
      <c r="F42" s="1"/>
      <c r="G42" s="1"/>
      <c r="H42" s="1"/>
      <c r="I42" s="1"/>
      <c r="J42" s="1"/>
      <c r="K42" s="1"/>
      <c r="L42" s="1"/>
      <c r="M42" s="1"/>
      <c r="N42" s="1"/>
      <c r="O42" s="1"/>
      <c r="P42" s="1"/>
      <c r="Q42" s="14"/>
      <c r="R42" s="14"/>
      <c r="S42" s="14"/>
      <c r="T42" s="14"/>
      <c r="U42" s="14"/>
      <c r="V42" s="14"/>
      <c r="W42" s="14"/>
      <c r="X42" s="14"/>
      <c r="Y42" s="14"/>
      <c r="Z42" s="14"/>
    </row>
    <row r="43" spans="1:26" ht="12.75" customHeight="1" x14ac:dyDescent="0.2">
      <c r="A43" s="630" t="s">
        <v>47</v>
      </c>
      <c r="B43" s="631"/>
      <c r="C43" s="632"/>
      <c r="D43" s="26"/>
      <c r="E43" s="1"/>
      <c r="F43" s="1"/>
      <c r="G43" s="1"/>
      <c r="H43" s="1"/>
      <c r="I43" s="1"/>
      <c r="J43" s="1"/>
      <c r="K43" s="1"/>
      <c r="L43" s="1"/>
      <c r="M43" s="1"/>
      <c r="N43" s="1"/>
      <c r="O43" s="1"/>
      <c r="P43" s="1"/>
      <c r="Q43" s="14"/>
      <c r="R43" s="14"/>
      <c r="S43" s="14"/>
      <c r="T43" s="14"/>
      <c r="U43" s="14"/>
      <c r="V43" s="14"/>
      <c r="W43" s="14"/>
      <c r="X43" s="14"/>
      <c r="Y43" s="14"/>
      <c r="Z43" s="14"/>
    </row>
    <row r="44" spans="1:26" ht="12.75" customHeight="1" x14ac:dyDescent="0.2">
      <c r="A44" s="633"/>
      <c r="B44" s="634"/>
      <c r="C44" s="635"/>
      <c r="D44" s="26"/>
      <c r="E44" s="1"/>
      <c r="F44" s="1"/>
      <c r="G44" s="1"/>
      <c r="H44" s="1"/>
      <c r="I44" s="1"/>
      <c r="J44" s="1"/>
      <c r="K44" s="1"/>
      <c r="L44" s="1"/>
      <c r="M44" s="1"/>
      <c r="N44" s="1"/>
      <c r="O44" s="1"/>
      <c r="P44" s="1"/>
      <c r="Q44" s="14"/>
      <c r="R44" s="14"/>
      <c r="S44" s="14"/>
      <c r="T44" s="14"/>
      <c r="U44" s="14"/>
      <c r="V44" s="14"/>
      <c r="W44" s="14"/>
      <c r="X44" s="14"/>
      <c r="Y44" s="14"/>
      <c r="Z44" s="14"/>
    </row>
    <row r="45" spans="1:26" ht="25.5" customHeight="1" x14ac:dyDescent="0.2">
      <c r="A45" s="636" t="s">
        <v>48</v>
      </c>
      <c r="B45" s="637"/>
      <c r="C45" s="29">
        <f>D20+L20</f>
        <v>233</v>
      </c>
      <c r="D45" s="26"/>
      <c r="E45" s="1"/>
      <c r="F45" s="1"/>
      <c r="G45" s="1"/>
      <c r="H45" s="1"/>
      <c r="I45" s="1"/>
      <c r="J45" s="1"/>
      <c r="K45" s="1"/>
      <c r="L45" s="1"/>
      <c r="M45" s="1"/>
      <c r="N45" s="1"/>
      <c r="O45" s="1"/>
      <c r="P45" s="1"/>
      <c r="Q45" s="14"/>
      <c r="R45" s="14"/>
      <c r="S45" s="14"/>
      <c r="T45" s="14"/>
      <c r="U45" s="14"/>
      <c r="V45" s="14"/>
      <c r="W45" s="14"/>
      <c r="X45" s="14"/>
      <c r="Y45" s="14"/>
      <c r="Z45" s="14"/>
    </row>
    <row r="46" spans="1:26" ht="12.75" customHeight="1" x14ac:dyDescent="0.2">
      <c r="A46" s="636" t="s">
        <v>49</v>
      </c>
      <c r="B46" s="637"/>
      <c r="C46" s="29">
        <f>+E20+M20</f>
        <v>297</v>
      </c>
      <c r="D46" s="26"/>
      <c r="E46" s="1"/>
      <c r="F46" s="1"/>
      <c r="G46" s="1"/>
      <c r="H46" s="1"/>
      <c r="I46" s="1"/>
      <c r="J46" s="1"/>
      <c r="K46" s="1"/>
      <c r="L46" s="1"/>
      <c r="M46" s="1"/>
      <c r="N46" s="1"/>
      <c r="O46" s="1"/>
      <c r="P46" s="1"/>
      <c r="Q46" s="14"/>
      <c r="R46" s="14"/>
      <c r="S46" s="14"/>
      <c r="T46" s="14"/>
      <c r="U46" s="14"/>
      <c r="V46" s="14"/>
      <c r="W46" s="14"/>
      <c r="X46" s="14"/>
      <c r="Y46" s="14"/>
      <c r="Z46" s="14"/>
    </row>
    <row r="47" spans="1:26" ht="12.75" customHeight="1" x14ac:dyDescent="0.2">
      <c r="A47" s="636" t="s">
        <v>50</v>
      </c>
      <c r="B47" s="637"/>
      <c r="C47" s="29">
        <f>+F20+N20</f>
        <v>109</v>
      </c>
      <c r="D47" s="26"/>
      <c r="E47" s="1"/>
      <c r="F47" s="1"/>
      <c r="G47" s="1"/>
      <c r="H47" s="1"/>
      <c r="I47" s="1"/>
      <c r="J47" s="1"/>
      <c r="K47" s="1"/>
      <c r="L47" s="1"/>
      <c r="M47" s="1"/>
      <c r="N47" s="1"/>
      <c r="O47" s="1"/>
      <c r="P47" s="1"/>
      <c r="Q47" s="14"/>
      <c r="R47" s="14"/>
      <c r="S47" s="14"/>
      <c r="T47" s="14"/>
      <c r="U47" s="14"/>
      <c r="V47" s="14"/>
      <c r="W47" s="14"/>
      <c r="X47" s="14"/>
      <c r="Y47" s="14"/>
      <c r="Z47" s="14"/>
    </row>
    <row r="48" spans="1:26" ht="12.75" customHeight="1" x14ac:dyDescent="0.2">
      <c r="A48" s="636" t="s">
        <v>51</v>
      </c>
      <c r="B48" s="637"/>
      <c r="C48" s="29">
        <f>+G20+O20</f>
        <v>0</v>
      </c>
      <c r="D48" s="26"/>
      <c r="E48" s="1"/>
      <c r="F48" s="1"/>
      <c r="G48" s="1"/>
      <c r="H48" s="1"/>
      <c r="I48" s="1"/>
      <c r="J48" s="1"/>
      <c r="K48" s="1"/>
      <c r="L48" s="1"/>
      <c r="M48" s="1"/>
      <c r="N48" s="1"/>
      <c r="O48" s="1"/>
      <c r="P48" s="1"/>
      <c r="Q48" s="14"/>
      <c r="R48" s="14"/>
      <c r="S48" s="14"/>
      <c r="T48" s="14"/>
      <c r="U48" s="14"/>
      <c r="V48" s="14"/>
      <c r="W48" s="14"/>
      <c r="X48" s="14"/>
      <c r="Y48" s="14"/>
      <c r="Z48" s="14"/>
    </row>
    <row r="49" spans="1:26" ht="13.5" customHeight="1" x14ac:dyDescent="0.2">
      <c r="A49" s="33" t="s">
        <v>44</v>
      </c>
      <c r="B49" s="34"/>
      <c r="C49" s="38">
        <f>SUM(C45:C48)</f>
        <v>639</v>
      </c>
      <c r="D49" s="26"/>
      <c r="E49" s="1"/>
      <c r="F49" s="1"/>
      <c r="G49" s="1"/>
      <c r="H49" s="1"/>
      <c r="I49" s="1"/>
      <c r="J49" s="1"/>
      <c r="K49" s="1"/>
      <c r="L49" s="1"/>
      <c r="M49" s="1"/>
      <c r="N49" s="1"/>
      <c r="O49" s="1"/>
      <c r="P49" s="1"/>
      <c r="Q49" s="14"/>
      <c r="R49" s="14"/>
      <c r="S49" s="14"/>
      <c r="T49" s="14"/>
      <c r="U49" s="14"/>
      <c r="V49" s="14"/>
      <c r="W49" s="14"/>
      <c r="X49" s="14"/>
      <c r="Y49" s="14"/>
      <c r="Z49" s="14"/>
    </row>
    <row r="50" spans="1:26" ht="12.75" customHeight="1" x14ac:dyDescent="0.2">
      <c r="A50" s="1"/>
      <c r="B50" s="1"/>
      <c r="C50" s="1"/>
      <c r="D50" s="26"/>
      <c r="E50" s="1"/>
      <c r="F50" s="1"/>
      <c r="G50" s="1"/>
      <c r="H50" s="1"/>
      <c r="I50" s="1"/>
      <c r="J50" s="1"/>
      <c r="K50" s="1"/>
      <c r="L50" s="1"/>
      <c r="M50" s="1"/>
      <c r="N50" s="1"/>
      <c r="O50" s="1"/>
      <c r="P50" s="1"/>
      <c r="Q50" s="14"/>
      <c r="R50" s="14"/>
      <c r="S50" s="14"/>
      <c r="T50" s="14"/>
      <c r="U50" s="14"/>
      <c r="V50" s="14"/>
      <c r="W50" s="14"/>
      <c r="X50" s="14"/>
      <c r="Y50" s="14"/>
      <c r="Z50" s="14"/>
    </row>
    <row r="51" spans="1:26" ht="12.75" customHeight="1" x14ac:dyDescent="0.2">
      <c r="A51" s="1"/>
      <c r="B51" s="1"/>
      <c r="C51" s="1"/>
      <c r="D51" s="1"/>
      <c r="E51" s="1"/>
      <c r="F51" s="1"/>
      <c r="G51" s="1"/>
      <c r="H51" s="1"/>
      <c r="I51" s="1"/>
      <c r="J51" s="1"/>
      <c r="K51" s="1"/>
      <c r="L51" s="1"/>
      <c r="M51" s="1"/>
      <c r="N51" s="1"/>
      <c r="O51" s="1"/>
      <c r="P51" s="1"/>
      <c r="Q51" s="14"/>
      <c r="R51" s="14"/>
      <c r="S51" s="14"/>
      <c r="T51" s="14"/>
      <c r="U51" s="14"/>
      <c r="V51" s="14"/>
      <c r="W51" s="14"/>
      <c r="X51" s="14"/>
      <c r="Y51" s="14"/>
      <c r="Z51" s="14"/>
    </row>
    <row r="52" spans="1:26" ht="12.75" customHeight="1" x14ac:dyDescent="0.2">
      <c r="A52" s="1"/>
      <c r="B52" s="1"/>
      <c r="C52" s="1"/>
      <c r="D52" s="1"/>
      <c r="E52" s="1"/>
      <c r="F52" s="1"/>
      <c r="G52" s="1"/>
      <c r="H52" s="1"/>
      <c r="I52" s="1"/>
      <c r="J52" s="1"/>
      <c r="K52" s="1"/>
      <c r="L52" s="1"/>
      <c r="M52" s="1"/>
      <c r="N52" s="1"/>
      <c r="O52" s="1"/>
      <c r="P52" s="1"/>
      <c r="Q52" s="14"/>
      <c r="R52" s="14"/>
      <c r="S52" s="14"/>
      <c r="T52" s="14"/>
      <c r="U52" s="14"/>
      <c r="V52" s="14"/>
      <c r="W52" s="14"/>
      <c r="X52" s="14"/>
      <c r="Y52" s="14"/>
      <c r="Z52" s="14"/>
    </row>
    <row r="53" spans="1:26" ht="12.75" customHeight="1" x14ac:dyDescent="0.2">
      <c r="A53" s="1"/>
      <c r="B53" s="1"/>
      <c r="C53" s="1"/>
      <c r="D53" s="1"/>
      <c r="E53" s="1"/>
      <c r="F53" s="1"/>
      <c r="G53" s="1"/>
      <c r="H53" s="1"/>
      <c r="I53" s="1"/>
      <c r="J53" s="1"/>
      <c r="K53" s="1"/>
      <c r="L53" s="1"/>
      <c r="M53" s="1"/>
      <c r="N53" s="1"/>
      <c r="O53" s="1"/>
      <c r="P53" s="1"/>
      <c r="Q53" s="14"/>
      <c r="R53" s="14"/>
      <c r="S53" s="14"/>
      <c r="T53" s="14"/>
      <c r="U53" s="14"/>
      <c r="V53" s="14"/>
      <c r="W53" s="14"/>
      <c r="X53" s="14"/>
      <c r="Y53" s="14"/>
      <c r="Z53" s="14"/>
    </row>
    <row r="54" spans="1:26" ht="12.75" customHeight="1" x14ac:dyDescent="0.2">
      <c r="A54" s="1"/>
      <c r="B54" s="1"/>
      <c r="C54" s="1"/>
      <c r="D54" s="1"/>
      <c r="E54" s="1"/>
      <c r="F54" s="1"/>
      <c r="G54" s="1"/>
      <c r="H54" s="1"/>
      <c r="I54" s="1"/>
      <c r="J54" s="1"/>
      <c r="K54" s="1"/>
      <c r="L54" s="1"/>
      <c r="M54" s="1"/>
      <c r="N54" s="1"/>
      <c r="O54" s="1"/>
      <c r="P54" s="1"/>
      <c r="Q54" s="14"/>
      <c r="R54" s="14"/>
      <c r="S54" s="14"/>
      <c r="T54" s="14"/>
      <c r="U54" s="14"/>
      <c r="V54" s="14"/>
      <c r="W54" s="14"/>
      <c r="X54" s="14"/>
      <c r="Y54" s="14"/>
      <c r="Z54" s="14"/>
    </row>
    <row r="55" spans="1:26" ht="12.75" customHeight="1" x14ac:dyDescent="0.2">
      <c r="A55" s="1"/>
      <c r="B55" s="1"/>
      <c r="C55" s="1"/>
      <c r="D55" s="1"/>
      <c r="E55" s="1"/>
      <c r="F55" s="1"/>
      <c r="G55" s="1"/>
      <c r="H55" s="1"/>
      <c r="I55" s="1"/>
      <c r="J55" s="1"/>
      <c r="K55" s="1"/>
      <c r="L55" s="1"/>
      <c r="M55" s="1"/>
      <c r="N55" s="1"/>
      <c r="O55" s="1"/>
      <c r="P55" s="1"/>
      <c r="Q55" s="14"/>
      <c r="R55" s="14"/>
      <c r="S55" s="14"/>
      <c r="T55" s="14"/>
      <c r="U55" s="14"/>
      <c r="V55" s="14"/>
      <c r="W55" s="14"/>
      <c r="X55" s="14"/>
      <c r="Y55" s="14"/>
      <c r="Z55" s="14"/>
    </row>
    <row r="56" spans="1:26" ht="12.75" customHeight="1" x14ac:dyDescent="0.2">
      <c r="A56" s="1"/>
      <c r="B56" s="1"/>
      <c r="C56" s="1"/>
      <c r="D56" s="1"/>
      <c r="E56" s="1"/>
      <c r="F56" s="1"/>
      <c r="G56" s="1"/>
      <c r="H56" s="1"/>
      <c r="I56" s="1"/>
      <c r="J56" s="1"/>
      <c r="K56" s="1"/>
      <c r="L56" s="1"/>
      <c r="M56" s="1"/>
      <c r="N56" s="1"/>
      <c r="O56" s="1"/>
      <c r="P56" s="1"/>
      <c r="Q56" s="14"/>
      <c r="R56" s="14"/>
      <c r="S56" s="14"/>
      <c r="T56" s="14"/>
      <c r="U56" s="14"/>
      <c r="V56" s="14"/>
      <c r="W56" s="14"/>
      <c r="X56" s="14"/>
      <c r="Y56" s="14"/>
      <c r="Z56" s="14"/>
    </row>
    <row r="57" spans="1:26" ht="12.75" customHeight="1" x14ac:dyDescent="0.2">
      <c r="A57" s="1"/>
      <c r="B57" s="1"/>
      <c r="C57" s="1"/>
      <c r="D57" s="1"/>
      <c r="E57" s="1"/>
      <c r="F57" s="1"/>
      <c r="G57" s="1"/>
      <c r="H57" s="1"/>
      <c r="I57" s="1"/>
      <c r="J57" s="1"/>
      <c r="K57" s="1"/>
      <c r="L57" s="1"/>
      <c r="M57" s="1"/>
      <c r="N57" s="1"/>
      <c r="O57" s="1"/>
      <c r="P57" s="1"/>
      <c r="Q57" s="14"/>
      <c r="R57" s="14"/>
      <c r="S57" s="14"/>
      <c r="T57" s="14"/>
      <c r="U57" s="14"/>
      <c r="V57" s="14"/>
      <c r="W57" s="14"/>
      <c r="X57" s="14"/>
      <c r="Y57" s="14"/>
      <c r="Z57" s="14"/>
    </row>
    <row r="58" spans="1:26" ht="15.75" customHeight="1" x14ac:dyDescent="0.25">
      <c r="A58" s="638" t="s">
        <v>52</v>
      </c>
      <c r="B58" s="639"/>
      <c r="C58" s="639"/>
      <c r="D58" s="639"/>
      <c r="E58" s="639"/>
      <c r="F58" s="639"/>
      <c r="G58" s="639"/>
      <c r="H58" s="639"/>
      <c r="I58" s="639"/>
      <c r="J58" s="639"/>
      <c r="K58" s="639"/>
      <c r="L58" s="639"/>
      <c r="M58" s="639"/>
      <c r="N58" s="639"/>
      <c r="O58" s="640"/>
      <c r="P58" s="1"/>
      <c r="Q58" s="14"/>
      <c r="R58" s="14"/>
      <c r="S58" s="14"/>
      <c r="T58" s="14"/>
      <c r="U58" s="14"/>
      <c r="V58" s="14"/>
      <c r="W58" s="14"/>
      <c r="X58" s="14"/>
      <c r="Y58" s="14"/>
      <c r="Z58" s="14"/>
    </row>
    <row r="59" spans="1:26" ht="12.75" customHeight="1" x14ac:dyDescent="0.2">
      <c r="A59" s="641"/>
      <c r="B59" s="642"/>
      <c r="C59" s="642"/>
      <c r="D59" s="642"/>
      <c r="E59" s="642"/>
      <c r="F59" s="642"/>
      <c r="G59" s="642"/>
      <c r="H59" s="642"/>
      <c r="I59" s="642"/>
      <c r="J59" s="642"/>
      <c r="K59" s="642"/>
      <c r="L59" s="642"/>
      <c r="M59" s="642"/>
      <c r="N59" s="642"/>
      <c r="O59" s="626"/>
      <c r="P59" s="1"/>
      <c r="Q59" s="14"/>
      <c r="R59" s="14"/>
      <c r="S59" s="14"/>
      <c r="T59" s="14"/>
      <c r="U59" s="14"/>
      <c r="V59" s="14"/>
      <c r="W59" s="14"/>
      <c r="X59" s="14"/>
      <c r="Y59" s="14"/>
      <c r="Z59" s="14"/>
    </row>
    <row r="60" spans="1:26" ht="12.75" customHeight="1" x14ac:dyDescent="0.2">
      <c r="A60" s="643"/>
      <c r="B60" s="642"/>
      <c r="C60" s="642"/>
      <c r="D60" s="642"/>
      <c r="E60" s="642"/>
      <c r="F60" s="642"/>
      <c r="G60" s="642"/>
      <c r="H60" s="642"/>
      <c r="I60" s="642"/>
      <c r="J60" s="642"/>
      <c r="K60" s="642"/>
      <c r="L60" s="642"/>
      <c r="M60" s="642"/>
      <c r="N60" s="642"/>
      <c r="O60" s="626"/>
      <c r="P60" s="1"/>
      <c r="Q60" s="14"/>
      <c r="R60" s="14"/>
      <c r="S60" s="14"/>
      <c r="T60" s="14"/>
      <c r="U60" s="14"/>
      <c r="V60" s="14"/>
      <c r="W60" s="14"/>
      <c r="X60" s="14"/>
      <c r="Y60" s="14"/>
      <c r="Z60" s="14"/>
    </row>
    <row r="61" spans="1:26" ht="12.75" customHeight="1" x14ac:dyDescent="0.2">
      <c r="A61" s="643"/>
      <c r="B61" s="642"/>
      <c r="C61" s="642"/>
      <c r="D61" s="642"/>
      <c r="E61" s="642"/>
      <c r="F61" s="642"/>
      <c r="G61" s="642"/>
      <c r="H61" s="642"/>
      <c r="I61" s="642"/>
      <c r="J61" s="642"/>
      <c r="K61" s="642"/>
      <c r="L61" s="642"/>
      <c r="M61" s="642"/>
      <c r="N61" s="642"/>
      <c r="O61" s="626"/>
      <c r="P61" s="1"/>
      <c r="Q61" s="14"/>
      <c r="R61" s="14"/>
      <c r="S61" s="14"/>
      <c r="T61" s="14"/>
      <c r="U61" s="14"/>
      <c r="V61" s="14"/>
      <c r="W61" s="14"/>
      <c r="X61" s="14"/>
      <c r="Y61" s="14"/>
      <c r="Z61" s="14"/>
    </row>
    <row r="62" spans="1:26" ht="12.75" customHeight="1" x14ac:dyDescent="0.2">
      <c r="A62" s="633"/>
      <c r="B62" s="634"/>
      <c r="C62" s="634"/>
      <c r="D62" s="634"/>
      <c r="E62" s="634"/>
      <c r="F62" s="634"/>
      <c r="G62" s="634"/>
      <c r="H62" s="634"/>
      <c r="I62" s="634"/>
      <c r="J62" s="634"/>
      <c r="K62" s="634"/>
      <c r="L62" s="634"/>
      <c r="M62" s="634"/>
      <c r="N62" s="634"/>
      <c r="O62" s="635"/>
      <c r="P62" s="1"/>
      <c r="Q62" s="14"/>
      <c r="R62" s="14"/>
      <c r="S62" s="14"/>
      <c r="T62" s="14"/>
      <c r="U62" s="14"/>
      <c r="V62" s="14"/>
      <c r="W62" s="14"/>
      <c r="X62" s="14"/>
      <c r="Y62" s="14"/>
      <c r="Z62" s="14"/>
    </row>
    <row r="63" spans="1:26" ht="12.75" customHeight="1" x14ac:dyDescent="0.2">
      <c r="A63" s="22"/>
      <c r="B63" s="22"/>
      <c r="C63" s="22"/>
      <c r="D63" s="22"/>
      <c r="E63" s="22"/>
      <c r="F63" s="22"/>
      <c r="G63" s="22"/>
      <c r="H63" s="22"/>
      <c r="I63" s="22"/>
      <c r="J63" s="22"/>
      <c r="K63" s="22"/>
      <c r="L63" s="22"/>
      <c r="M63" s="22"/>
      <c r="N63" s="22"/>
      <c r="O63" s="22"/>
      <c r="P63" s="1"/>
      <c r="Q63" s="14"/>
      <c r="R63" s="14"/>
      <c r="S63" s="14"/>
      <c r="T63" s="14"/>
      <c r="U63" s="14"/>
      <c r="V63" s="14"/>
      <c r="W63" s="14"/>
      <c r="X63" s="14"/>
      <c r="Y63" s="14"/>
      <c r="Z63" s="14"/>
    </row>
    <row r="64" spans="1:26" ht="24.75" customHeight="1" x14ac:dyDescent="0.2">
      <c r="A64" s="625" t="s">
        <v>53</v>
      </c>
      <c r="B64" s="626"/>
      <c r="C64" s="644" t="s">
        <v>353</v>
      </c>
      <c r="D64" s="645"/>
      <c r="E64" s="645"/>
      <c r="F64" s="645"/>
      <c r="G64" s="645"/>
      <c r="H64" s="645"/>
      <c r="I64" s="645"/>
      <c r="J64" s="637"/>
      <c r="K64" s="1"/>
      <c r="L64" s="1"/>
      <c r="M64" s="1"/>
      <c r="N64" s="1"/>
      <c r="O64" s="1"/>
      <c r="P64" s="1"/>
      <c r="Q64" s="14"/>
      <c r="R64" s="14"/>
      <c r="S64" s="14"/>
      <c r="T64" s="14"/>
      <c r="U64" s="14"/>
      <c r="V64" s="14"/>
      <c r="W64" s="14"/>
      <c r="X64" s="14"/>
      <c r="Y64" s="14"/>
      <c r="Z64" s="14"/>
    </row>
    <row r="65" spans="1:26" ht="12.75" customHeight="1" x14ac:dyDescent="0.2">
      <c r="A65" s="39"/>
      <c r="B65" s="39"/>
      <c r="C65" s="26"/>
      <c r="D65" s="26"/>
      <c r="E65" s="1"/>
      <c r="F65" s="1"/>
      <c r="G65" s="1"/>
      <c r="H65" s="1"/>
      <c r="I65" s="26"/>
      <c r="J65" s="1"/>
      <c r="K65" s="1"/>
      <c r="L65" s="1"/>
      <c r="M65" s="1"/>
      <c r="N65" s="1"/>
      <c r="O65" s="1"/>
      <c r="P65" s="1"/>
      <c r="Q65" s="14"/>
      <c r="R65" s="14"/>
      <c r="S65" s="14"/>
      <c r="T65" s="14"/>
      <c r="U65" s="14"/>
      <c r="V65" s="14"/>
      <c r="W65" s="14"/>
      <c r="X65" s="14"/>
      <c r="Y65" s="14"/>
      <c r="Z65" s="14"/>
    </row>
    <row r="66" spans="1:26" ht="21" customHeight="1" x14ac:dyDescent="0.2">
      <c r="A66" s="625" t="s">
        <v>54</v>
      </c>
      <c r="B66" s="626"/>
      <c r="C66" s="187">
        <v>44064</v>
      </c>
      <c r="D66" s="7"/>
      <c r="E66" s="1"/>
      <c r="F66" s="1"/>
      <c r="G66" s="1"/>
      <c r="H66" s="1"/>
      <c r="I66" s="1"/>
      <c r="J66" s="1"/>
      <c r="K66" s="1"/>
      <c r="L66" s="1"/>
      <c r="M66" s="1"/>
      <c r="N66" s="1"/>
      <c r="O66" s="1"/>
      <c r="P66" s="1"/>
      <c r="Q66" s="14"/>
      <c r="R66" s="14"/>
      <c r="S66" s="14"/>
      <c r="T66" s="14"/>
      <c r="U66" s="14"/>
      <c r="V66" s="14"/>
      <c r="W66" s="14"/>
      <c r="X66" s="14"/>
      <c r="Y66" s="14"/>
      <c r="Z66" s="14"/>
    </row>
    <row r="67" spans="1:26" ht="12.75" customHeight="1" x14ac:dyDescent="0.2">
      <c r="A67" s="1"/>
      <c r="B67" s="1"/>
      <c r="C67" s="1"/>
      <c r="D67" s="1"/>
      <c r="E67" s="1"/>
      <c r="F67" s="1"/>
      <c r="G67" s="1"/>
      <c r="H67" s="1"/>
      <c r="I67" s="1"/>
      <c r="J67" s="1"/>
      <c r="K67" s="1"/>
      <c r="L67" s="1"/>
      <c r="M67" s="1"/>
      <c r="N67" s="1"/>
      <c r="O67" s="1"/>
      <c r="P67" s="1"/>
      <c r="Q67" s="14"/>
      <c r="R67" s="14"/>
      <c r="S67" s="14"/>
      <c r="T67" s="14"/>
      <c r="U67" s="14"/>
      <c r="V67" s="14"/>
      <c r="W67" s="14"/>
      <c r="X67" s="14"/>
      <c r="Y67" s="14"/>
      <c r="Z67" s="14"/>
    </row>
    <row r="68" spans="1:26" ht="12.75" customHeight="1" x14ac:dyDescent="0.2">
      <c r="A68" s="1"/>
      <c r="B68" s="1"/>
      <c r="C68" s="1"/>
      <c r="D68" s="1"/>
      <c r="E68" s="1"/>
      <c r="F68" s="1"/>
      <c r="G68" s="1"/>
      <c r="H68" s="1"/>
      <c r="I68" s="1"/>
      <c r="J68" s="1"/>
      <c r="K68" s="1"/>
      <c r="L68" s="1"/>
      <c r="M68" s="1"/>
      <c r="N68" s="1"/>
      <c r="O68" s="1"/>
      <c r="P68" s="1"/>
      <c r="Q68" s="14"/>
      <c r="R68" s="14"/>
      <c r="S68" s="14"/>
      <c r="T68" s="14"/>
      <c r="U68" s="14"/>
      <c r="V68" s="14"/>
      <c r="W68" s="14"/>
      <c r="X68" s="14"/>
      <c r="Y68" s="14"/>
      <c r="Z68" s="14"/>
    </row>
    <row r="69" spans="1:26" ht="18" customHeight="1" x14ac:dyDescent="0.25">
      <c r="A69" s="40" t="s">
        <v>21</v>
      </c>
      <c r="B69" s="41"/>
      <c r="C69" s="2"/>
      <c r="D69" s="2"/>
      <c r="E69" s="1"/>
      <c r="F69" s="1"/>
      <c r="G69" s="1"/>
      <c r="H69" s="1"/>
      <c r="I69" s="1"/>
      <c r="J69" s="1"/>
      <c r="K69" s="1"/>
      <c r="L69" s="1"/>
      <c r="M69" s="1"/>
      <c r="N69" s="1"/>
      <c r="O69" s="1"/>
      <c r="P69" s="1"/>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27"/>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27"/>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27"/>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27"/>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27"/>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27"/>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27"/>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27"/>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27"/>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27"/>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27"/>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27"/>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27"/>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27"/>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27"/>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27"/>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27"/>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27"/>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27"/>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27"/>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27"/>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27"/>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27"/>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27"/>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27"/>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27"/>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27"/>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27"/>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27"/>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27"/>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27"/>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27"/>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27"/>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27"/>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27"/>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27"/>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27"/>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27"/>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27"/>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27"/>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27"/>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27"/>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27"/>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27"/>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27"/>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27"/>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27"/>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27"/>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27"/>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27"/>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27"/>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27"/>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27"/>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27"/>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27"/>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27"/>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27"/>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27"/>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27"/>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27"/>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27"/>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27"/>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27"/>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27"/>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27"/>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27"/>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27"/>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27"/>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27"/>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27"/>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27"/>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27"/>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27"/>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27"/>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27"/>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27"/>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27"/>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27"/>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27"/>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27"/>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27"/>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27"/>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27"/>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27"/>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27"/>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27"/>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27"/>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27"/>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27"/>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27"/>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27"/>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27"/>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27"/>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27"/>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27"/>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27"/>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27"/>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27"/>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27"/>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27"/>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27"/>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27"/>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27"/>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27"/>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27"/>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27"/>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27"/>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27"/>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27"/>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27"/>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27"/>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27"/>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27"/>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27"/>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27"/>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27"/>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27"/>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27"/>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27"/>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27"/>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27"/>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27"/>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27"/>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27"/>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27"/>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27"/>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27"/>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27"/>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27"/>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27"/>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27"/>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27"/>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27"/>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27"/>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27"/>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27"/>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27"/>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27"/>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27"/>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27"/>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27"/>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27"/>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27"/>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27"/>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27"/>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27"/>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27"/>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27"/>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27"/>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27"/>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27"/>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27"/>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27"/>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27"/>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27"/>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27"/>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27"/>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27"/>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27"/>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27"/>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27"/>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27"/>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27"/>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27"/>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27"/>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27"/>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27"/>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27"/>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27"/>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27"/>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27"/>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27"/>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27"/>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27"/>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27"/>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27"/>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27"/>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27"/>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27"/>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27"/>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27"/>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27"/>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27"/>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27"/>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27"/>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27"/>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27"/>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27"/>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27"/>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27"/>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27"/>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27"/>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27"/>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27"/>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27"/>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27"/>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27"/>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27"/>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27"/>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27"/>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27"/>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27"/>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27"/>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27"/>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27"/>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27"/>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27"/>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27"/>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27"/>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27"/>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27"/>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27"/>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27"/>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27"/>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27"/>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27"/>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27"/>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27"/>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27"/>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27"/>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27"/>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27"/>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27"/>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27"/>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27"/>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27"/>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27"/>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27"/>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27"/>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27"/>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27"/>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27"/>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27"/>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27"/>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27"/>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27"/>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27"/>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27"/>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27"/>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27"/>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27"/>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27"/>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27"/>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27"/>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27"/>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27"/>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27"/>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27"/>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27"/>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27"/>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27"/>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27"/>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27"/>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27"/>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27"/>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27"/>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27"/>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27"/>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27"/>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27"/>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27"/>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27"/>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27"/>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27"/>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27"/>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27"/>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27"/>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27"/>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27"/>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27"/>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27"/>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27"/>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27"/>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27"/>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27"/>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27"/>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27"/>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27"/>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27"/>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27"/>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27"/>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27"/>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27"/>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27"/>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27"/>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27"/>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27"/>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27"/>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27"/>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27"/>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27"/>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27"/>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27"/>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27"/>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27"/>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27"/>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27"/>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27"/>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27"/>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27"/>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27"/>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27"/>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27"/>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27"/>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27"/>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27"/>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27"/>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27"/>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27"/>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27"/>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27"/>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27"/>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27"/>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27"/>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27"/>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27"/>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27"/>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27"/>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27"/>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27"/>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27"/>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27"/>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27"/>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27"/>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27"/>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27"/>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27"/>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27"/>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27"/>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27"/>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27"/>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27"/>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27"/>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27"/>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27"/>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27"/>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27"/>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27"/>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27"/>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27"/>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27"/>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27"/>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27"/>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27"/>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27"/>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27"/>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27"/>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27"/>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27"/>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27"/>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27"/>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27"/>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27"/>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27"/>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27"/>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27"/>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27"/>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27"/>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27"/>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27"/>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27"/>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27"/>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27"/>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27"/>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27"/>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27"/>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27"/>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27"/>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27"/>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27"/>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27"/>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27"/>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27"/>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27"/>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27"/>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27"/>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27"/>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27"/>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27"/>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27"/>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27"/>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27"/>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27"/>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27"/>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27"/>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27"/>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27"/>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27"/>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27"/>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27"/>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27"/>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27"/>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27"/>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27"/>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27"/>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27"/>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27"/>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27"/>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27"/>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27"/>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27"/>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27"/>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27"/>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27"/>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27"/>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27"/>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27"/>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27"/>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27"/>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27"/>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27"/>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27"/>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27"/>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27"/>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27"/>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27"/>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27"/>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27"/>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27"/>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27"/>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27"/>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27"/>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27"/>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27"/>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27"/>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27"/>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27"/>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27"/>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27"/>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27"/>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27"/>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27"/>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27"/>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27"/>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27"/>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27"/>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27"/>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27"/>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27"/>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27"/>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27"/>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27"/>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27"/>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27"/>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27"/>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27"/>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27"/>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27"/>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27"/>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27"/>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27"/>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27"/>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27"/>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27"/>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27"/>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27"/>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27"/>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27"/>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27"/>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27"/>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27"/>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27"/>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27"/>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27"/>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27"/>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27"/>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27"/>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27"/>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27"/>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27"/>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27"/>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27"/>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27"/>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27"/>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27"/>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27"/>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27"/>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27"/>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27"/>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27"/>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27"/>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27"/>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27"/>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27"/>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27"/>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27"/>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27"/>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27"/>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27"/>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27"/>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27"/>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27"/>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27"/>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27"/>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27"/>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27"/>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27"/>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27"/>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27"/>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27"/>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27"/>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27"/>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27"/>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27"/>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27"/>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27"/>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27"/>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27"/>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27"/>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27"/>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27"/>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27"/>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27"/>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27"/>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27"/>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27"/>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27"/>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27"/>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27"/>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27"/>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27"/>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27"/>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27"/>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27"/>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27"/>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27"/>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27"/>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27"/>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27"/>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27"/>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27"/>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27"/>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27"/>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27"/>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27"/>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27"/>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27"/>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27"/>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27"/>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27"/>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27"/>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27"/>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27"/>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27"/>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27"/>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27"/>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27"/>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27"/>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27"/>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27"/>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27"/>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27"/>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27"/>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27"/>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27"/>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27"/>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27"/>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27"/>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27"/>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27"/>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27"/>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27"/>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27"/>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27"/>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27"/>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27"/>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27"/>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27"/>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27"/>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27"/>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27"/>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27"/>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27"/>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27"/>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27"/>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27"/>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27"/>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27"/>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27"/>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27"/>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27"/>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27"/>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27"/>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27"/>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27"/>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27"/>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27"/>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27"/>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27"/>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27"/>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27"/>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27"/>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27"/>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27"/>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27"/>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27"/>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27"/>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27"/>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27"/>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27"/>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27"/>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27"/>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27"/>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27"/>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27"/>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27"/>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27"/>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27"/>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27"/>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27"/>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27"/>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27"/>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27"/>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27"/>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27"/>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27"/>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27"/>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27"/>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27"/>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27"/>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27"/>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27"/>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27"/>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27"/>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27"/>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27"/>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27"/>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27"/>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27"/>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27"/>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27"/>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27"/>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27"/>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27"/>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27"/>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27"/>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27"/>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27"/>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27"/>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27"/>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27"/>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27"/>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27"/>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27"/>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27"/>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27"/>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27"/>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27"/>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27"/>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27"/>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27"/>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27"/>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27"/>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27"/>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27"/>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27"/>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27"/>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27"/>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27"/>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27"/>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27"/>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27"/>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27"/>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27"/>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27"/>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27"/>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27"/>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27"/>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27"/>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27"/>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27"/>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27"/>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27"/>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27"/>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27"/>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27"/>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27"/>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27"/>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27"/>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27"/>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27"/>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27"/>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27"/>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27"/>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27"/>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27"/>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27"/>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27"/>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27"/>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27"/>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27"/>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27"/>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27"/>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27"/>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27"/>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27"/>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27"/>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27"/>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27"/>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27"/>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27"/>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27"/>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27"/>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27"/>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27"/>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27"/>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27"/>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27"/>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27"/>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27"/>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27"/>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27"/>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27"/>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27"/>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27"/>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27"/>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27"/>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27"/>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27"/>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27"/>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27"/>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27"/>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27"/>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27"/>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27"/>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27"/>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27"/>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27"/>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27"/>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27"/>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27"/>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27"/>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27"/>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27"/>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27"/>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27"/>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27"/>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27"/>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27"/>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27"/>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27"/>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27"/>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27"/>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27"/>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27"/>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27"/>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27"/>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27"/>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27"/>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27"/>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27"/>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27"/>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27"/>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27"/>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27"/>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27"/>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27"/>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27"/>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27"/>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27"/>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27"/>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27"/>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27"/>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27"/>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27"/>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27"/>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27"/>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27"/>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27"/>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27"/>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27"/>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27"/>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27"/>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27"/>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27"/>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27"/>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27"/>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27"/>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27"/>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27"/>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27"/>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27"/>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27"/>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27"/>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27"/>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27"/>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27"/>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27"/>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27"/>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27"/>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27"/>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27"/>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27"/>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27"/>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27"/>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27"/>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27"/>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27"/>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27"/>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27"/>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27"/>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27"/>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27"/>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27"/>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27"/>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27"/>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27"/>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27"/>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27"/>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27"/>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27"/>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27"/>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27"/>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27"/>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27"/>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27"/>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27"/>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27"/>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27"/>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27"/>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27"/>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27"/>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27"/>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27"/>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27"/>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27"/>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27"/>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27"/>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27"/>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27"/>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27"/>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27"/>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27"/>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27"/>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27"/>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27"/>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27"/>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27"/>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27"/>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27"/>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27"/>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27"/>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27"/>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27"/>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27"/>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27"/>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27"/>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27"/>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27"/>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27"/>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27"/>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27"/>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27"/>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27"/>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27"/>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27"/>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27"/>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27"/>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27"/>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27"/>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27"/>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27"/>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27"/>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27"/>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27"/>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27"/>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27"/>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27"/>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27"/>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27"/>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27"/>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27"/>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27"/>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27"/>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27"/>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27"/>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27"/>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27"/>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27"/>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27"/>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27"/>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27"/>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27"/>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27"/>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27"/>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27"/>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27"/>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27"/>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27"/>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27"/>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27"/>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27"/>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27"/>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27"/>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27"/>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27"/>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27"/>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27"/>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27"/>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27"/>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27"/>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27"/>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27"/>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27"/>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27"/>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27"/>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27"/>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27"/>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27"/>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27"/>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27"/>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27"/>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27"/>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27"/>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27"/>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27"/>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27"/>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27"/>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27"/>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27"/>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27"/>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27"/>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27"/>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27"/>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27"/>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27"/>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27"/>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27"/>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27"/>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27"/>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27"/>
      <c r="M1000" s="14"/>
      <c r="N1000" s="14"/>
      <c r="O1000" s="14"/>
      <c r="P1000" s="14"/>
      <c r="Q1000" s="14"/>
      <c r="R1000" s="14"/>
      <c r="S1000" s="14"/>
      <c r="T1000" s="14"/>
      <c r="U1000" s="14"/>
      <c r="V1000" s="14"/>
      <c r="W1000" s="14"/>
      <c r="X1000" s="14"/>
      <c r="Y1000" s="14"/>
      <c r="Z1000" s="14"/>
    </row>
  </sheetData>
  <mergeCells count="35">
    <mergeCell ref="I6:K6"/>
    <mergeCell ref="L6:O6"/>
    <mergeCell ref="A1:Q1"/>
    <mergeCell ref="A2:Q2"/>
    <mergeCell ref="A3:Q3"/>
    <mergeCell ref="B5:G5"/>
    <mergeCell ref="I5:O5"/>
    <mergeCell ref="B6:C6"/>
    <mergeCell ref="D6:G6"/>
    <mergeCell ref="O7:O8"/>
    <mergeCell ref="A7:A8"/>
    <mergeCell ref="B7:B8"/>
    <mergeCell ref="C7:C8"/>
    <mergeCell ref="D7:D8"/>
    <mergeCell ref="E7:E8"/>
    <mergeCell ref="F7:F8"/>
    <mergeCell ref="G7:G8"/>
    <mergeCell ref="I7:I8"/>
    <mergeCell ref="J7:K7"/>
    <mergeCell ref="L7:L8"/>
    <mergeCell ref="M7:M8"/>
    <mergeCell ref="N7:N8"/>
    <mergeCell ref="A66:B66"/>
    <mergeCell ref="A22:O22"/>
    <mergeCell ref="A24:C25"/>
    <mergeCell ref="A33:C34"/>
    <mergeCell ref="A43:C44"/>
    <mergeCell ref="A45:B45"/>
    <mergeCell ref="A46:B46"/>
    <mergeCell ref="A47:B47"/>
    <mergeCell ref="A48:B48"/>
    <mergeCell ref="A58:O58"/>
    <mergeCell ref="A59:O62"/>
    <mergeCell ref="A64:B64"/>
    <mergeCell ref="C64:J64"/>
  </mergeCells>
  <pageMargins left="0.7" right="0.7" top="0.75" bottom="0.75" header="0" footer="0"/>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6"/>
  <sheetViews>
    <sheetView showGridLines="0" view="pageBreakPreview" topLeftCell="A47" zoomScaleNormal="100" zoomScaleSheetLayoutView="100" workbookViewId="0">
      <selection activeCell="B53" sqref="B53"/>
    </sheetView>
  </sheetViews>
  <sheetFormatPr baseColWidth="10" defaultColWidth="14.42578125" defaultRowHeight="15" customHeight="1" x14ac:dyDescent="0.2"/>
  <cols>
    <col min="1" max="1" width="2.28515625" customWidth="1"/>
    <col min="2" max="2" width="56" customWidth="1"/>
    <col min="3" max="3" width="17.140625" customWidth="1"/>
    <col min="4" max="4" width="19.42578125" customWidth="1"/>
    <col min="5" max="5" width="3.85546875" customWidth="1"/>
    <col min="6" max="6" width="17.28515625" customWidth="1"/>
    <col min="7" max="7" width="11.7109375" customWidth="1"/>
    <col min="8" max="10" width="10" customWidth="1"/>
    <col min="11" max="11" width="11.42578125" hidden="1" customWidth="1"/>
    <col min="12" max="26" width="10" customWidth="1"/>
  </cols>
  <sheetData>
    <row r="1" spans="2:11" ht="12.75" customHeight="1" x14ac:dyDescent="0.2">
      <c r="E1" s="4"/>
    </row>
    <row r="2" spans="2:11" ht="15.75" customHeight="1" x14ac:dyDescent="0.2">
      <c r="B2" s="657" t="s">
        <v>295</v>
      </c>
      <c r="C2" s="642"/>
      <c r="D2" s="642"/>
      <c r="E2" s="42"/>
    </row>
    <row r="3" spans="2:11" ht="15.75" customHeight="1" x14ac:dyDescent="0.2">
      <c r="B3" s="657" t="s">
        <v>56</v>
      </c>
      <c r="C3" s="642"/>
      <c r="D3" s="642"/>
      <c r="E3" s="42"/>
    </row>
    <row r="4" spans="2:11" ht="15.75" customHeight="1" x14ac:dyDescent="0.2">
      <c r="B4" s="657" t="s">
        <v>57</v>
      </c>
      <c r="C4" s="642"/>
      <c r="D4" s="642"/>
      <c r="E4" s="42"/>
      <c r="K4" s="1" t="s">
        <v>58</v>
      </c>
    </row>
    <row r="5" spans="2:11" ht="12.75" customHeight="1" x14ac:dyDescent="0.2">
      <c r="E5" s="4"/>
      <c r="K5" s="1" t="s">
        <v>59</v>
      </c>
    </row>
    <row r="6" spans="2:11" ht="12.75" hidden="1" customHeight="1" x14ac:dyDescent="0.2">
      <c r="E6" s="4"/>
      <c r="K6" s="1" t="s">
        <v>60</v>
      </c>
    </row>
    <row r="7" spans="2:11" ht="12.75" hidden="1" customHeight="1" x14ac:dyDescent="0.2">
      <c r="E7" s="4"/>
    </row>
    <row r="8" spans="2:11" ht="15.75" customHeight="1" x14ac:dyDescent="0.2">
      <c r="B8" s="662" t="s">
        <v>61</v>
      </c>
      <c r="C8" s="628"/>
      <c r="D8" s="629"/>
      <c r="E8" s="43"/>
    </row>
    <row r="9" spans="2:11" ht="12.75" customHeight="1" x14ac:dyDescent="0.2">
      <c r="B9" s="14" t="s">
        <v>62</v>
      </c>
      <c r="C9" s="14"/>
      <c r="D9" s="14"/>
      <c r="E9" s="27"/>
    </row>
    <row r="10" spans="2:11" ht="13.5" customHeight="1" x14ac:dyDescent="0.2">
      <c r="C10" s="14"/>
      <c r="D10" s="14"/>
      <c r="E10" s="27"/>
    </row>
    <row r="11" spans="2:11" ht="18" customHeight="1" x14ac:dyDescent="0.2">
      <c r="B11" s="663" t="s">
        <v>63</v>
      </c>
      <c r="C11" s="665" t="s">
        <v>58</v>
      </c>
      <c r="D11" s="666"/>
      <c r="E11" s="667"/>
      <c r="F11" s="44"/>
    </row>
    <row r="12" spans="2:11" ht="24" customHeight="1" x14ac:dyDescent="0.2">
      <c r="B12" s="664"/>
      <c r="C12" s="668"/>
      <c r="D12" s="669"/>
      <c r="E12" s="670"/>
    </row>
    <row r="13" spans="2:11" ht="13.5" customHeight="1" x14ac:dyDescent="0.2">
      <c r="B13" s="26"/>
      <c r="C13" s="14"/>
      <c r="D13" s="14"/>
      <c r="E13" s="27"/>
    </row>
    <row r="14" spans="2:11" ht="15.75" customHeight="1" x14ac:dyDescent="0.25">
      <c r="B14" s="673" t="s">
        <v>58</v>
      </c>
      <c r="C14" s="674"/>
      <c r="D14" s="675"/>
      <c r="E14" s="45"/>
    </row>
    <row r="15" spans="2:11" ht="36" customHeight="1" x14ac:dyDescent="0.2">
      <c r="B15" s="46"/>
      <c r="C15" s="47" t="s">
        <v>64</v>
      </c>
      <c r="D15" s="671" t="s">
        <v>65</v>
      </c>
      <c r="E15" s="672"/>
    </row>
    <row r="16" spans="2:11" ht="12.75" customHeight="1" x14ac:dyDescent="0.2">
      <c r="B16" s="48" t="s">
        <v>66</v>
      </c>
      <c r="C16" s="49"/>
      <c r="D16" s="50"/>
      <c r="E16" s="51"/>
    </row>
    <row r="17" spans="2:7" ht="12.75" customHeight="1" x14ac:dyDescent="0.2">
      <c r="B17" s="52" t="s">
        <v>67</v>
      </c>
      <c r="C17" s="53" t="s">
        <v>68</v>
      </c>
      <c r="D17" s="54" t="s">
        <v>69</v>
      </c>
      <c r="E17" s="51"/>
    </row>
    <row r="18" spans="2:7" ht="12.75" customHeight="1" x14ac:dyDescent="0.2">
      <c r="B18" s="55" t="s">
        <v>70</v>
      </c>
      <c r="C18" s="56">
        <v>843250</v>
      </c>
      <c r="D18" s="57">
        <v>855850</v>
      </c>
      <c r="E18" s="51"/>
      <c r="F18" s="3"/>
      <c r="G18" s="3"/>
    </row>
    <row r="19" spans="2:7" ht="12.75" customHeight="1" x14ac:dyDescent="0.2">
      <c r="B19" s="55" t="s">
        <v>71</v>
      </c>
      <c r="C19" s="56">
        <v>1264875</v>
      </c>
      <c r="D19" s="57">
        <v>1309450</v>
      </c>
      <c r="E19" s="51"/>
      <c r="F19" s="3"/>
      <c r="G19" s="3"/>
    </row>
    <row r="20" spans="2:7" ht="12.75" customHeight="1" x14ac:dyDescent="0.2">
      <c r="B20" s="58" t="s">
        <v>72</v>
      </c>
      <c r="C20" s="56">
        <v>548112.5</v>
      </c>
      <c r="D20" s="57">
        <v>556302.5</v>
      </c>
      <c r="E20" s="51"/>
      <c r="F20" s="3"/>
      <c r="G20" s="3"/>
    </row>
    <row r="21" spans="2:7" ht="12.75" customHeight="1" x14ac:dyDescent="0.2">
      <c r="B21" s="55" t="s">
        <v>73</v>
      </c>
      <c r="C21" s="56">
        <v>90920</v>
      </c>
      <c r="D21" s="57">
        <v>93193</v>
      </c>
      <c r="E21" s="51"/>
      <c r="F21" s="3"/>
      <c r="G21" s="3"/>
    </row>
    <row r="22" spans="2:7" ht="12.75" customHeight="1" x14ac:dyDescent="0.2">
      <c r="B22" s="55" t="s">
        <v>296</v>
      </c>
      <c r="C22" s="56">
        <v>164448</v>
      </c>
      <c r="D22" s="57">
        <v>164448</v>
      </c>
      <c r="E22" s="51"/>
    </row>
    <row r="23" spans="2:7" ht="13.5" customHeight="1" x14ac:dyDescent="0.2">
      <c r="B23" s="55"/>
      <c r="C23" s="59"/>
      <c r="D23" s="60"/>
      <c r="E23" s="61"/>
    </row>
    <row r="24" spans="2:7" ht="13.5" customHeight="1" x14ac:dyDescent="0.2">
      <c r="B24" s="55" t="s">
        <v>74</v>
      </c>
      <c r="C24" s="56">
        <f t="shared" ref="C24:D24" si="0">SUM(C18:C23)</f>
        <v>2911605.5</v>
      </c>
      <c r="D24" s="57">
        <f t="shared" si="0"/>
        <v>2979243.5</v>
      </c>
      <c r="E24" s="51"/>
    </row>
    <row r="25" spans="2:7" ht="12.75" customHeight="1" x14ac:dyDescent="0.2">
      <c r="B25" s="48" t="s">
        <v>75</v>
      </c>
      <c r="C25" s="56"/>
      <c r="D25" s="57"/>
      <c r="E25" s="51"/>
    </row>
    <row r="26" spans="2:7" ht="12.75" customHeight="1" x14ac:dyDescent="0.2">
      <c r="B26" s="55" t="s">
        <v>76</v>
      </c>
      <c r="C26" s="56">
        <v>291160.55</v>
      </c>
      <c r="D26" s="57">
        <v>297924.40000000002</v>
      </c>
      <c r="E26" s="51"/>
    </row>
    <row r="27" spans="2:7" ht="13.5" customHeight="1" x14ac:dyDescent="0.2">
      <c r="B27" s="55"/>
      <c r="C27" s="59"/>
      <c r="D27" s="60"/>
      <c r="E27" s="61"/>
    </row>
    <row r="28" spans="2:7" ht="13.5" customHeight="1" x14ac:dyDescent="0.2">
      <c r="B28" s="55" t="s">
        <v>77</v>
      </c>
      <c r="C28" s="56">
        <f t="shared" ref="C28:D28" si="1">C24+C26</f>
        <v>3202766.05</v>
      </c>
      <c r="D28" s="57">
        <f t="shared" si="1"/>
        <v>3277167.9</v>
      </c>
      <c r="E28" s="51" t="s">
        <v>78</v>
      </c>
    </row>
    <row r="29" spans="2:7" ht="12.75" customHeight="1" x14ac:dyDescent="0.2">
      <c r="B29" s="48" t="s">
        <v>79</v>
      </c>
      <c r="C29" s="56"/>
      <c r="D29" s="57"/>
      <c r="E29" s="51"/>
    </row>
    <row r="30" spans="2:7" ht="12.75" customHeight="1" x14ac:dyDescent="0.2">
      <c r="B30" s="58" t="s">
        <v>80</v>
      </c>
      <c r="C30" s="56">
        <v>2081797.93</v>
      </c>
      <c r="D30" s="57">
        <v>2130159.46</v>
      </c>
      <c r="E30" s="51" t="s">
        <v>81</v>
      </c>
    </row>
    <row r="31" spans="2:7" ht="13.5" customHeight="1" x14ac:dyDescent="0.2">
      <c r="B31" s="62" t="s">
        <v>82</v>
      </c>
      <c r="C31" s="63">
        <f t="shared" ref="C31:D31" si="2">C28+C30</f>
        <v>5284563.9799999995</v>
      </c>
      <c r="D31" s="64">
        <f t="shared" si="2"/>
        <v>5407327.3599999994</v>
      </c>
      <c r="E31" s="65"/>
    </row>
    <row r="32" spans="2:7" ht="13.5" customHeight="1" x14ac:dyDescent="0.2">
      <c r="E32" s="27"/>
    </row>
    <row r="33" spans="2:5" ht="15.75" customHeight="1" x14ac:dyDescent="0.25">
      <c r="B33" s="661" t="s">
        <v>59</v>
      </c>
      <c r="C33" s="652"/>
      <c r="D33" s="650"/>
      <c r="E33" s="66"/>
    </row>
    <row r="34" spans="2:5" ht="12.75" customHeight="1" x14ac:dyDescent="0.2">
      <c r="B34" s="67"/>
      <c r="C34" s="68" t="s">
        <v>15</v>
      </c>
      <c r="D34" s="68" t="s">
        <v>69</v>
      </c>
      <c r="E34" s="69"/>
    </row>
    <row r="35" spans="2:5" ht="12.75" customHeight="1" x14ac:dyDescent="0.2">
      <c r="B35" s="70" t="s">
        <v>83</v>
      </c>
      <c r="C35" s="71" t="s">
        <v>15</v>
      </c>
      <c r="D35" s="71">
        <v>0</v>
      </c>
      <c r="E35" s="72"/>
    </row>
    <row r="36" spans="2:5" ht="12.75" customHeight="1" x14ac:dyDescent="0.2">
      <c r="B36" s="70"/>
      <c r="C36" s="71"/>
      <c r="D36" s="73"/>
      <c r="E36" s="72"/>
    </row>
    <row r="37" spans="2:5" ht="12.75" customHeight="1" x14ac:dyDescent="0.2">
      <c r="B37" s="70" t="s">
        <v>84</v>
      </c>
      <c r="C37" s="71" t="s">
        <v>15</v>
      </c>
      <c r="D37" s="71">
        <v>0</v>
      </c>
      <c r="E37" s="72" t="s">
        <v>85</v>
      </c>
    </row>
    <row r="38" spans="2:5" ht="12.75" customHeight="1" x14ac:dyDescent="0.2">
      <c r="B38" s="70" t="s">
        <v>86</v>
      </c>
      <c r="C38" s="71"/>
      <c r="D38" s="73"/>
      <c r="E38" s="72"/>
    </row>
    <row r="39" spans="2:5" ht="12" customHeight="1" x14ac:dyDescent="0.2">
      <c r="B39" s="70" t="s">
        <v>80</v>
      </c>
      <c r="C39" s="71" t="s">
        <v>15</v>
      </c>
      <c r="D39" s="71">
        <v>0</v>
      </c>
      <c r="E39" s="72" t="s">
        <v>87</v>
      </c>
    </row>
    <row r="40" spans="2:5" ht="13.5" customHeight="1" x14ac:dyDescent="0.2">
      <c r="B40" s="74" t="s">
        <v>88</v>
      </c>
      <c r="C40" s="75" t="s">
        <v>15</v>
      </c>
      <c r="D40" s="75">
        <f>D37+D39</f>
        <v>0</v>
      </c>
      <c r="E40" s="76"/>
    </row>
    <row r="41" spans="2:5" ht="13.5" customHeight="1" x14ac:dyDescent="0.2">
      <c r="E41" s="27"/>
    </row>
    <row r="42" spans="2:5" ht="15.75" customHeight="1" x14ac:dyDescent="0.25">
      <c r="B42" s="661" t="s">
        <v>60</v>
      </c>
      <c r="C42" s="652"/>
      <c r="D42" s="652"/>
      <c r="E42" s="660"/>
    </row>
    <row r="43" spans="2:5" ht="12.75" customHeight="1" x14ac:dyDescent="0.2">
      <c r="B43" s="77"/>
      <c r="C43" s="54" t="s">
        <v>15</v>
      </c>
      <c r="D43" s="54" t="s">
        <v>69</v>
      </c>
      <c r="E43" s="51"/>
    </row>
    <row r="44" spans="2:5" ht="12.75" customHeight="1" x14ac:dyDescent="0.2">
      <c r="B44" s="70" t="s">
        <v>89</v>
      </c>
      <c r="C44" s="57" t="s">
        <v>15</v>
      </c>
      <c r="D44" s="71">
        <v>0</v>
      </c>
      <c r="E44" s="78"/>
    </row>
    <row r="45" spans="2:5" ht="12.75" customHeight="1" x14ac:dyDescent="0.2">
      <c r="B45" s="70" t="s">
        <v>90</v>
      </c>
      <c r="C45" s="57" t="s">
        <v>15</v>
      </c>
      <c r="D45" s="71">
        <f>D44*50%</f>
        <v>0</v>
      </c>
      <c r="E45" s="72" t="s">
        <v>91</v>
      </c>
    </row>
    <row r="46" spans="2:5" ht="13.5" customHeight="1" x14ac:dyDescent="0.2">
      <c r="B46" s="79"/>
      <c r="C46" s="80"/>
      <c r="D46" s="75"/>
      <c r="E46" s="81"/>
    </row>
    <row r="47" spans="2:5" ht="12.75" customHeight="1" x14ac:dyDescent="0.2">
      <c r="B47" s="82"/>
      <c r="C47" s="1"/>
      <c r="D47" s="83"/>
      <c r="E47" s="4"/>
    </row>
    <row r="48" spans="2:5" ht="12.75" customHeight="1" x14ac:dyDescent="0.2">
      <c r="E48" s="4"/>
    </row>
    <row r="49" spans="2:8" s="206" customFormat="1" ht="12.75" customHeight="1" x14ac:dyDescent="0.2">
      <c r="E49" s="4"/>
    </row>
    <row r="50" spans="2:8" s="206" customFormat="1" ht="12.75" customHeight="1" x14ac:dyDescent="0.2">
      <c r="E50" s="4"/>
    </row>
    <row r="51" spans="2:8" s="206" customFormat="1" ht="12.75" customHeight="1" x14ac:dyDescent="0.2">
      <c r="E51" s="4"/>
    </row>
    <row r="52" spans="2:8" s="206" customFormat="1" ht="12.75" customHeight="1" x14ac:dyDescent="0.2">
      <c r="E52" s="4"/>
    </row>
    <row r="53" spans="2:8" s="206" customFormat="1" ht="12.75" customHeight="1" x14ac:dyDescent="0.2">
      <c r="E53" s="4"/>
    </row>
    <row r="54" spans="2:8" s="206" customFormat="1" ht="12.75" customHeight="1" x14ac:dyDescent="0.2">
      <c r="E54" s="4"/>
    </row>
    <row r="55" spans="2:8" ht="15.75" customHeight="1" x14ac:dyDescent="0.2">
      <c r="B55" s="676" t="s">
        <v>92</v>
      </c>
      <c r="C55" s="628"/>
      <c r="D55" s="629"/>
      <c r="E55" s="84"/>
    </row>
    <row r="56" spans="2:8" ht="13.5" customHeight="1" x14ac:dyDescent="0.2">
      <c r="E56" s="4"/>
      <c r="F56" s="4"/>
    </row>
    <row r="57" spans="2:8" ht="17.25" customHeight="1" x14ac:dyDescent="0.25">
      <c r="B57" s="661" t="s">
        <v>93</v>
      </c>
      <c r="C57" s="652"/>
      <c r="D57" s="652"/>
      <c r="E57" s="660"/>
      <c r="F57" s="4"/>
    </row>
    <row r="58" spans="2:8" ht="16.5" customHeight="1" x14ac:dyDescent="0.2">
      <c r="B58" s="85"/>
      <c r="C58" s="1"/>
      <c r="D58" s="86" t="s">
        <v>69</v>
      </c>
      <c r="E58" s="87"/>
      <c r="F58" s="4"/>
    </row>
    <row r="59" spans="2:8" ht="12.75" customHeight="1" x14ac:dyDescent="0.2">
      <c r="B59" s="77" t="s">
        <v>94</v>
      </c>
      <c r="C59" s="1"/>
      <c r="D59" s="71">
        <v>2621734.7200000002</v>
      </c>
      <c r="E59" s="87"/>
      <c r="F59" s="4"/>
    </row>
    <row r="60" spans="2:8" ht="12.75" customHeight="1" x14ac:dyDescent="0.2">
      <c r="B60" s="88" t="s">
        <v>95</v>
      </c>
      <c r="C60" s="1"/>
      <c r="D60" s="71"/>
      <c r="E60" s="89"/>
      <c r="F60" s="4"/>
      <c r="G60" s="1"/>
      <c r="H60" s="1"/>
    </row>
    <row r="61" spans="2:8" ht="12.75" customHeight="1" x14ac:dyDescent="0.2">
      <c r="B61" s="70" t="s">
        <v>96</v>
      </c>
      <c r="C61" s="1"/>
      <c r="D61" s="71">
        <v>1704127.57</v>
      </c>
      <c r="E61" s="89"/>
      <c r="F61" s="4"/>
      <c r="G61" s="1"/>
      <c r="H61" s="1"/>
    </row>
    <row r="62" spans="2:8" ht="13.5" customHeight="1" x14ac:dyDescent="0.2">
      <c r="B62" s="90" t="s">
        <v>97</v>
      </c>
      <c r="C62" s="91"/>
      <c r="D62" s="75">
        <f>SUM(D59:D61)</f>
        <v>4325862.29</v>
      </c>
      <c r="E62" s="92"/>
      <c r="F62" s="4"/>
      <c r="G62" s="1"/>
      <c r="H62" s="1"/>
    </row>
    <row r="63" spans="2:8" ht="13.5" customHeight="1" x14ac:dyDescent="0.2">
      <c r="E63" s="4"/>
      <c r="F63" s="4"/>
    </row>
    <row r="64" spans="2:8" ht="15.75" customHeight="1" x14ac:dyDescent="0.25">
      <c r="B64" s="661" t="s">
        <v>98</v>
      </c>
      <c r="C64" s="652"/>
      <c r="D64" s="652"/>
      <c r="E64" s="660"/>
      <c r="F64" s="4"/>
    </row>
    <row r="65" spans="1:26" ht="12.75" customHeight="1" x14ac:dyDescent="0.2">
      <c r="B65" s="93"/>
      <c r="C65" s="86" t="s">
        <v>15</v>
      </c>
      <c r="D65" s="86" t="s">
        <v>69</v>
      </c>
      <c r="E65" s="94"/>
      <c r="F65" s="4"/>
    </row>
    <row r="66" spans="1:26" ht="12.75" customHeight="1" x14ac:dyDescent="0.2">
      <c r="B66" s="95" t="s">
        <v>89</v>
      </c>
      <c r="C66" s="83" t="s">
        <v>15</v>
      </c>
      <c r="D66" s="83">
        <v>0</v>
      </c>
      <c r="E66" s="89"/>
      <c r="F66" s="4"/>
    </row>
    <row r="67" spans="1:26" ht="12.75" customHeight="1" x14ac:dyDescent="0.2">
      <c r="B67" s="95" t="s">
        <v>90</v>
      </c>
      <c r="C67" s="83" t="s">
        <v>15</v>
      </c>
      <c r="D67" s="83">
        <f>D66*50%</f>
        <v>0</v>
      </c>
      <c r="E67" s="89" t="s">
        <v>91</v>
      </c>
      <c r="F67" s="4"/>
    </row>
    <row r="68" spans="1:26" ht="13.5" customHeight="1" x14ac:dyDescent="0.2">
      <c r="B68" s="96"/>
      <c r="C68" s="91"/>
      <c r="D68" s="97"/>
      <c r="E68" s="92"/>
      <c r="F68" s="4"/>
    </row>
    <row r="69" spans="1:26" ht="12.75" customHeight="1" x14ac:dyDescent="0.2">
      <c r="E69" s="4"/>
      <c r="F69" s="4"/>
    </row>
    <row r="70" spans="1:26" ht="12.75" customHeight="1" x14ac:dyDescent="0.2">
      <c r="B70" s="14" t="s">
        <v>99</v>
      </c>
      <c r="E70" s="4"/>
      <c r="F70" s="4"/>
    </row>
    <row r="71" spans="1:26" ht="12.75" customHeight="1" x14ac:dyDescent="0.2">
      <c r="B71" s="14" t="s">
        <v>100</v>
      </c>
      <c r="E71" s="4"/>
      <c r="F71" s="4"/>
    </row>
    <row r="72" spans="1:26" ht="12.75" customHeight="1" x14ac:dyDescent="0.2">
      <c r="B72" s="14" t="s">
        <v>101</v>
      </c>
      <c r="E72" s="4"/>
      <c r="F72" s="4"/>
    </row>
    <row r="73" spans="1:26" ht="12.75" customHeight="1" x14ac:dyDescent="0.2">
      <c r="B73" s="98" t="s">
        <v>102</v>
      </c>
      <c r="E73" s="4"/>
      <c r="F73" s="4"/>
    </row>
    <row r="74" spans="1:26" ht="12.75" customHeight="1" x14ac:dyDescent="0.2">
      <c r="B74" s="98" t="s">
        <v>103</v>
      </c>
      <c r="E74" s="4"/>
      <c r="K74" s="26"/>
      <c r="L74" s="26"/>
      <c r="M74" s="26"/>
      <c r="N74" s="26"/>
      <c r="O74" s="26"/>
    </row>
    <row r="75" spans="1:26" ht="12.75" customHeight="1" x14ac:dyDescent="0.2">
      <c r="E75" s="4"/>
      <c r="K75" s="26"/>
      <c r="L75" s="26"/>
      <c r="M75" s="26"/>
      <c r="N75" s="26"/>
      <c r="O75" s="26"/>
    </row>
    <row r="76" spans="1:26" ht="12.75" customHeight="1" x14ac:dyDescent="0.2">
      <c r="B76" s="14" t="s">
        <v>15</v>
      </c>
      <c r="E76" s="4"/>
      <c r="K76" s="26"/>
      <c r="L76" s="26"/>
      <c r="M76" s="26"/>
      <c r="N76" s="26"/>
      <c r="O76" s="26"/>
    </row>
    <row r="77" spans="1:26" ht="12.75" customHeight="1" x14ac:dyDescent="0.2">
      <c r="A77" s="26"/>
      <c r="B77" s="99" t="s">
        <v>355</v>
      </c>
      <c r="C77" s="26"/>
      <c r="D77" s="26"/>
      <c r="E77" s="26"/>
      <c r="F77" s="26"/>
      <c r="G77" s="26"/>
      <c r="H77" s="26"/>
      <c r="I77" s="26"/>
      <c r="J77" s="26"/>
      <c r="P77" s="26"/>
      <c r="Q77" s="26"/>
      <c r="R77" s="26"/>
      <c r="S77" s="26"/>
      <c r="T77" s="26"/>
      <c r="U77" s="26"/>
      <c r="V77" s="26"/>
      <c r="W77" s="26"/>
      <c r="X77" s="26"/>
      <c r="Y77" s="26"/>
      <c r="Z77" s="26"/>
    </row>
    <row r="78" spans="1:26" ht="18" customHeight="1" x14ac:dyDescent="0.2">
      <c r="A78" s="26"/>
      <c r="B78" s="99" t="s">
        <v>297</v>
      </c>
      <c r="C78" s="26"/>
      <c r="D78" s="26"/>
      <c r="E78" s="26"/>
      <c r="F78" s="26"/>
      <c r="G78" s="26"/>
      <c r="H78" s="26"/>
      <c r="I78" s="26"/>
      <c r="J78" s="26"/>
      <c r="P78" s="26"/>
      <c r="Q78" s="26"/>
      <c r="R78" s="26"/>
      <c r="S78" s="26"/>
      <c r="T78" s="26"/>
      <c r="U78" s="26"/>
      <c r="V78" s="26"/>
      <c r="W78" s="26"/>
      <c r="X78" s="26"/>
      <c r="Y78" s="26"/>
      <c r="Z78" s="26"/>
    </row>
    <row r="79" spans="1:26" ht="12.75" customHeight="1" x14ac:dyDescent="0.2">
      <c r="A79" s="99"/>
      <c r="B79" s="26"/>
      <c r="C79" s="26"/>
      <c r="D79" s="26"/>
      <c r="E79" s="26"/>
      <c r="F79" s="26"/>
      <c r="G79" s="26"/>
      <c r="H79" s="26"/>
      <c r="I79" s="26"/>
      <c r="J79" s="26"/>
      <c r="P79" s="26"/>
      <c r="Q79" s="26"/>
      <c r="R79" s="26"/>
      <c r="S79" s="26"/>
      <c r="T79" s="26"/>
      <c r="U79" s="26"/>
      <c r="V79" s="26"/>
      <c r="W79" s="26"/>
      <c r="X79" s="26"/>
      <c r="Y79" s="26"/>
      <c r="Z79" s="26"/>
    </row>
    <row r="80" spans="1:26" ht="12.75" customHeight="1" x14ac:dyDescent="0.2">
      <c r="E80" s="4"/>
    </row>
    <row r="81" spans="2:5" ht="18" customHeight="1" x14ac:dyDescent="0.25">
      <c r="B81" s="40" t="s">
        <v>21</v>
      </c>
      <c r="C81" s="41"/>
      <c r="D81" s="2"/>
      <c r="E81" s="2"/>
    </row>
    <row r="82" spans="2:5" ht="12.75" customHeight="1" x14ac:dyDescent="0.2">
      <c r="E82" s="4"/>
    </row>
    <row r="83" spans="2:5" ht="12.75" customHeight="1" x14ac:dyDescent="0.2">
      <c r="E83" s="4"/>
    </row>
    <row r="84" spans="2:5" ht="12.75" customHeight="1" x14ac:dyDescent="0.2">
      <c r="E84" s="4"/>
    </row>
    <row r="85" spans="2:5" ht="12.75" customHeight="1" x14ac:dyDescent="0.2">
      <c r="E85" s="4"/>
    </row>
    <row r="86" spans="2:5" ht="12.75" customHeight="1" x14ac:dyDescent="0.2">
      <c r="E86" s="4"/>
    </row>
    <row r="87" spans="2:5" ht="12.75" customHeight="1" x14ac:dyDescent="0.2">
      <c r="E87" s="4"/>
    </row>
    <row r="88" spans="2:5" ht="12.75" customHeight="1" x14ac:dyDescent="0.2">
      <c r="E88" s="4"/>
    </row>
    <row r="89" spans="2:5" ht="12.75" customHeight="1" x14ac:dyDescent="0.2">
      <c r="E89" s="4"/>
    </row>
    <row r="90" spans="2:5" ht="12.75" customHeight="1" x14ac:dyDescent="0.2">
      <c r="E90" s="4"/>
    </row>
    <row r="91" spans="2:5" ht="12.75" customHeight="1" x14ac:dyDescent="0.2">
      <c r="E91" s="4"/>
    </row>
    <row r="92" spans="2:5" ht="12.75" customHeight="1" x14ac:dyDescent="0.2">
      <c r="E92" s="4"/>
    </row>
    <row r="93" spans="2:5" ht="12.75" customHeight="1" x14ac:dyDescent="0.2">
      <c r="E93" s="4"/>
    </row>
    <row r="94" spans="2:5" ht="12.75" customHeight="1" x14ac:dyDescent="0.2">
      <c r="E94" s="4"/>
    </row>
    <row r="95" spans="2:5" ht="12.75" customHeight="1" x14ac:dyDescent="0.2">
      <c r="E95" s="4"/>
    </row>
    <row r="96" spans="2:5" ht="12.75" customHeight="1" x14ac:dyDescent="0.2">
      <c r="E96" s="4"/>
    </row>
    <row r="97" spans="5:5" ht="12.75" customHeight="1" x14ac:dyDescent="0.2">
      <c r="E97" s="4"/>
    </row>
    <row r="98" spans="5:5" ht="12.75" customHeight="1" x14ac:dyDescent="0.2">
      <c r="E98" s="4"/>
    </row>
    <row r="99" spans="5:5" ht="12.75" customHeight="1" x14ac:dyDescent="0.2">
      <c r="E99" s="4"/>
    </row>
    <row r="100" spans="5:5" ht="12.75" customHeight="1" x14ac:dyDescent="0.2">
      <c r="E100" s="4"/>
    </row>
    <row r="101" spans="5:5" ht="12.75" customHeight="1" x14ac:dyDescent="0.2">
      <c r="E101" s="4"/>
    </row>
    <row r="102" spans="5:5" ht="12.75" customHeight="1" x14ac:dyDescent="0.2">
      <c r="E102" s="4"/>
    </row>
    <row r="103" spans="5:5" ht="12.75" customHeight="1" x14ac:dyDescent="0.2">
      <c r="E103" s="4"/>
    </row>
    <row r="104" spans="5:5" ht="12.75" customHeight="1" x14ac:dyDescent="0.2">
      <c r="E104" s="4"/>
    </row>
    <row r="105" spans="5:5" ht="12.75" customHeight="1" x14ac:dyDescent="0.2">
      <c r="E105" s="4"/>
    </row>
    <row r="106" spans="5:5" ht="12.75" customHeight="1" x14ac:dyDescent="0.2">
      <c r="E106" s="4"/>
    </row>
    <row r="107" spans="5:5" ht="12.75" customHeight="1" x14ac:dyDescent="0.2">
      <c r="E107" s="4"/>
    </row>
    <row r="108" spans="5:5" ht="12.75" customHeight="1" x14ac:dyDescent="0.2">
      <c r="E108" s="4"/>
    </row>
    <row r="109" spans="5:5" ht="12.75" customHeight="1" x14ac:dyDescent="0.2">
      <c r="E109" s="4"/>
    </row>
    <row r="110" spans="5:5" ht="12.75" customHeight="1" x14ac:dyDescent="0.2">
      <c r="E110" s="4"/>
    </row>
    <row r="111" spans="5:5" ht="12.75" customHeight="1" x14ac:dyDescent="0.2">
      <c r="E111" s="4"/>
    </row>
    <row r="112" spans="5:5" ht="12.75" customHeight="1" x14ac:dyDescent="0.2">
      <c r="E112" s="4"/>
    </row>
    <row r="113" spans="5:5" ht="12.75" customHeight="1" x14ac:dyDescent="0.2">
      <c r="E113" s="4"/>
    </row>
    <row r="114" spans="5:5" ht="12.75" customHeight="1" x14ac:dyDescent="0.2">
      <c r="E114" s="4"/>
    </row>
    <row r="115" spans="5:5" ht="12.75" customHeight="1" x14ac:dyDescent="0.2">
      <c r="E115" s="4"/>
    </row>
    <row r="116" spans="5:5" ht="12.75" customHeight="1" x14ac:dyDescent="0.2">
      <c r="E116" s="4"/>
    </row>
    <row r="117" spans="5:5" ht="12.75" customHeight="1" x14ac:dyDescent="0.2">
      <c r="E117" s="4"/>
    </row>
    <row r="118" spans="5:5" ht="12.75" customHeight="1" x14ac:dyDescent="0.2">
      <c r="E118" s="4"/>
    </row>
    <row r="119" spans="5:5" ht="12.75" customHeight="1" x14ac:dyDescent="0.2">
      <c r="E119" s="4"/>
    </row>
    <row r="120" spans="5:5" ht="12.75" customHeight="1" x14ac:dyDescent="0.2">
      <c r="E120" s="4"/>
    </row>
    <row r="121" spans="5:5" ht="12.75" customHeight="1" x14ac:dyDescent="0.2">
      <c r="E121" s="4"/>
    </row>
    <row r="122" spans="5:5" ht="12.75" customHeight="1" x14ac:dyDescent="0.2">
      <c r="E122" s="4"/>
    </row>
    <row r="123" spans="5:5" ht="12.75" customHeight="1" x14ac:dyDescent="0.2">
      <c r="E123" s="4"/>
    </row>
    <row r="124" spans="5:5" ht="12.75" customHeight="1" x14ac:dyDescent="0.2">
      <c r="E124" s="4"/>
    </row>
    <row r="125" spans="5:5" ht="12.75" customHeight="1" x14ac:dyDescent="0.2">
      <c r="E125" s="4"/>
    </row>
    <row r="126" spans="5:5" ht="12.75" customHeight="1" x14ac:dyDescent="0.2">
      <c r="E126" s="4"/>
    </row>
    <row r="127" spans="5:5" ht="12.75" customHeight="1" x14ac:dyDescent="0.2">
      <c r="E127" s="4"/>
    </row>
    <row r="128" spans="5:5" ht="12.75" customHeight="1" x14ac:dyDescent="0.2">
      <c r="E128" s="4"/>
    </row>
    <row r="129" spans="5:5" ht="12.75" customHeight="1" x14ac:dyDescent="0.2">
      <c r="E129" s="4"/>
    </row>
    <row r="130" spans="5:5" ht="12.75" customHeight="1" x14ac:dyDescent="0.2">
      <c r="E130" s="4"/>
    </row>
    <row r="131" spans="5:5" ht="12.75" customHeight="1" x14ac:dyDescent="0.2">
      <c r="E131" s="4"/>
    </row>
    <row r="132" spans="5:5" ht="12.75" customHeight="1" x14ac:dyDescent="0.2">
      <c r="E132" s="4"/>
    </row>
    <row r="133" spans="5:5" ht="12.75" customHeight="1" x14ac:dyDescent="0.2">
      <c r="E133" s="4"/>
    </row>
    <row r="134" spans="5:5" ht="12.75" customHeight="1" x14ac:dyDescent="0.2">
      <c r="E134" s="4"/>
    </row>
    <row r="135" spans="5:5" ht="12.75" customHeight="1" x14ac:dyDescent="0.2">
      <c r="E135" s="4"/>
    </row>
    <row r="136" spans="5:5" ht="12.75" customHeight="1" x14ac:dyDescent="0.2">
      <c r="E136" s="4"/>
    </row>
    <row r="137" spans="5:5" ht="12.75" customHeight="1" x14ac:dyDescent="0.2">
      <c r="E137" s="4"/>
    </row>
    <row r="138" spans="5:5" ht="12.75" customHeight="1" x14ac:dyDescent="0.2">
      <c r="E138" s="4"/>
    </row>
    <row r="139" spans="5:5" ht="12.75" customHeight="1" x14ac:dyDescent="0.2">
      <c r="E139" s="4"/>
    </row>
    <row r="140" spans="5:5" ht="12.75" customHeight="1" x14ac:dyDescent="0.2">
      <c r="E140" s="4"/>
    </row>
    <row r="141" spans="5:5" ht="12.75" customHeight="1" x14ac:dyDescent="0.2">
      <c r="E141" s="4"/>
    </row>
    <row r="142" spans="5:5" ht="12.75" customHeight="1" x14ac:dyDescent="0.2">
      <c r="E142" s="4"/>
    </row>
    <row r="143" spans="5:5" ht="12.75" customHeight="1" x14ac:dyDescent="0.2">
      <c r="E143" s="4"/>
    </row>
    <row r="144" spans="5:5" ht="12.75" customHeight="1" x14ac:dyDescent="0.2">
      <c r="E144" s="4"/>
    </row>
    <row r="145" spans="5:5" ht="12.75" customHeight="1" x14ac:dyDescent="0.2">
      <c r="E145" s="4"/>
    </row>
    <row r="146" spans="5:5" ht="12.75" customHeight="1" x14ac:dyDescent="0.2">
      <c r="E146" s="4"/>
    </row>
    <row r="147" spans="5:5" ht="12.75" customHeight="1" x14ac:dyDescent="0.2">
      <c r="E147" s="4"/>
    </row>
    <row r="148" spans="5:5" ht="12.75" customHeight="1" x14ac:dyDescent="0.2">
      <c r="E148" s="4"/>
    </row>
    <row r="149" spans="5:5" ht="12.75" customHeight="1" x14ac:dyDescent="0.2">
      <c r="E149" s="4"/>
    </row>
    <row r="150" spans="5:5" ht="12.75" customHeight="1" x14ac:dyDescent="0.2">
      <c r="E150" s="4"/>
    </row>
    <row r="151" spans="5:5" ht="12.75" customHeight="1" x14ac:dyDescent="0.2">
      <c r="E151" s="4"/>
    </row>
    <row r="152" spans="5:5" ht="12.75" customHeight="1" x14ac:dyDescent="0.2">
      <c r="E152" s="4"/>
    </row>
    <row r="153" spans="5:5" ht="12.75" customHeight="1" x14ac:dyDescent="0.2">
      <c r="E153" s="4"/>
    </row>
    <row r="154" spans="5:5" ht="12.75" customHeight="1" x14ac:dyDescent="0.2">
      <c r="E154" s="4"/>
    </row>
    <row r="155" spans="5:5" ht="12.75" customHeight="1" x14ac:dyDescent="0.2">
      <c r="E155" s="4"/>
    </row>
    <row r="156" spans="5:5" ht="12.75" customHeight="1" x14ac:dyDescent="0.2">
      <c r="E156" s="4"/>
    </row>
    <row r="157" spans="5:5" ht="12.75" customHeight="1" x14ac:dyDescent="0.2">
      <c r="E157" s="4"/>
    </row>
    <row r="158" spans="5:5" ht="12.75" customHeight="1" x14ac:dyDescent="0.2">
      <c r="E158" s="4"/>
    </row>
    <row r="159" spans="5:5" ht="12.75" customHeight="1" x14ac:dyDescent="0.2">
      <c r="E159" s="4"/>
    </row>
    <row r="160" spans="5:5" ht="12.75" customHeight="1" x14ac:dyDescent="0.2">
      <c r="E160" s="4"/>
    </row>
    <row r="161" spans="5:5" ht="12.75" customHeight="1" x14ac:dyDescent="0.2">
      <c r="E161" s="4"/>
    </row>
    <row r="162" spans="5:5" ht="12.75" customHeight="1" x14ac:dyDescent="0.2">
      <c r="E162" s="4"/>
    </row>
    <row r="163" spans="5:5" ht="12.75" customHeight="1" x14ac:dyDescent="0.2">
      <c r="E163" s="4"/>
    </row>
    <row r="164" spans="5:5" ht="12.75" customHeight="1" x14ac:dyDescent="0.2">
      <c r="E164" s="4"/>
    </row>
    <row r="165" spans="5:5" ht="12.75" customHeight="1" x14ac:dyDescent="0.2">
      <c r="E165" s="4"/>
    </row>
    <row r="166" spans="5:5" ht="12.75" customHeight="1" x14ac:dyDescent="0.2">
      <c r="E166" s="4"/>
    </row>
    <row r="167" spans="5:5" ht="12.75" customHeight="1" x14ac:dyDescent="0.2">
      <c r="E167" s="4"/>
    </row>
    <row r="168" spans="5:5" ht="12.75" customHeight="1" x14ac:dyDescent="0.2">
      <c r="E168" s="4"/>
    </row>
    <row r="169" spans="5:5" ht="12.75" customHeight="1" x14ac:dyDescent="0.2">
      <c r="E169" s="4"/>
    </row>
    <row r="170" spans="5:5" ht="12.75" customHeight="1" x14ac:dyDescent="0.2">
      <c r="E170" s="4"/>
    </row>
    <row r="171" spans="5:5" ht="12.75" customHeight="1" x14ac:dyDescent="0.2">
      <c r="E171" s="4"/>
    </row>
    <row r="172" spans="5:5" ht="12.75" customHeight="1" x14ac:dyDescent="0.2">
      <c r="E172" s="4"/>
    </row>
    <row r="173" spans="5:5" ht="12.75" customHeight="1" x14ac:dyDescent="0.2">
      <c r="E173" s="4"/>
    </row>
    <row r="174" spans="5:5" ht="12.75" customHeight="1" x14ac:dyDescent="0.2">
      <c r="E174" s="4"/>
    </row>
    <row r="175" spans="5:5" ht="12.75" customHeight="1" x14ac:dyDescent="0.2">
      <c r="E175" s="4"/>
    </row>
    <row r="176" spans="5:5" ht="12.75" customHeight="1" x14ac:dyDescent="0.2">
      <c r="E176" s="4"/>
    </row>
    <row r="177" spans="5:5" ht="12.75" customHeight="1" x14ac:dyDescent="0.2">
      <c r="E177" s="4"/>
    </row>
    <row r="178" spans="5:5" ht="12.75" customHeight="1" x14ac:dyDescent="0.2">
      <c r="E178" s="4"/>
    </row>
    <row r="179" spans="5:5" ht="12.75" customHeight="1" x14ac:dyDescent="0.2">
      <c r="E179" s="4"/>
    </row>
    <row r="180" spans="5:5" ht="12.75" customHeight="1" x14ac:dyDescent="0.2">
      <c r="E180" s="4"/>
    </row>
    <row r="181" spans="5:5" ht="12.75" customHeight="1" x14ac:dyDescent="0.2">
      <c r="E181" s="4"/>
    </row>
    <row r="182" spans="5:5" ht="12.75" customHeight="1" x14ac:dyDescent="0.2">
      <c r="E182" s="4"/>
    </row>
    <row r="183" spans="5:5" ht="12.75" customHeight="1" x14ac:dyDescent="0.2">
      <c r="E183" s="4"/>
    </row>
    <row r="184" spans="5:5" ht="12.75" customHeight="1" x14ac:dyDescent="0.2">
      <c r="E184" s="4"/>
    </row>
    <row r="185" spans="5:5" ht="12.75" customHeight="1" x14ac:dyDescent="0.2">
      <c r="E185" s="4"/>
    </row>
    <row r="186" spans="5:5" ht="12.75" customHeight="1" x14ac:dyDescent="0.2">
      <c r="E186" s="4"/>
    </row>
    <row r="187" spans="5:5" ht="12.75" customHeight="1" x14ac:dyDescent="0.2">
      <c r="E187" s="4"/>
    </row>
    <row r="188" spans="5:5" ht="12.75" customHeight="1" x14ac:dyDescent="0.2">
      <c r="E188" s="4"/>
    </row>
    <row r="189" spans="5:5" ht="12.75" customHeight="1" x14ac:dyDescent="0.2">
      <c r="E189" s="4"/>
    </row>
    <row r="190" spans="5:5" ht="12.75" customHeight="1" x14ac:dyDescent="0.2">
      <c r="E190" s="4"/>
    </row>
    <row r="191" spans="5:5" ht="12.75" customHeight="1" x14ac:dyDescent="0.2">
      <c r="E191" s="4"/>
    </row>
    <row r="192" spans="5:5" ht="12.75" customHeight="1" x14ac:dyDescent="0.2">
      <c r="E192" s="4"/>
    </row>
    <row r="193" spans="5:5" ht="12.75" customHeight="1" x14ac:dyDescent="0.2">
      <c r="E193" s="4"/>
    </row>
    <row r="194" spans="5:5" ht="12.75" customHeight="1" x14ac:dyDescent="0.2">
      <c r="E194" s="4"/>
    </row>
    <row r="195" spans="5:5" ht="12.75" customHeight="1" x14ac:dyDescent="0.2">
      <c r="E195" s="4"/>
    </row>
    <row r="196" spans="5:5" ht="12.75" customHeight="1" x14ac:dyDescent="0.2">
      <c r="E196" s="4"/>
    </row>
    <row r="197" spans="5:5" ht="12.75" customHeight="1" x14ac:dyDescent="0.2">
      <c r="E197" s="4"/>
    </row>
    <row r="198" spans="5:5" ht="12.75" customHeight="1" x14ac:dyDescent="0.2">
      <c r="E198" s="4"/>
    </row>
    <row r="199" spans="5:5" ht="12.75" customHeight="1" x14ac:dyDescent="0.2">
      <c r="E199" s="4"/>
    </row>
    <row r="200" spans="5:5" ht="12.75" customHeight="1" x14ac:dyDescent="0.2">
      <c r="E200" s="4"/>
    </row>
    <row r="201" spans="5:5" ht="12.75" customHeight="1" x14ac:dyDescent="0.2">
      <c r="E201" s="4"/>
    </row>
    <row r="202" spans="5:5" ht="12.75" customHeight="1" x14ac:dyDescent="0.2">
      <c r="E202" s="4"/>
    </row>
    <row r="203" spans="5:5" ht="12.75" customHeight="1" x14ac:dyDescent="0.2">
      <c r="E203" s="4"/>
    </row>
    <row r="204" spans="5:5" ht="12.75" customHeight="1" x14ac:dyDescent="0.2">
      <c r="E204" s="4"/>
    </row>
    <row r="205" spans="5:5" ht="12.75" customHeight="1" x14ac:dyDescent="0.2">
      <c r="E205" s="4"/>
    </row>
    <row r="206" spans="5:5" ht="12.75" customHeight="1" x14ac:dyDescent="0.2">
      <c r="E206" s="4"/>
    </row>
    <row r="207" spans="5:5" ht="12.75" customHeight="1" x14ac:dyDescent="0.2">
      <c r="E207" s="4"/>
    </row>
    <row r="208" spans="5:5" ht="12.75" customHeight="1" x14ac:dyDescent="0.2">
      <c r="E208" s="4"/>
    </row>
    <row r="209" spans="5:5" ht="12.75" customHeight="1" x14ac:dyDescent="0.2">
      <c r="E209" s="4"/>
    </row>
    <row r="210" spans="5:5" ht="12.75" customHeight="1" x14ac:dyDescent="0.2">
      <c r="E210" s="4"/>
    </row>
    <row r="211" spans="5:5" ht="12.75" customHeight="1" x14ac:dyDescent="0.2">
      <c r="E211" s="4"/>
    </row>
    <row r="212" spans="5:5" ht="12.75" customHeight="1" x14ac:dyDescent="0.2">
      <c r="E212" s="4"/>
    </row>
    <row r="213" spans="5:5" ht="12.75" customHeight="1" x14ac:dyDescent="0.2">
      <c r="E213" s="4"/>
    </row>
    <row r="214" spans="5:5" ht="12.75" customHeight="1" x14ac:dyDescent="0.2">
      <c r="E214" s="4"/>
    </row>
    <row r="215" spans="5:5" ht="12.75" customHeight="1" x14ac:dyDescent="0.2">
      <c r="E215" s="4"/>
    </row>
    <row r="216" spans="5:5" ht="12.75" customHeight="1" x14ac:dyDescent="0.2">
      <c r="E216" s="4"/>
    </row>
    <row r="217" spans="5:5" ht="12.75" customHeight="1" x14ac:dyDescent="0.2">
      <c r="E217" s="4"/>
    </row>
    <row r="218" spans="5:5" ht="12.75" customHeight="1" x14ac:dyDescent="0.2">
      <c r="E218" s="4"/>
    </row>
    <row r="219" spans="5:5" ht="12.75" customHeight="1" x14ac:dyDescent="0.2">
      <c r="E219" s="4"/>
    </row>
    <row r="220" spans="5:5" ht="12.75" customHeight="1" x14ac:dyDescent="0.2">
      <c r="E220" s="4"/>
    </row>
    <row r="221" spans="5:5" ht="12.75" customHeight="1" x14ac:dyDescent="0.2">
      <c r="E221" s="4"/>
    </row>
    <row r="222" spans="5:5" ht="12.75" customHeight="1" x14ac:dyDescent="0.2">
      <c r="E222" s="4"/>
    </row>
    <row r="223" spans="5:5" ht="12.75" customHeight="1" x14ac:dyDescent="0.2">
      <c r="E223" s="4"/>
    </row>
    <row r="224" spans="5:5" ht="12.75" customHeight="1" x14ac:dyDescent="0.2">
      <c r="E224" s="4"/>
    </row>
    <row r="225" spans="5:5" ht="12.75" customHeight="1" x14ac:dyDescent="0.2">
      <c r="E225" s="4"/>
    </row>
    <row r="226" spans="5:5" ht="12.75" customHeight="1" x14ac:dyDescent="0.2">
      <c r="E226" s="4"/>
    </row>
    <row r="227" spans="5:5" ht="12.75" customHeight="1" x14ac:dyDescent="0.2">
      <c r="E227" s="4"/>
    </row>
    <row r="228" spans="5:5" ht="12.75" customHeight="1" x14ac:dyDescent="0.2">
      <c r="E228" s="4"/>
    </row>
    <row r="229" spans="5:5" ht="12.75" customHeight="1" x14ac:dyDescent="0.2">
      <c r="E229" s="4"/>
    </row>
    <row r="230" spans="5:5" ht="12.75" customHeight="1" x14ac:dyDescent="0.2">
      <c r="E230" s="4"/>
    </row>
    <row r="231" spans="5:5" ht="12.75" customHeight="1" x14ac:dyDescent="0.2">
      <c r="E231" s="4"/>
    </row>
    <row r="232" spans="5:5" ht="12.75" customHeight="1" x14ac:dyDescent="0.2">
      <c r="E232" s="4"/>
    </row>
    <row r="233" spans="5:5" ht="12.75" customHeight="1" x14ac:dyDescent="0.2">
      <c r="E233" s="4"/>
    </row>
    <row r="234" spans="5:5" ht="12.75" customHeight="1" x14ac:dyDescent="0.2">
      <c r="E234" s="4"/>
    </row>
    <row r="235" spans="5:5" ht="12.75" customHeight="1" x14ac:dyDescent="0.2">
      <c r="E235" s="4"/>
    </row>
    <row r="236" spans="5:5" ht="12.75" customHeight="1" x14ac:dyDescent="0.2">
      <c r="E236" s="4"/>
    </row>
    <row r="237" spans="5:5" ht="12.75" customHeight="1" x14ac:dyDescent="0.2">
      <c r="E237" s="4"/>
    </row>
    <row r="238" spans="5:5" ht="12.75" customHeight="1" x14ac:dyDescent="0.2">
      <c r="E238" s="4"/>
    </row>
    <row r="239" spans="5:5" ht="12.75" customHeight="1" x14ac:dyDescent="0.2">
      <c r="E239" s="4"/>
    </row>
    <row r="240" spans="5:5" ht="12.75" customHeight="1" x14ac:dyDescent="0.2">
      <c r="E240" s="4"/>
    </row>
    <row r="241" spans="5:5" ht="12.75" customHeight="1" x14ac:dyDescent="0.2">
      <c r="E241" s="4"/>
    </row>
    <row r="242" spans="5:5" ht="12.75" customHeight="1" x14ac:dyDescent="0.2">
      <c r="E242" s="4"/>
    </row>
    <row r="243" spans="5:5" ht="12.75" customHeight="1" x14ac:dyDescent="0.2">
      <c r="E243" s="4"/>
    </row>
    <row r="244" spans="5:5" ht="12.75" customHeight="1" x14ac:dyDescent="0.2">
      <c r="E244" s="4"/>
    </row>
    <row r="245" spans="5:5" ht="12.75" customHeight="1" x14ac:dyDescent="0.2">
      <c r="E245" s="4"/>
    </row>
    <row r="246" spans="5:5" ht="12.75" customHeight="1" x14ac:dyDescent="0.2">
      <c r="E246" s="4"/>
    </row>
    <row r="247" spans="5:5" ht="12.75" customHeight="1" x14ac:dyDescent="0.2">
      <c r="E247" s="4"/>
    </row>
    <row r="248" spans="5:5" ht="12.75" customHeight="1" x14ac:dyDescent="0.2">
      <c r="E248" s="4"/>
    </row>
    <row r="249" spans="5:5" ht="12.75" customHeight="1" x14ac:dyDescent="0.2">
      <c r="E249" s="4"/>
    </row>
    <row r="250" spans="5:5" ht="12.75" customHeight="1" x14ac:dyDescent="0.2">
      <c r="E250" s="4"/>
    </row>
    <row r="251" spans="5:5" ht="12.75" customHeight="1" x14ac:dyDescent="0.2">
      <c r="E251" s="4"/>
    </row>
    <row r="252" spans="5:5" ht="12.75" customHeight="1" x14ac:dyDescent="0.2">
      <c r="E252" s="4"/>
    </row>
    <row r="253" spans="5:5" ht="12.75" customHeight="1" x14ac:dyDescent="0.2">
      <c r="E253" s="4"/>
    </row>
    <row r="254" spans="5:5" ht="12.75" customHeight="1" x14ac:dyDescent="0.2">
      <c r="E254" s="4"/>
    </row>
    <row r="255" spans="5:5" ht="12.75" customHeight="1" x14ac:dyDescent="0.2">
      <c r="E255" s="4"/>
    </row>
    <row r="256" spans="5:5" ht="12.75" customHeight="1" x14ac:dyDescent="0.2">
      <c r="E256" s="4"/>
    </row>
    <row r="257" spans="5:5" ht="12.75" customHeight="1" x14ac:dyDescent="0.2">
      <c r="E257" s="4"/>
    </row>
    <row r="258" spans="5:5" ht="12.75" customHeight="1" x14ac:dyDescent="0.2">
      <c r="E258" s="4"/>
    </row>
    <row r="259" spans="5:5" ht="12.75" customHeight="1" x14ac:dyDescent="0.2">
      <c r="E259" s="4"/>
    </row>
    <row r="260" spans="5:5" ht="12.75" customHeight="1" x14ac:dyDescent="0.2">
      <c r="E260" s="4"/>
    </row>
    <row r="261" spans="5:5" ht="12.75" customHeight="1" x14ac:dyDescent="0.2">
      <c r="E261" s="4"/>
    </row>
    <row r="262" spans="5:5" ht="12.75" customHeight="1" x14ac:dyDescent="0.2">
      <c r="E262" s="4"/>
    </row>
    <row r="263" spans="5:5" ht="12.75" customHeight="1" x14ac:dyDescent="0.2">
      <c r="E263" s="4"/>
    </row>
    <row r="264" spans="5:5" ht="12.75" customHeight="1" x14ac:dyDescent="0.2">
      <c r="E264" s="4"/>
    </row>
    <row r="265" spans="5:5" ht="12.75" customHeight="1" x14ac:dyDescent="0.2">
      <c r="E265" s="4"/>
    </row>
    <row r="266" spans="5:5" ht="12.75" customHeight="1" x14ac:dyDescent="0.2">
      <c r="E266" s="4"/>
    </row>
    <row r="267" spans="5:5" ht="12.75" customHeight="1" x14ac:dyDescent="0.2">
      <c r="E267" s="4"/>
    </row>
    <row r="268" spans="5:5" ht="12.75" customHeight="1" x14ac:dyDescent="0.2">
      <c r="E268" s="4"/>
    </row>
    <row r="269" spans="5:5" ht="12.75" customHeight="1" x14ac:dyDescent="0.2">
      <c r="E269" s="4"/>
    </row>
    <row r="270" spans="5:5" ht="12.75" customHeight="1" x14ac:dyDescent="0.2">
      <c r="E270" s="4"/>
    </row>
    <row r="271" spans="5:5" ht="12.75" customHeight="1" x14ac:dyDescent="0.2">
      <c r="E271" s="4"/>
    </row>
    <row r="272" spans="5:5" ht="12.75" customHeight="1" x14ac:dyDescent="0.2">
      <c r="E272" s="4"/>
    </row>
    <row r="273" spans="5:5" ht="12.75" customHeight="1" x14ac:dyDescent="0.2">
      <c r="E273" s="4"/>
    </row>
    <row r="274" spans="5:5" ht="12.75" customHeight="1" x14ac:dyDescent="0.2">
      <c r="E274" s="4"/>
    </row>
    <row r="275" spans="5:5" ht="12.75" customHeight="1" x14ac:dyDescent="0.2">
      <c r="E275" s="4"/>
    </row>
    <row r="276" spans="5:5" ht="12.75" customHeight="1" x14ac:dyDescent="0.2">
      <c r="E276" s="4"/>
    </row>
    <row r="277" spans="5:5" ht="12.75" customHeight="1" x14ac:dyDescent="0.2">
      <c r="E277" s="4"/>
    </row>
    <row r="278" spans="5:5" ht="12.75" customHeight="1" x14ac:dyDescent="0.2">
      <c r="E278" s="4"/>
    </row>
    <row r="279" spans="5:5" ht="12.75" customHeight="1" x14ac:dyDescent="0.2">
      <c r="E279" s="4"/>
    </row>
    <row r="280" spans="5:5" ht="12.75" customHeight="1" x14ac:dyDescent="0.2">
      <c r="E280" s="4"/>
    </row>
    <row r="281" spans="5:5" ht="12.75" customHeight="1" x14ac:dyDescent="0.2">
      <c r="E281" s="4"/>
    </row>
    <row r="282" spans="5:5" ht="12.75" customHeight="1" x14ac:dyDescent="0.2">
      <c r="E282" s="4"/>
    </row>
    <row r="283" spans="5:5" ht="12.75" customHeight="1" x14ac:dyDescent="0.2">
      <c r="E283" s="4"/>
    </row>
    <row r="284" spans="5:5" ht="12.75" customHeight="1" x14ac:dyDescent="0.2">
      <c r="E284" s="4"/>
    </row>
    <row r="285" spans="5:5" ht="12.75" customHeight="1" x14ac:dyDescent="0.2">
      <c r="E285" s="4"/>
    </row>
    <row r="286" spans="5:5" ht="12.75" customHeight="1" x14ac:dyDescent="0.2">
      <c r="E286" s="4"/>
    </row>
    <row r="287" spans="5:5" ht="12.75" customHeight="1" x14ac:dyDescent="0.2">
      <c r="E287" s="4"/>
    </row>
    <row r="288" spans="5:5" ht="12.75" customHeight="1" x14ac:dyDescent="0.2">
      <c r="E288" s="4"/>
    </row>
    <row r="289" spans="5:5" ht="12.75" customHeight="1" x14ac:dyDescent="0.2">
      <c r="E289" s="4"/>
    </row>
    <row r="290" spans="5:5" ht="12.75" customHeight="1" x14ac:dyDescent="0.2">
      <c r="E290" s="4"/>
    </row>
    <row r="291" spans="5:5" ht="12.75" customHeight="1" x14ac:dyDescent="0.2">
      <c r="E291" s="4"/>
    </row>
    <row r="292" spans="5:5" ht="12.75" customHeight="1" x14ac:dyDescent="0.2">
      <c r="E292" s="4"/>
    </row>
    <row r="293" spans="5:5" ht="12.75" customHeight="1" x14ac:dyDescent="0.2">
      <c r="E293" s="4"/>
    </row>
    <row r="294" spans="5:5" ht="12.75" customHeight="1" x14ac:dyDescent="0.2">
      <c r="E294" s="4"/>
    </row>
    <row r="295" spans="5:5" ht="12.75" customHeight="1" x14ac:dyDescent="0.2">
      <c r="E295" s="4"/>
    </row>
    <row r="296" spans="5:5" ht="12.75" customHeight="1" x14ac:dyDescent="0.2">
      <c r="E296" s="4"/>
    </row>
    <row r="297" spans="5:5" ht="12.75" customHeight="1" x14ac:dyDescent="0.2">
      <c r="E297" s="4"/>
    </row>
    <row r="298" spans="5:5" ht="12.75" customHeight="1" x14ac:dyDescent="0.2">
      <c r="E298" s="4"/>
    </row>
    <row r="299" spans="5:5" ht="12.75" customHeight="1" x14ac:dyDescent="0.2">
      <c r="E299" s="4"/>
    </row>
    <row r="300" spans="5:5" ht="12.75" customHeight="1" x14ac:dyDescent="0.2">
      <c r="E300" s="4"/>
    </row>
    <row r="301" spans="5:5" ht="12.75" customHeight="1" x14ac:dyDescent="0.2">
      <c r="E301" s="4"/>
    </row>
    <row r="302" spans="5:5" ht="12.75" customHeight="1" x14ac:dyDescent="0.2">
      <c r="E302" s="4"/>
    </row>
    <row r="303" spans="5:5" ht="12.75" customHeight="1" x14ac:dyDescent="0.2">
      <c r="E303" s="4"/>
    </row>
    <row r="304" spans="5:5" ht="12.75" customHeight="1" x14ac:dyDescent="0.2">
      <c r="E304" s="4"/>
    </row>
    <row r="305" spans="5:5" ht="12.75" customHeight="1" x14ac:dyDescent="0.2">
      <c r="E305" s="4"/>
    </row>
    <row r="306" spans="5:5" ht="12.75" customHeight="1" x14ac:dyDescent="0.2">
      <c r="E306" s="4"/>
    </row>
    <row r="307" spans="5:5" ht="12.75" customHeight="1" x14ac:dyDescent="0.2">
      <c r="E307" s="4"/>
    </row>
    <row r="308" spans="5:5" ht="12.75" customHeight="1" x14ac:dyDescent="0.2">
      <c r="E308" s="4"/>
    </row>
    <row r="309" spans="5:5" ht="12.75" customHeight="1" x14ac:dyDescent="0.2">
      <c r="E309" s="4"/>
    </row>
    <row r="310" spans="5:5" ht="12.75" customHeight="1" x14ac:dyDescent="0.2">
      <c r="E310" s="4"/>
    </row>
    <row r="311" spans="5:5" ht="12.75" customHeight="1" x14ac:dyDescent="0.2">
      <c r="E311" s="4"/>
    </row>
    <row r="312" spans="5:5" ht="12.75" customHeight="1" x14ac:dyDescent="0.2">
      <c r="E312" s="4"/>
    </row>
    <row r="313" spans="5:5" ht="12.75" customHeight="1" x14ac:dyDescent="0.2">
      <c r="E313" s="4"/>
    </row>
    <row r="314" spans="5:5" ht="12.75" customHeight="1" x14ac:dyDescent="0.2">
      <c r="E314" s="4"/>
    </row>
    <row r="315" spans="5:5" ht="12.75" customHeight="1" x14ac:dyDescent="0.2">
      <c r="E315" s="4"/>
    </row>
    <row r="316" spans="5:5" ht="12.75" customHeight="1" x14ac:dyDescent="0.2">
      <c r="E316" s="4"/>
    </row>
    <row r="317" spans="5:5" ht="12.75" customHeight="1" x14ac:dyDescent="0.2">
      <c r="E317" s="4"/>
    </row>
    <row r="318" spans="5:5" ht="12.75" customHeight="1" x14ac:dyDescent="0.2">
      <c r="E318" s="4"/>
    </row>
    <row r="319" spans="5:5" ht="12.75" customHeight="1" x14ac:dyDescent="0.2">
      <c r="E319" s="4"/>
    </row>
    <row r="320" spans="5:5" ht="12.75" customHeight="1" x14ac:dyDescent="0.2">
      <c r="E320" s="4"/>
    </row>
    <row r="321" spans="5:5" ht="12.75" customHeight="1" x14ac:dyDescent="0.2">
      <c r="E321" s="4"/>
    </row>
    <row r="322" spans="5:5" ht="12.75" customHeight="1" x14ac:dyDescent="0.2">
      <c r="E322" s="4"/>
    </row>
    <row r="323" spans="5:5" ht="12.75" customHeight="1" x14ac:dyDescent="0.2">
      <c r="E323" s="4"/>
    </row>
    <row r="324" spans="5:5" ht="12.75" customHeight="1" x14ac:dyDescent="0.2">
      <c r="E324" s="4"/>
    </row>
    <row r="325" spans="5:5" ht="12.75" customHeight="1" x14ac:dyDescent="0.2">
      <c r="E325" s="4"/>
    </row>
    <row r="326" spans="5:5" ht="12.75" customHeight="1" x14ac:dyDescent="0.2">
      <c r="E326" s="4"/>
    </row>
    <row r="327" spans="5:5" ht="12.75" customHeight="1" x14ac:dyDescent="0.2">
      <c r="E327" s="4"/>
    </row>
    <row r="328" spans="5:5" ht="12.75" customHeight="1" x14ac:dyDescent="0.2">
      <c r="E328" s="4"/>
    </row>
    <row r="329" spans="5:5" ht="12.75" customHeight="1" x14ac:dyDescent="0.2">
      <c r="E329" s="4"/>
    </row>
    <row r="330" spans="5:5" ht="12.75" customHeight="1" x14ac:dyDescent="0.2">
      <c r="E330" s="4"/>
    </row>
    <row r="331" spans="5:5" ht="12.75" customHeight="1" x14ac:dyDescent="0.2">
      <c r="E331" s="4"/>
    </row>
    <row r="332" spans="5:5" ht="12.75" customHeight="1" x14ac:dyDescent="0.2">
      <c r="E332" s="4"/>
    </row>
    <row r="333" spans="5:5" ht="12.75" customHeight="1" x14ac:dyDescent="0.2">
      <c r="E333" s="4"/>
    </row>
    <row r="334" spans="5:5" ht="12.75" customHeight="1" x14ac:dyDescent="0.2">
      <c r="E334" s="4"/>
    </row>
    <row r="335" spans="5:5" ht="12.75" customHeight="1" x14ac:dyDescent="0.2">
      <c r="E335" s="4"/>
    </row>
    <row r="336" spans="5:5" ht="12.75" customHeight="1" x14ac:dyDescent="0.2">
      <c r="E336" s="4"/>
    </row>
    <row r="337" spans="5:5" ht="12.75" customHeight="1" x14ac:dyDescent="0.2">
      <c r="E337" s="4"/>
    </row>
    <row r="338" spans="5:5" ht="12.75" customHeight="1" x14ac:dyDescent="0.2">
      <c r="E338" s="4"/>
    </row>
    <row r="339" spans="5:5" ht="12.75" customHeight="1" x14ac:dyDescent="0.2">
      <c r="E339" s="4"/>
    </row>
    <row r="340" spans="5:5" ht="12.75" customHeight="1" x14ac:dyDescent="0.2">
      <c r="E340" s="4"/>
    </row>
    <row r="341" spans="5:5" ht="12.75" customHeight="1" x14ac:dyDescent="0.2">
      <c r="E341" s="4"/>
    </row>
    <row r="342" spans="5:5" ht="12.75" customHeight="1" x14ac:dyDescent="0.2">
      <c r="E342" s="4"/>
    </row>
    <row r="343" spans="5:5" ht="12.75" customHeight="1" x14ac:dyDescent="0.2">
      <c r="E343" s="4"/>
    </row>
    <row r="344" spans="5:5" ht="12.75" customHeight="1" x14ac:dyDescent="0.2">
      <c r="E344" s="4"/>
    </row>
    <row r="345" spans="5:5" ht="12.75" customHeight="1" x14ac:dyDescent="0.2">
      <c r="E345" s="4"/>
    </row>
    <row r="346" spans="5:5" ht="12.75" customHeight="1" x14ac:dyDescent="0.2">
      <c r="E346" s="4"/>
    </row>
    <row r="347" spans="5:5" ht="12.75" customHeight="1" x14ac:dyDescent="0.2">
      <c r="E347" s="4"/>
    </row>
    <row r="348" spans="5:5" ht="12.75" customHeight="1" x14ac:dyDescent="0.2">
      <c r="E348" s="4"/>
    </row>
    <row r="349" spans="5:5" ht="12.75" customHeight="1" x14ac:dyDescent="0.2">
      <c r="E349" s="4"/>
    </row>
    <row r="350" spans="5:5" ht="12.75" customHeight="1" x14ac:dyDescent="0.2">
      <c r="E350" s="4"/>
    </row>
    <row r="351" spans="5:5" ht="12.75" customHeight="1" x14ac:dyDescent="0.2">
      <c r="E351" s="4"/>
    </row>
    <row r="352" spans="5:5" ht="12.75" customHeight="1" x14ac:dyDescent="0.2">
      <c r="E352" s="4"/>
    </row>
    <row r="353" spans="5:5" ht="12.75" customHeight="1" x14ac:dyDescent="0.2">
      <c r="E353" s="4"/>
    </row>
    <row r="354" spans="5:5" ht="12.75" customHeight="1" x14ac:dyDescent="0.2">
      <c r="E354" s="4"/>
    </row>
    <row r="355" spans="5:5" ht="12.75" customHeight="1" x14ac:dyDescent="0.2">
      <c r="E355" s="4"/>
    </row>
    <row r="356" spans="5:5" ht="12.75" customHeight="1" x14ac:dyDescent="0.2">
      <c r="E356" s="4"/>
    </row>
    <row r="357" spans="5:5" ht="12.75" customHeight="1" x14ac:dyDescent="0.2">
      <c r="E357" s="4"/>
    </row>
    <row r="358" spans="5:5" ht="12.75" customHeight="1" x14ac:dyDescent="0.2">
      <c r="E358" s="4"/>
    </row>
    <row r="359" spans="5:5" ht="12.75" customHeight="1" x14ac:dyDescent="0.2">
      <c r="E359" s="4"/>
    </row>
    <row r="360" spans="5:5" ht="12.75" customHeight="1" x14ac:dyDescent="0.2">
      <c r="E360" s="4"/>
    </row>
    <row r="361" spans="5:5" ht="12.75" customHeight="1" x14ac:dyDescent="0.2">
      <c r="E361" s="4"/>
    </row>
    <row r="362" spans="5:5" ht="12.75" customHeight="1" x14ac:dyDescent="0.2">
      <c r="E362" s="4"/>
    </row>
    <row r="363" spans="5:5" ht="12.75" customHeight="1" x14ac:dyDescent="0.2">
      <c r="E363" s="4"/>
    </row>
    <row r="364" spans="5:5" ht="12.75" customHeight="1" x14ac:dyDescent="0.2">
      <c r="E364" s="4"/>
    </row>
    <row r="365" spans="5:5" ht="12.75" customHeight="1" x14ac:dyDescent="0.2">
      <c r="E365" s="4"/>
    </row>
    <row r="366" spans="5:5" ht="12.75" customHeight="1" x14ac:dyDescent="0.2">
      <c r="E366" s="4"/>
    </row>
    <row r="367" spans="5:5" ht="12.75" customHeight="1" x14ac:dyDescent="0.2">
      <c r="E367" s="4"/>
    </row>
    <row r="368" spans="5:5" ht="12.75" customHeight="1" x14ac:dyDescent="0.2">
      <c r="E368" s="4"/>
    </row>
    <row r="369" spans="5:5" ht="12.75" customHeight="1" x14ac:dyDescent="0.2">
      <c r="E369" s="4"/>
    </row>
    <row r="370" spans="5:5" ht="12.75" customHeight="1" x14ac:dyDescent="0.2">
      <c r="E370" s="4"/>
    </row>
    <row r="371" spans="5:5" ht="12.75" customHeight="1" x14ac:dyDescent="0.2">
      <c r="E371" s="4"/>
    </row>
    <row r="372" spans="5:5" ht="12.75" customHeight="1" x14ac:dyDescent="0.2">
      <c r="E372" s="4"/>
    </row>
    <row r="373" spans="5:5" ht="12.75" customHeight="1" x14ac:dyDescent="0.2">
      <c r="E373" s="4"/>
    </row>
    <row r="374" spans="5:5" ht="12.75" customHeight="1" x14ac:dyDescent="0.2">
      <c r="E374" s="4"/>
    </row>
    <row r="375" spans="5:5" ht="12.75" customHeight="1" x14ac:dyDescent="0.2">
      <c r="E375" s="4"/>
    </row>
    <row r="376" spans="5:5" ht="12.75" customHeight="1" x14ac:dyDescent="0.2">
      <c r="E376" s="4"/>
    </row>
    <row r="377" spans="5:5" ht="12.75" customHeight="1" x14ac:dyDescent="0.2">
      <c r="E377" s="4"/>
    </row>
    <row r="378" spans="5:5" ht="12.75" customHeight="1" x14ac:dyDescent="0.2">
      <c r="E378" s="4"/>
    </row>
    <row r="379" spans="5:5" ht="12.75" customHeight="1" x14ac:dyDescent="0.2">
      <c r="E379" s="4"/>
    </row>
    <row r="380" spans="5:5" ht="12.75" customHeight="1" x14ac:dyDescent="0.2">
      <c r="E380" s="4"/>
    </row>
    <row r="381" spans="5:5" ht="12.75" customHeight="1" x14ac:dyDescent="0.2">
      <c r="E381" s="4"/>
    </row>
    <row r="382" spans="5:5" ht="12.75" customHeight="1" x14ac:dyDescent="0.2">
      <c r="E382" s="4"/>
    </row>
    <row r="383" spans="5:5" ht="12.75" customHeight="1" x14ac:dyDescent="0.2">
      <c r="E383" s="4"/>
    </row>
    <row r="384" spans="5:5" ht="12.75" customHeight="1" x14ac:dyDescent="0.2">
      <c r="E384" s="4"/>
    </row>
    <row r="385" spans="5:5" ht="12.75" customHeight="1" x14ac:dyDescent="0.2">
      <c r="E385" s="4"/>
    </row>
    <row r="386" spans="5:5" ht="12.75" customHeight="1" x14ac:dyDescent="0.2">
      <c r="E386" s="4"/>
    </row>
    <row r="387" spans="5:5" ht="12.75" customHeight="1" x14ac:dyDescent="0.2">
      <c r="E387" s="4"/>
    </row>
    <row r="388" spans="5:5" ht="12.75" customHeight="1" x14ac:dyDescent="0.2">
      <c r="E388" s="4"/>
    </row>
    <row r="389" spans="5:5" ht="12.75" customHeight="1" x14ac:dyDescent="0.2">
      <c r="E389" s="4"/>
    </row>
    <row r="390" spans="5:5" ht="12.75" customHeight="1" x14ac:dyDescent="0.2">
      <c r="E390" s="4"/>
    </row>
    <row r="391" spans="5:5" ht="12.75" customHeight="1" x14ac:dyDescent="0.2">
      <c r="E391" s="4"/>
    </row>
    <row r="392" spans="5:5" ht="12.75" customHeight="1" x14ac:dyDescent="0.2">
      <c r="E392" s="4"/>
    </row>
    <row r="393" spans="5:5" ht="12.75" customHeight="1" x14ac:dyDescent="0.2">
      <c r="E393" s="4"/>
    </row>
    <row r="394" spans="5:5" ht="12.75" customHeight="1" x14ac:dyDescent="0.2">
      <c r="E394" s="4"/>
    </row>
    <row r="395" spans="5:5" ht="12.75" customHeight="1" x14ac:dyDescent="0.2">
      <c r="E395" s="4"/>
    </row>
    <row r="396" spans="5:5" ht="12.75" customHeight="1" x14ac:dyDescent="0.2">
      <c r="E396" s="4"/>
    </row>
    <row r="397" spans="5:5" ht="12.75" customHeight="1" x14ac:dyDescent="0.2">
      <c r="E397" s="4"/>
    </row>
    <row r="398" spans="5:5" ht="12.75" customHeight="1" x14ac:dyDescent="0.2">
      <c r="E398" s="4"/>
    </row>
    <row r="399" spans="5:5" ht="12.75" customHeight="1" x14ac:dyDescent="0.2">
      <c r="E399" s="4"/>
    </row>
    <row r="400" spans="5:5" ht="12.75" customHeight="1" x14ac:dyDescent="0.2">
      <c r="E400" s="4"/>
    </row>
    <row r="401" spans="5:5" ht="12.75" customHeight="1" x14ac:dyDescent="0.2">
      <c r="E401" s="4"/>
    </row>
    <row r="402" spans="5:5" ht="12.75" customHeight="1" x14ac:dyDescent="0.2">
      <c r="E402" s="4"/>
    </row>
    <row r="403" spans="5:5" ht="12.75" customHeight="1" x14ac:dyDescent="0.2">
      <c r="E403" s="4"/>
    </row>
    <row r="404" spans="5:5" ht="12.75" customHeight="1" x14ac:dyDescent="0.2">
      <c r="E404" s="4"/>
    </row>
    <row r="405" spans="5:5" ht="12.75" customHeight="1" x14ac:dyDescent="0.2">
      <c r="E405" s="4"/>
    </row>
    <row r="406" spans="5:5" ht="12.75" customHeight="1" x14ac:dyDescent="0.2">
      <c r="E406" s="4"/>
    </row>
    <row r="407" spans="5:5" ht="12.75" customHeight="1" x14ac:dyDescent="0.2">
      <c r="E407" s="4"/>
    </row>
    <row r="408" spans="5:5" ht="12.75" customHeight="1" x14ac:dyDescent="0.2">
      <c r="E408" s="4"/>
    </row>
    <row r="409" spans="5:5" ht="12.75" customHeight="1" x14ac:dyDescent="0.2">
      <c r="E409" s="4"/>
    </row>
    <row r="410" spans="5:5" ht="12.75" customHeight="1" x14ac:dyDescent="0.2">
      <c r="E410" s="4"/>
    </row>
    <row r="411" spans="5:5" ht="12.75" customHeight="1" x14ac:dyDescent="0.2">
      <c r="E411" s="4"/>
    </row>
    <row r="412" spans="5:5" ht="12.75" customHeight="1" x14ac:dyDescent="0.2">
      <c r="E412" s="4"/>
    </row>
    <row r="413" spans="5:5" ht="12.75" customHeight="1" x14ac:dyDescent="0.2">
      <c r="E413" s="4"/>
    </row>
    <row r="414" spans="5:5" ht="12.75" customHeight="1" x14ac:dyDescent="0.2">
      <c r="E414" s="4"/>
    </row>
    <row r="415" spans="5:5" ht="12.75" customHeight="1" x14ac:dyDescent="0.2">
      <c r="E415" s="4"/>
    </row>
    <row r="416" spans="5:5" ht="12.75" customHeight="1" x14ac:dyDescent="0.2">
      <c r="E416" s="4"/>
    </row>
    <row r="417" spans="5:5" ht="12.75" customHeight="1" x14ac:dyDescent="0.2">
      <c r="E417" s="4"/>
    </row>
    <row r="418" spans="5:5" ht="12.75" customHeight="1" x14ac:dyDescent="0.2">
      <c r="E418" s="4"/>
    </row>
    <row r="419" spans="5:5" ht="12.75" customHeight="1" x14ac:dyDescent="0.2">
      <c r="E419" s="4"/>
    </row>
    <row r="420" spans="5:5" ht="12.75" customHeight="1" x14ac:dyDescent="0.2">
      <c r="E420" s="4"/>
    </row>
    <row r="421" spans="5:5" ht="12.75" customHeight="1" x14ac:dyDescent="0.2">
      <c r="E421" s="4"/>
    </row>
    <row r="422" spans="5:5" ht="12.75" customHeight="1" x14ac:dyDescent="0.2">
      <c r="E422" s="4"/>
    </row>
    <row r="423" spans="5:5" ht="12.75" customHeight="1" x14ac:dyDescent="0.2">
      <c r="E423" s="4"/>
    </row>
    <row r="424" spans="5:5" ht="12.75" customHeight="1" x14ac:dyDescent="0.2">
      <c r="E424" s="4"/>
    </row>
    <row r="425" spans="5:5" ht="12.75" customHeight="1" x14ac:dyDescent="0.2">
      <c r="E425" s="4"/>
    </row>
    <row r="426" spans="5:5" ht="12.75" customHeight="1" x14ac:dyDescent="0.2">
      <c r="E426" s="4"/>
    </row>
    <row r="427" spans="5:5" ht="12.75" customHeight="1" x14ac:dyDescent="0.2">
      <c r="E427" s="4"/>
    </row>
    <row r="428" spans="5:5" ht="12.75" customHeight="1" x14ac:dyDescent="0.2">
      <c r="E428" s="4"/>
    </row>
    <row r="429" spans="5:5" ht="12.75" customHeight="1" x14ac:dyDescent="0.2">
      <c r="E429" s="4"/>
    </row>
    <row r="430" spans="5:5" ht="12.75" customHeight="1" x14ac:dyDescent="0.2">
      <c r="E430" s="4"/>
    </row>
    <row r="431" spans="5:5" ht="12.75" customHeight="1" x14ac:dyDescent="0.2">
      <c r="E431" s="4"/>
    </row>
    <row r="432" spans="5:5" ht="12.75" customHeight="1" x14ac:dyDescent="0.2">
      <c r="E432" s="4"/>
    </row>
    <row r="433" spans="5:5" ht="12.75" customHeight="1" x14ac:dyDescent="0.2">
      <c r="E433" s="4"/>
    </row>
    <row r="434" spans="5:5" ht="12.75" customHeight="1" x14ac:dyDescent="0.2">
      <c r="E434" s="4"/>
    </row>
    <row r="435" spans="5:5" ht="12.75" customHeight="1" x14ac:dyDescent="0.2">
      <c r="E435" s="4"/>
    </row>
    <row r="436" spans="5:5" ht="12.75" customHeight="1" x14ac:dyDescent="0.2">
      <c r="E436" s="4"/>
    </row>
    <row r="437" spans="5:5" ht="12.75" customHeight="1" x14ac:dyDescent="0.2">
      <c r="E437" s="4"/>
    </row>
    <row r="438" spans="5:5" ht="12.75" customHeight="1" x14ac:dyDescent="0.2">
      <c r="E438" s="4"/>
    </row>
    <row r="439" spans="5:5" ht="12.75" customHeight="1" x14ac:dyDescent="0.2">
      <c r="E439" s="4"/>
    </row>
    <row r="440" spans="5:5" ht="12.75" customHeight="1" x14ac:dyDescent="0.2">
      <c r="E440" s="4"/>
    </row>
    <row r="441" spans="5:5" ht="12.75" customHeight="1" x14ac:dyDescent="0.2">
      <c r="E441" s="4"/>
    </row>
    <row r="442" spans="5:5" ht="12.75" customHeight="1" x14ac:dyDescent="0.2">
      <c r="E442" s="4"/>
    </row>
    <row r="443" spans="5:5" ht="12.75" customHeight="1" x14ac:dyDescent="0.2">
      <c r="E443" s="4"/>
    </row>
    <row r="444" spans="5:5" ht="12.75" customHeight="1" x14ac:dyDescent="0.2">
      <c r="E444" s="4"/>
    </row>
    <row r="445" spans="5:5" ht="12.75" customHeight="1" x14ac:dyDescent="0.2">
      <c r="E445" s="4"/>
    </row>
    <row r="446" spans="5:5" ht="12.75" customHeight="1" x14ac:dyDescent="0.2">
      <c r="E446" s="4"/>
    </row>
    <row r="447" spans="5:5" ht="12.75" customHeight="1" x14ac:dyDescent="0.2">
      <c r="E447" s="4"/>
    </row>
    <row r="448" spans="5:5" ht="12.75" customHeight="1" x14ac:dyDescent="0.2">
      <c r="E448" s="4"/>
    </row>
    <row r="449" spans="5:5" ht="12.75" customHeight="1" x14ac:dyDescent="0.2">
      <c r="E449" s="4"/>
    </row>
    <row r="450" spans="5:5" ht="12.75" customHeight="1" x14ac:dyDescent="0.2">
      <c r="E450" s="4"/>
    </row>
    <row r="451" spans="5:5" ht="12.75" customHeight="1" x14ac:dyDescent="0.2">
      <c r="E451" s="4"/>
    </row>
    <row r="452" spans="5:5" ht="12.75" customHeight="1" x14ac:dyDescent="0.2">
      <c r="E452" s="4"/>
    </row>
    <row r="453" spans="5:5" ht="12.75" customHeight="1" x14ac:dyDescent="0.2">
      <c r="E453" s="4"/>
    </row>
    <row r="454" spans="5:5" ht="12.75" customHeight="1" x14ac:dyDescent="0.2">
      <c r="E454" s="4"/>
    </row>
    <row r="455" spans="5:5" ht="12.75" customHeight="1" x14ac:dyDescent="0.2">
      <c r="E455" s="4"/>
    </row>
    <row r="456" spans="5:5" ht="12.75" customHeight="1" x14ac:dyDescent="0.2">
      <c r="E456" s="4"/>
    </row>
    <row r="457" spans="5:5" ht="12.75" customHeight="1" x14ac:dyDescent="0.2">
      <c r="E457" s="4"/>
    </row>
    <row r="458" spans="5:5" ht="12.75" customHeight="1" x14ac:dyDescent="0.2">
      <c r="E458" s="4"/>
    </row>
    <row r="459" spans="5:5" ht="12.75" customHeight="1" x14ac:dyDescent="0.2">
      <c r="E459" s="4"/>
    </row>
    <row r="460" spans="5:5" ht="12.75" customHeight="1" x14ac:dyDescent="0.2">
      <c r="E460" s="4"/>
    </row>
    <row r="461" spans="5:5" ht="12.75" customHeight="1" x14ac:dyDescent="0.2">
      <c r="E461" s="4"/>
    </row>
    <row r="462" spans="5:5" ht="12.75" customHeight="1" x14ac:dyDescent="0.2">
      <c r="E462" s="4"/>
    </row>
    <row r="463" spans="5:5" ht="12.75" customHeight="1" x14ac:dyDescent="0.2">
      <c r="E463" s="4"/>
    </row>
    <row r="464" spans="5:5" ht="12.75" customHeight="1" x14ac:dyDescent="0.2">
      <c r="E464" s="4"/>
    </row>
    <row r="465" spans="5:5" ht="12.75" customHeight="1" x14ac:dyDescent="0.2">
      <c r="E465" s="4"/>
    </row>
    <row r="466" spans="5:5" ht="12.75" customHeight="1" x14ac:dyDescent="0.2">
      <c r="E466" s="4"/>
    </row>
    <row r="467" spans="5:5" ht="12.75" customHeight="1" x14ac:dyDescent="0.2">
      <c r="E467" s="4"/>
    </row>
    <row r="468" spans="5:5" ht="12.75" customHeight="1" x14ac:dyDescent="0.2">
      <c r="E468" s="4"/>
    </row>
    <row r="469" spans="5:5" ht="12.75" customHeight="1" x14ac:dyDescent="0.2">
      <c r="E469" s="4"/>
    </row>
    <row r="470" spans="5:5" ht="12.75" customHeight="1" x14ac:dyDescent="0.2">
      <c r="E470" s="4"/>
    </row>
    <row r="471" spans="5:5" ht="12.75" customHeight="1" x14ac:dyDescent="0.2">
      <c r="E471" s="4"/>
    </row>
    <row r="472" spans="5:5" ht="12.75" customHeight="1" x14ac:dyDescent="0.2">
      <c r="E472" s="4"/>
    </row>
    <row r="473" spans="5:5" ht="12.75" customHeight="1" x14ac:dyDescent="0.2">
      <c r="E473" s="4"/>
    </row>
    <row r="474" spans="5:5" ht="12.75" customHeight="1" x14ac:dyDescent="0.2">
      <c r="E474" s="4"/>
    </row>
    <row r="475" spans="5:5" ht="12.75" customHeight="1" x14ac:dyDescent="0.2">
      <c r="E475" s="4"/>
    </row>
    <row r="476" spans="5:5" ht="12.75" customHeight="1" x14ac:dyDescent="0.2">
      <c r="E476" s="4"/>
    </row>
    <row r="477" spans="5:5" ht="12.75" customHeight="1" x14ac:dyDescent="0.2">
      <c r="E477" s="4"/>
    </row>
    <row r="478" spans="5:5" ht="12.75" customHeight="1" x14ac:dyDescent="0.2">
      <c r="E478" s="4"/>
    </row>
    <row r="479" spans="5:5" ht="12.75" customHeight="1" x14ac:dyDescent="0.2">
      <c r="E479" s="4"/>
    </row>
    <row r="480" spans="5:5" ht="12.75" customHeight="1" x14ac:dyDescent="0.2">
      <c r="E480" s="4"/>
    </row>
    <row r="481" spans="5:5" ht="12.75" customHeight="1" x14ac:dyDescent="0.2">
      <c r="E481" s="4"/>
    </row>
    <row r="482" spans="5:5" ht="12.75" customHeight="1" x14ac:dyDescent="0.2">
      <c r="E482" s="4"/>
    </row>
    <row r="483" spans="5:5" ht="12.75" customHeight="1" x14ac:dyDescent="0.2">
      <c r="E483" s="4"/>
    </row>
    <row r="484" spans="5:5" ht="12.75" customHeight="1" x14ac:dyDescent="0.2">
      <c r="E484" s="4"/>
    </row>
    <row r="485" spans="5:5" ht="12.75" customHeight="1" x14ac:dyDescent="0.2">
      <c r="E485" s="4"/>
    </row>
    <row r="486" spans="5:5" ht="12.75" customHeight="1" x14ac:dyDescent="0.2">
      <c r="E486" s="4"/>
    </row>
    <row r="487" spans="5:5" ht="12.75" customHeight="1" x14ac:dyDescent="0.2">
      <c r="E487" s="4"/>
    </row>
    <row r="488" spans="5:5" ht="12.75" customHeight="1" x14ac:dyDescent="0.2">
      <c r="E488" s="4"/>
    </row>
    <row r="489" spans="5:5" ht="12.75" customHeight="1" x14ac:dyDescent="0.2">
      <c r="E489" s="4"/>
    </row>
    <row r="490" spans="5:5" ht="12.75" customHeight="1" x14ac:dyDescent="0.2">
      <c r="E490" s="4"/>
    </row>
    <row r="491" spans="5:5" ht="12.75" customHeight="1" x14ac:dyDescent="0.2">
      <c r="E491" s="4"/>
    </row>
    <row r="492" spans="5:5" ht="12.75" customHeight="1" x14ac:dyDescent="0.2">
      <c r="E492" s="4"/>
    </row>
    <row r="493" spans="5:5" ht="12.75" customHeight="1" x14ac:dyDescent="0.2">
      <c r="E493" s="4"/>
    </row>
    <row r="494" spans="5:5" ht="12.75" customHeight="1" x14ac:dyDescent="0.2">
      <c r="E494" s="4"/>
    </row>
    <row r="495" spans="5:5" ht="12.75" customHeight="1" x14ac:dyDescent="0.2">
      <c r="E495" s="4"/>
    </row>
    <row r="496" spans="5:5" ht="12.75" customHeight="1" x14ac:dyDescent="0.2">
      <c r="E496" s="4"/>
    </row>
    <row r="497" spans="5:5" ht="12.75" customHeight="1" x14ac:dyDescent="0.2">
      <c r="E497" s="4"/>
    </row>
    <row r="498" spans="5:5" ht="12.75" customHeight="1" x14ac:dyDescent="0.2">
      <c r="E498" s="4"/>
    </row>
    <row r="499" spans="5:5" ht="12.75" customHeight="1" x14ac:dyDescent="0.2">
      <c r="E499" s="4"/>
    </row>
    <row r="500" spans="5:5" ht="12.75" customHeight="1" x14ac:dyDescent="0.2">
      <c r="E500" s="4"/>
    </row>
    <row r="501" spans="5:5" ht="12.75" customHeight="1" x14ac:dyDescent="0.2">
      <c r="E501" s="4"/>
    </row>
    <row r="502" spans="5:5" ht="12.75" customHeight="1" x14ac:dyDescent="0.2">
      <c r="E502" s="4"/>
    </row>
    <row r="503" spans="5:5" ht="12.75" customHeight="1" x14ac:dyDescent="0.2">
      <c r="E503" s="4"/>
    </row>
    <row r="504" spans="5:5" ht="12.75" customHeight="1" x14ac:dyDescent="0.2">
      <c r="E504" s="4"/>
    </row>
    <row r="505" spans="5:5" ht="12.75" customHeight="1" x14ac:dyDescent="0.2">
      <c r="E505" s="4"/>
    </row>
    <row r="506" spans="5:5" ht="12.75" customHeight="1" x14ac:dyDescent="0.2">
      <c r="E506" s="4"/>
    </row>
    <row r="507" spans="5:5" ht="12.75" customHeight="1" x14ac:dyDescent="0.2">
      <c r="E507" s="4"/>
    </row>
    <row r="508" spans="5:5" ht="12.75" customHeight="1" x14ac:dyDescent="0.2">
      <c r="E508" s="4"/>
    </row>
    <row r="509" spans="5:5" ht="12.75" customHeight="1" x14ac:dyDescent="0.2">
      <c r="E509" s="4"/>
    </row>
    <row r="510" spans="5:5" ht="12.75" customHeight="1" x14ac:dyDescent="0.2">
      <c r="E510" s="4"/>
    </row>
    <row r="511" spans="5:5" ht="12.75" customHeight="1" x14ac:dyDescent="0.2">
      <c r="E511" s="4"/>
    </row>
    <row r="512" spans="5:5" ht="12.75" customHeight="1" x14ac:dyDescent="0.2">
      <c r="E512" s="4"/>
    </row>
    <row r="513" spans="5:5" ht="12.75" customHeight="1" x14ac:dyDescent="0.2">
      <c r="E513" s="4"/>
    </row>
    <row r="514" spans="5:5" ht="12.75" customHeight="1" x14ac:dyDescent="0.2">
      <c r="E514" s="4"/>
    </row>
    <row r="515" spans="5:5" ht="12.75" customHeight="1" x14ac:dyDescent="0.2">
      <c r="E515" s="4"/>
    </row>
    <row r="516" spans="5:5" ht="12.75" customHeight="1" x14ac:dyDescent="0.2">
      <c r="E516" s="4"/>
    </row>
    <row r="517" spans="5:5" ht="12.75" customHeight="1" x14ac:dyDescent="0.2">
      <c r="E517" s="4"/>
    </row>
    <row r="518" spans="5:5" ht="12.75" customHeight="1" x14ac:dyDescent="0.2">
      <c r="E518" s="4"/>
    </row>
    <row r="519" spans="5:5" ht="12.75" customHeight="1" x14ac:dyDescent="0.2">
      <c r="E519" s="4"/>
    </row>
    <row r="520" spans="5:5" ht="12.75" customHeight="1" x14ac:dyDescent="0.2">
      <c r="E520" s="4"/>
    </row>
    <row r="521" spans="5:5" ht="12.75" customHeight="1" x14ac:dyDescent="0.2">
      <c r="E521" s="4"/>
    </row>
    <row r="522" spans="5:5" ht="12.75" customHeight="1" x14ac:dyDescent="0.2">
      <c r="E522" s="4"/>
    </row>
    <row r="523" spans="5:5" ht="12.75" customHeight="1" x14ac:dyDescent="0.2">
      <c r="E523" s="4"/>
    </row>
    <row r="524" spans="5:5" ht="12.75" customHeight="1" x14ac:dyDescent="0.2">
      <c r="E524" s="4"/>
    </row>
    <row r="525" spans="5:5" ht="12.75" customHeight="1" x14ac:dyDescent="0.2">
      <c r="E525" s="4"/>
    </row>
    <row r="526" spans="5:5" ht="12.75" customHeight="1" x14ac:dyDescent="0.2">
      <c r="E526" s="4"/>
    </row>
    <row r="527" spans="5:5" ht="12.75" customHeight="1" x14ac:dyDescent="0.2">
      <c r="E527" s="4"/>
    </row>
    <row r="528" spans="5:5" ht="12.75" customHeight="1" x14ac:dyDescent="0.2">
      <c r="E528" s="4"/>
    </row>
    <row r="529" spans="5:5" ht="12.75" customHeight="1" x14ac:dyDescent="0.2">
      <c r="E529" s="4"/>
    </row>
    <row r="530" spans="5:5" ht="12.75" customHeight="1" x14ac:dyDescent="0.2">
      <c r="E530" s="4"/>
    </row>
    <row r="531" spans="5:5" ht="12.75" customHeight="1" x14ac:dyDescent="0.2">
      <c r="E531" s="4"/>
    </row>
    <row r="532" spans="5:5" ht="12.75" customHeight="1" x14ac:dyDescent="0.2">
      <c r="E532" s="4"/>
    </row>
    <row r="533" spans="5:5" ht="12.75" customHeight="1" x14ac:dyDescent="0.2">
      <c r="E533" s="4"/>
    </row>
    <row r="534" spans="5:5" ht="12.75" customHeight="1" x14ac:dyDescent="0.2">
      <c r="E534" s="4"/>
    </row>
    <row r="535" spans="5:5" ht="12.75" customHeight="1" x14ac:dyDescent="0.2">
      <c r="E535" s="4"/>
    </row>
    <row r="536" spans="5:5" ht="12.75" customHeight="1" x14ac:dyDescent="0.2">
      <c r="E536" s="4"/>
    </row>
    <row r="537" spans="5:5" ht="12.75" customHeight="1" x14ac:dyDescent="0.2">
      <c r="E537" s="4"/>
    </row>
    <row r="538" spans="5:5" ht="12.75" customHeight="1" x14ac:dyDescent="0.2">
      <c r="E538" s="4"/>
    </row>
    <row r="539" spans="5:5" ht="12.75" customHeight="1" x14ac:dyDescent="0.2">
      <c r="E539" s="4"/>
    </row>
    <row r="540" spans="5:5" ht="12.75" customHeight="1" x14ac:dyDescent="0.2">
      <c r="E540" s="4"/>
    </row>
    <row r="541" spans="5:5" ht="12.75" customHeight="1" x14ac:dyDescent="0.2">
      <c r="E541" s="4"/>
    </row>
    <row r="542" spans="5:5" ht="12.75" customHeight="1" x14ac:dyDescent="0.2">
      <c r="E542" s="4"/>
    </row>
    <row r="543" spans="5:5" ht="12.75" customHeight="1" x14ac:dyDescent="0.2">
      <c r="E543" s="4"/>
    </row>
    <row r="544" spans="5:5" ht="12.75" customHeight="1" x14ac:dyDescent="0.2">
      <c r="E544" s="4"/>
    </row>
    <row r="545" spans="5:5" ht="12.75" customHeight="1" x14ac:dyDescent="0.2">
      <c r="E545" s="4"/>
    </row>
    <row r="546" spans="5:5" ht="12.75" customHeight="1" x14ac:dyDescent="0.2">
      <c r="E546" s="4"/>
    </row>
    <row r="547" spans="5:5" ht="12.75" customHeight="1" x14ac:dyDescent="0.2">
      <c r="E547" s="4"/>
    </row>
    <row r="548" spans="5:5" ht="12.75" customHeight="1" x14ac:dyDescent="0.2">
      <c r="E548" s="4"/>
    </row>
    <row r="549" spans="5:5" ht="12.75" customHeight="1" x14ac:dyDescent="0.2">
      <c r="E549" s="4"/>
    </row>
    <row r="550" spans="5:5" ht="12.75" customHeight="1" x14ac:dyDescent="0.2">
      <c r="E550" s="4"/>
    </row>
    <row r="551" spans="5:5" ht="12.75" customHeight="1" x14ac:dyDescent="0.2">
      <c r="E551" s="4"/>
    </row>
    <row r="552" spans="5:5" ht="12.75" customHeight="1" x14ac:dyDescent="0.2">
      <c r="E552" s="4"/>
    </row>
    <row r="553" spans="5:5" ht="12.75" customHeight="1" x14ac:dyDescent="0.2">
      <c r="E553" s="4"/>
    </row>
    <row r="554" spans="5:5" ht="12.75" customHeight="1" x14ac:dyDescent="0.2">
      <c r="E554" s="4"/>
    </row>
    <row r="555" spans="5:5" ht="12.75" customHeight="1" x14ac:dyDescent="0.2">
      <c r="E555" s="4"/>
    </row>
    <row r="556" spans="5:5" ht="12.75" customHeight="1" x14ac:dyDescent="0.2">
      <c r="E556" s="4"/>
    </row>
    <row r="557" spans="5:5" ht="12.75" customHeight="1" x14ac:dyDescent="0.2">
      <c r="E557" s="4"/>
    </row>
    <row r="558" spans="5:5" ht="12.75" customHeight="1" x14ac:dyDescent="0.2">
      <c r="E558" s="4"/>
    </row>
    <row r="559" spans="5:5" ht="12.75" customHeight="1" x14ac:dyDescent="0.2">
      <c r="E559" s="4"/>
    </row>
    <row r="560" spans="5:5" ht="12.75" customHeight="1" x14ac:dyDescent="0.2">
      <c r="E560" s="4"/>
    </row>
    <row r="561" spans="5:5" ht="12.75" customHeight="1" x14ac:dyDescent="0.2">
      <c r="E561" s="4"/>
    </row>
    <row r="562" spans="5:5" ht="12.75" customHeight="1" x14ac:dyDescent="0.2">
      <c r="E562" s="4"/>
    </row>
    <row r="563" spans="5:5" ht="12.75" customHeight="1" x14ac:dyDescent="0.2">
      <c r="E563" s="4"/>
    </row>
    <row r="564" spans="5:5" ht="12.75" customHeight="1" x14ac:dyDescent="0.2">
      <c r="E564" s="4"/>
    </row>
    <row r="565" spans="5:5" ht="12.75" customHeight="1" x14ac:dyDescent="0.2">
      <c r="E565" s="4"/>
    </row>
    <row r="566" spans="5:5" ht="12.75" customHeight="1" x14ac:dyDescent="0.2">
      <c r="E566" s="4"/>
    </row>
    <row r="567" spans="5:5" ht="12.75" customHeight="1" x14ac:dyDescent="0.2">
      <c r="E567" s="4"/>
    </row>
    <row r="568" spans="5:5" ht="12.75" customHeight="1" x14ac:dyDescent="0.2">
      <c r="E568" s="4"/>
    </row>
    <row r="569" spans="5:5" ht="12.75" customHeight="1" x14ac:dyDescent="0.2">
      <c r="E569" s="4"/>
    </row>
    <row r="570" spans="5:5" ht="12.75" customHeight="1" x14ac:dyDescent="0.2">
      <c r="E570" s="4"/>
    </row>
    <row r="571" spans="5:5" ht="12.75" customHeight="1" x14ac:dyDescent="0.2">
      <c r="E571" s="4"/>
    </row>
    <row r="572" spans="5:5" ht="12.75" customHeight="1" x14ac:dyDescent="0.2">
      <c r="E572" s="4"/>
    </row>
    <row r="573" spans="5:5" ht="12.75" customHeight="1" x14ac:dyDescent="0.2">
      <c r="E573" s="4"/>
    </row>
    <row r="574" spans="5:5" ht="12.75" customHeight="1" x14ac:dyDescent="0.2">
      <c r="E574" s="4"/>
    </row>
    <row r="575" spans="5:5" ht="12.75" customHeight="1" x14ac:dyDescent="0.2">
      <c r="E575" s="4"/>
    </row>
    <row r="576" spans="5:5" ht="12.75" customHeight="1" x14ac:dyDescent="0.2">
      <c r="E576" s="4"/>
    </row>
    <row r="577" spans="5:5" ht="12.75" customHeight="1" x14ac:dyDescent="0.2">
      <c r="E577" s="4"/>
    </row>
    <row r="578" spans="5:5" ht="12.75" customHeight="1" x14ac:dyDescent="0.2">
      <c r="E578" s="4"/>
    </row>
    <row r="579" spans="5:5" ht="12.75" customHeight="1" x14ac:dyDescent="0.2">
      <c r="E579" s="4"/>
    </row>
    <row r="580" spans="5:5" ht="12.75" customHeight="1" x14ac:dyDescent="0.2">
      <c r="E580" s="4"/>
    </row>
    <row r="581" spans="5:5" ht="12.75" customHeight="1" x14ac:dyDescent="0.2">
      <c r="E581" s="4"/>
    </row>
    <row r="582" spans="5:5" ht="12.75" customHeight="1" x14ac:dyDescent="0.2">
      <c r="E582" s="4"/>
    </row>
    <row r="583" spans="5:5" ht="12.75" customHeight="1" x14ac:dyDescent="0.2">
      <c r="E583" s="4"/>
    </row>
    <row r="584" spans="5:5" ht="12.75" customHeight="1" x14ac:dyDescent="0.2">
      <c r="E584" s="4"/>
    </row>
    <row r="585" spans="5:5" ht="12.75" customHeight="1" x14ac:dyDescent="0.2">
      <c r="E585" s="4"/>
    </row>
    <row r="586" spans="5:5" ht="12.75" customHeight="1" x14ac:dyDescent="0.2">
      <c r="E586" s="4"/>
    </row>
    <row r="587" spans="5:5" ht="12.75" customHeight="1" x14ac:dyDescent="0.2">
      <c r="E587" s="4"/>
    </row>
    <row r="588" spans="5:5" ht="12.75" customHeight="1" x14ac:dyDescent="0.2">
      <c r="E588" s="4"/>
    </row>
    <row r="589" spans="5:5" ht="12.75" customHeight="1" x14ac:dyDescent="0.2">
      <c r="E589" s="4"/>
    </row>
    <row r="590" spans="5:5" ht="12.75" customHeight="1" x14ac:dyDescent="0.2">
      <c r="E590" s="4"/>
    </row>
    <row r="591" spans="5:5" ht="12.75" customHeight="1" x14ac:dyDescent="0.2">
      <c r="E591" s="4"/>
    </row>
    <row r="592" spans="5:5" ht="12.75" customHeight="1" x14ac:dyDescent="0.2">
      <c r="E592" s="4"/>
    </row>
    <row r="593" spans="5:5" ht="12.75" customHeight="1" x14ac:dyDescent="0.2">
      <c r="E593" s="4"/>
    </row>
    <row r="594" spans="5:5" ht="12.75" customHeight="1" x14ac:dyDescent="0.2">
      <c r="E594" s="4"/>
    </row>
    <row r="595" spans="5:5" ht="12.75" customHeight="1" x14ac:dyDescent="0.2">
      <c r="E595" s="4"/>
    </row>
    <row r="596" spans="5:5" ht="12.75" customHeight="1" x14ac:dyDescent="0.2">
      <c r="E596" s="4"/>
    </row>
    <row r="597" spans="5:5" ht="12.75" customHeight="1" x14ac:dyDescent="0.2">
      <c r="E597" s="4"/>
    </row>
    <row r="598" spans="5:5" ht="12.75" customHeight="1" x14ac:dyDescent="0.2">
      <c r="E598" s="4"/>
    </row>
    <row r="599" spans="5:5" ht="12.75" customHeight="1" x14ac:dyDescent="0.2">
      <c r="E599" s="4"/>
    </row>
    <row r="600" spans="5:5" ht="12.75" customHeight="1" x14ac:dyDescent="0.2">
      <c r="E600" s="4"/>
    </row>
    <row r="601" spans="5:5" ht="12.75" customHeight="1" x14ac:dyDescent="0.2">
      <c r="E601" s="4"/>
    </row>
    <row r="602" spans="5:5" ht="12.75" customHeight="1" x14ac:dyDescent="0.2">
      <c r="E602" s="4"/>
    </row>
    <row r="603" spans="5:5" ht="12.75" customHeight="1" x14ac:dyDescent="0.2">
      <c r="E603" s="4"/>
    </row>
    <row r="604" spans="5:5" ht="12.75" customHeight="1" x14ac:dyDescent="0.2">
      <c r="E604" s="4"/>
    </row>
    <row r="605" spans="5:5" ht="12.75" customHeight="1" x14ac:dyDescent="0.2">
      <c r="E605" s="4"/>
    </row>
    <row r="606" spans="5:5" ht="12.75" customHeight="1" x14ac:dyDescent="0.2">
      <c r="E606" s="4"/>
    </row>
    <row r="607" spans="5:5" ht="12.75" customHeight="1" x14ac:dyDescent="0.2">
      <c r="E607" s="4"/>
    </row>
    <row r="608" spans="5:5" ht="12.75" customHeight="1" x14ac:dyDescent="0.2">
      <c r="E608" s="4"/>
    </row>
    <row r="609" spans="5:5" ht="12.75" customHeight="1" x14ac:dyDescent="0.2">
      <c r="E609" s="4"/>
    </row>
    <row r="610" spans="5:5" ht="12.75" customHeight="1" x14ac:dyDescent="0.2">
      <c r="E610" s="4"/>
    </row>
    <row r="611" spans="5:5" ht="12.75" customHeight="1" x14ac:dyDescent="0.2">
      <c r="E611" s="4"/>
    </row>
    <row r="612" spans="5:5" ht="12.75" customHeight="1" x14ac:dyDescent="0.2">
      <c r="E612" s="4"/>
    </row>
    <row r="613" spans="5:5" ht="12.75" customHeight="1" x14ac:dyDescent="0.2">
      <c r="E613" s="4"/>
    </row>
    <row r="614" spans="5:5" ht="12.75" customHeight="1" x14ac:dyDescent="0.2">
      <c r="E614" s="4"/>
    </row>
    <row r="615" spans="5:5" ht="12.75" customHeight="1" x14ac:dyDescent="0.2">
      <c r="E615" s="4"/>
    </row>
    <row r="616" spans="5:5" ht="12.75" customHeight="1" x14ac:dyDescent="0.2">
      <c r="E616" s="4"/>
    </row>
    <row r="617" spans="5:5" ht="12.75" customHeight="1" x14ac:dyDescent="0.2">
      <c r="E617" s="4"/>
    </row>
    <row r="618" spans="5:5" ht="12.75" customHeight="1" x14ac:dyDescent="0.2">
      <c r="E618" s="4"/>
    </row>
    <row r="619" spans="5:5" ht="12.75" customHeight="1" x14ac:dyDescent="0.2">
      <c r="E619" s="4"/>
    </row>
    <row r="620" spans="5:5" ht="12.75" customHeight="1" x14ac:dyDescent="0.2">
      <c r="E620" s="4"/>
    </row>
    <row r="621" spans="5:5" ht="12.75" customHeight="1" x14ac:dyDescent="0.2">
      <c r="E621" s="4"/>
    </row>
    <row r="622" spans="5:5" ht="12.75" customHeight="1" x14ac:dyDescent="0.2">
      <c r="E622" s="4"/>
    </row>
    <row r="623" spans="5:5" ht="12.75" customHeight="1" x14ac:dyDescent="0.2">
      <c r="E623" s="4"/>
    </row>
    <row r="624" spans="5:5" ht="12.75" customHeight="1" x14ac:dyDescent="0.2">
      <c r="E624" s="4"/>
    </row>
    <row r="625" spans="5:5" ht="12.75" customHeight="1" x14ac:dyDescent="0.2">
      <c r="E625" s="4"/>
    </row>
    <row r="626" spans="5:5" ht="12.75" customHeight="1" x14ac:dyDescent="0.2">
      <c r="E626" s="4"/>
    </row>
    <row r="627" spans="5:5" ht="12.75" customHeight="1" x14ac:dyDescent="0.2">
      <c r="E627" s="4"/>
    </row>
    <row r="628" spans="5:5" ht="12.75" customHeight="1" x14ac:dyDescent="0.2">
      <c r="E628" s="4"/>
    </row>
    <row r="629" spans="5:5" ht="12.75" customHeight="1" x14ac:dyDescent="0.2">
      <c r="E629" s="4"/>
    </row>
    <row r="630" spans="5:5" ht="12.75" customHeight="1" x14ac:dyDescent="0.2">
      <c r="E630" s="4"/>
    </row>
    <row r="631" spans="5:5" ht="12.75" customHeight="1" x14ac:dyDescent="0.2">
      <c r="E631" s="4"/>
    </row>
    <row r="632" spans="5:5" ht="12.75" customHeight="1" x14ac:dyDescent="0.2">
      <c r="E632" s="4"/>
    </row>
    <row r="633" spans="5:5" ht="12.75" customHeight="1" x14ac:dyDescent="0.2">
      <c r="E633" s="4"/>
    </row>
    <row r="634" spans="5:5" ht="12.75" customHeight="1" x14ac:dyDescent="0.2">
      <c r="E634" s="4"/>
    </row>
    <row r="635" spans="5:5" ht="12.75" customHeight="1" x14ac:dyDescent="0.2">
      <c r="E635" s="4"/>
    </row>
    <row r="636" spans="5:5" ht="12.75" customHeight="1" x14ac:dyDescent="0.2">
      <c r="E636" s="4"/>
    </row>
    <row r="637" spans="5:5" ht="12.75" customHeight="1" x14ac:dyDescent="0.2">
      <c r="E637" s="4"/>
    </row>
    <row r="638" spans="5:5" ht="12.75" customHeight="1" x14ac:dyDescent="0.2">
      <c r="E638" s="4"/>
    </row>
    <row r="639" spans="5:5" ht="12.75" customHeight="1" x14ac:dyDescent="0.2">
      <c r="E639" s="4"/>
    </row>
    <row r="640" spans="5:5" ht="12.75" customHeight="1" x14ac:dyDescent="0.2">
      <c r="E640" s="4"/>
    </row>
    <row r="641" spans="5:5" ht="12.75" customHeight="1" x14ac:dyDescent="0.2">
      <c r="E641" s="4"/>
    </row>
    <row r="642" spans="5:5" ht="12.75" customHeight="1" x14ac:dyDescent="0.2">
      <c r="E642" s="4"/>
    </row>
    <row r="643" spans="5:5" ht="12.75" customHeight="1" x14ac:dyDescent="0.2">
      <c r="E643" s="4"/>
    </row>
    <row r="644" spans="5:5" ht="12.75" customHeight="1" x14ac:dyDescent="0.2">
      <c r="E644" s="4"/>
    </row>
    <row r="645" spans="5:5" ht="12.75" customHeight="1" x14ac:dyDescent="0.2">
      <c r="E645" s="4"/>
    </row>
    <row r="646" spans="5:5" ht="12.75" customHeight="1" x14ac:dyDescent="0.2">
      <c r="E646" s="4"/>
    </row>
    <row r="647" spans="5:5" ht="12.75" customHeight="1" x14ac:dyDescent="0.2">
      <c r="E647" s="4"/>
    </row>
    <row r="648" spans="5:5" ht="12.75" customHeight="1" x14ac:dyDescent="0.2">
      <c r="E648" s="4"/>
    </row>
    <row r="649" spans="5:5" ht="12.75" customHeight="1" x14ac:dyDescent="0.2">
      <c r="E649" s="4"/>
    </row>
    <row r="650" spans="5:5" ht="12.75" customHeight="1" x14ac:dyDescent="0.2">
      <c r="E650" s="4"/>
    </row>
    <row r="651" spans="5:5" ht="12.75" customHeight="1" x14ac:dyDescent="0.2">
      <c r="E651" s="4"/>
    </row>
    <row r="652" spans="5:5" ht="12.75" customHeight="1" x14ac:dyDescent="0.2">
      <c r="E652" s="4"/>
    </row>
    <row r="653" spans="5:5" ht="12.75" customHeight="1" x14ac:dyDescent="0.2">
      <c r="E653" s="4"/>
    </row>
    <row r="654" spans="5:5" ht="12.75" customHeight="1" x14ac:dyDescent="0.2">
      <c r="E654" s="4"/>
    </row>
    <row r="655" spans="5:5" ht="12.75" customHeight="1" x14ac:dyDescent="0.2">
      <c r="E655" s="4"/>
    </row>
    <row r="656" spans="5:5" ht="12.75" customHeight="1" x14ac:dyDescent="0.2">
      <c r="E656" s="4"/>
    </row>
    <row r="657" spans="5:5" ht="12.75" customHeight="1" x14ac:dyDescent="0.2">
      <c r="E657" s="4"/>
    </row>
    <row r="658" spans="5:5" ht="12.75" customHeight="1" x14ac:dyDescent="0.2">
      <c r="E658" s="4"/>
    </row>
    <row r="659" spans="5:5" ht="12.75" customHeight="1" x14ac:dyDescent="0.2">
      <c r="E659" s="4"/>
    </row>
    <row r="660" spans="5:5" ht="12.75" customHeight="1" x14ac:dyDescent="0.2">
      <c r="E660" s="4"/>
    </row>
    <row r="661" spans="5:5" ht="12.75" customHeight="1" x14ac:dyDescent="0.2">
      <c r="E661" s="4"/>
    </row>
    <row r="662" spans="5:5" ht="12.75" customHeight="1" x14ac:dyDescent="0.2">
      <c r="E662" s="4"/>
    </row>
    <row r="663" spans="5:5" ht="12.75" customHeight="1" x14ac:dyDescent="0.2">
      <c r="E663" s="4"/>
    </row>
    <row r="664" spans="5:5" ht="12.75" customHeight="1" x14ac:dyDescent="0.2">
      <c r="E664" s="4"/>
    </row>
    <row r="665" spans="5:5" ht="12.75" customHeight="1" x14ac:dyDescent="0.2">
      <c r="E665" s="4"/>
    </row>
    <row r="666" spans="5:5" ht="12.75" customHeight="1" x14ac:dyDescent="0.2">
      <c r="E666" s="4"/>
    </row>
    <row r="667" spans="5:5" ht="12.75" customHeight="1" x14ac:dyDescent="0.2">
      <c r="E667" s="4"/>
    </row>
    <row r="668" spans="5:5" ht="12.75" customHeight="1" x14ac:dyDescent="0.2">
      <c r="E668" s="4"/>
    </row>
    <row r="669" spans="5:5" ht="12.75" customHeight="1" x14ac:dyDescent="0.2">
      <c r="E669" s="4"/>
    </row>
    <row r="670" spans="5:5" ht="12.75" customHeight="1" x14ac:dyDescent="0.2">
      <c r="E670" s="4"/>
    </row>
    <row r="671" spans="5:5" ht="12.75" customHeight="1" x14ac:dyDescent="0.2">
      <c r="E671" s="4"/>
    </row>
    <row r="672" spans="5:5" ht="12.75" customHeight="1" x14ac:dyDescent="0.2">
      <c r="E672" s="4"/>
    </row>
    <row r="673" spans="5:5" ht="12.75" customHeight="1" x14ac:dyDescent="0.2">
      <c r="E673" s="4"/>
    </row>
    <row r="674" spans="5:5" ht="12.75" customHeight="1" x14ac:dyDescent="0.2">
      <c r="E674" s="4"/>
    </row>
    <row r="675" spans="5:5" ht="12.75" customHeight="1" x14ac:dyDescent="0.2">
      <c r="E675" s="4"/>
    </row>
    <row r="676" spans="5:5" ht="12.75" customHeight="1" x14ac:dyDescent="0.2">
      <c r="E676" s="4"/>
    </row>
    <row r="677" spans="5:5" ht="12.75" customHeight="1" x14ac:dyDescent="0.2">
      <c r="E677" s="4"/>
    </row>
    <row r="678" spans="5:5" ht="12.75" customHeight="1" x14ac:dyDescent="0.2">
      <c r="E678" s="4"/>
    </row>
    <row r="679" spans="5:5" ht="12.75" customHeight="1" x14ac:dyDescent="0.2">
      <c r="E679" s="4"/>
    </row>
    <row r="680" spans="5:5" ht="12.75" customHeight="1" x14ac:dyDescent="0.2">
      <c r="E680" s="4"/>
    </row>
    <row r="681" spans="5:5" ht="12.75" customHeight="1" x14ac:dyDescent="0.2">
      <c r="E681" s="4"/>
    </row>
    <row r="682" spans="5:5" ht="12.75" customHeight="1" x14ac:dyDescent="0.2">
      <c r="E682" s="4"/>
    </row>
    <row r="683" spans="5:5" ht="12.75" customHeight="1" x14ac:dyDescent="0.2">
      <c r="E683" s="4"/>
    </row>
    <row r="684" spans="5:5" ht="12.75" customHeight="1" x14ac:dyDescent="0.2">
      <c r="E684" s="4"/>
    </row>
    <row r="685" spans="5:5" ht="12.75" customHeight="1" x14ac:dyDescent="0.2">
      <c r="E685" s="4"/>
    </row>
    <row r="686" spans="5:5" ht="12.75" customHeight="1" x14ac:dyDescent="0.2">
      <c r="E686" s="4"/>
    </row>
    <row r="687" spans="5:5" ht="12.75" customHeight="1" x14ac:dyDescent="0.2">
      <c r="E687" s="4"/>
    </row>
    <row r="688" spans="5:5" ht="12.75" customHeight="1" x14ac:dyDescent="0.2">
      <c r="E688" s="4"/>
    </row>
    <row r="689" spans="5:5" ht="12.75" customHeight="1" x14ac:dyDescent="0.2">
      <c r="E689" s="4"/>
    </row>
    <row r="690" spans="5:5" ht="12.75" customHeight="1" x14ac:dyDescent="0.2">
      <c r="E690" s="4"/>
    </row>
    <row r="691" spans="5:5" ht="12.75" customHeight="1" x14ac:dyDescent="0.2">
      <c r="E691" s="4"/>
    </row>
    <row r="692" spans="5:5" ht="12.75" customHeight="1" x14ac:dyDescent="0.2">
      <c r="E692" s="4"/>
    </row>
    <row r="693" spans="5:5" ht="12.75" customHeight="1" x14ac:dyDescent="0.2">
      <c r="E693" s="4"/>
    </row>
    <row r="694" spans="5:5" ht="12.75" customHeight="1" x14ac:dyDescent="0.2">
      <c r="E694" s="4"/>
    </row>
    <row r="695" spans="5:5" ht="12.75" customHeight="1" x14ac:dyDescent="0.2">
      <c r="E695" s="4"/>
    </row>
    <row r="696" spans="5:5" ht="12.75" customHeight="1" x14ac:dyDescent="0.2">
      <c r="E696" s="4"/>
    </row>
    <row r="697" spans="5:5" ht="12.75" customHeight="1" x14ac:dyDescent="0.2">
      <c r="E697" s="4"/>
    </row>
    <row r="698" spans="5:5" ht="12.75" customHeight="1" x14ac:dyDescent="0.2">
      <c r="E698" s="4"/>
    </row>
    <row r="699" spans="5:5" ht="12.75" customHeight="1" x14ac:dyDescent="0.2">
      <c r="E699" s="4"/>
    </row>
    <row r="700" spans="5:5" ht="12.75" customHeight="1" x14ac:dyDescent="0.2">
      <c r="E700" s="4"/>
    </row>
    <row r="701" spans="5:5" ht="12.75" customHeight="1" x14ac:dyDescent="0.2">
      <c r="E701" s="4"/>
    </row>
    <row r="702" spans="5:5" ht="12.75" customHeight="1" x14ac:dyDescent="0.2">
      <c r="E702" s="4"/>
    </row>
    <row r="703" spans="5:5" ht="12.75" customHeight="1" x14ac:dyDescent="0.2">
      <c r="E703" s="4"/>
    </row>
    <row r="704" spans="5:5" ht="12.75" customHeight="1" x14ac:dyDescent="0.2">
      <c r="E704" s="4"/>
    </row>
    <row r="705" spans="5:5" ht="12.75" customHeight="1" x14ac:dyDescent="0.2">
      <c r="E705" s="4"/>
    </row>
    <row r="706" spans="5:5" ht="12.75" customHeight="1" x14ac:dyDescent="0.2">
      <c r="E706" s="4"/>
    </row>
    <row r="707" spans="5:5" ht="12.75" customHeight="1" x14ac:dyDescent="0.2">
      <c r="E707" s="4"/>
    </row>
    <row r="708" spans="5:5" ht="12.75" customHeight="1" x14ac:dyDescent="0.2">
      <c r="E708" s="4"/>
    </row>
    <row r="709" spans="5:5" ht="12.75" customHeight="1" x14ac:dyDescent="0.2">
      <c r="E709" s="4"/>
    </row>
    <row r="710" spans="5:5" ht="12.75" customHeight="1" x14ac:dyDescent="0.2">
      <c r="E710" s="4"/>
    </row>
    <row r="711" spans="5:5" ht="12.75" customHeight="1" x14ac:dyDescent="0.2">
      <c r="E711" s="4"/>
    </row>
    <row r="712" spans="5:5" ht="12.75" customHeight="1" x14ac:dyDescent="0.2">
      <c r="E712" s="4"/>
    </row>
    <row r="713" spans="5:5" ht="12.75" customHeight="1" x14ac:dyDescent="0.2">
      <c r="E713" s="4"/>
    </row>
    <row r="714" spans="5:5" ht="12.75" customHeight="1" x14ac:dyDescent="0.2">
      <c r="E714" s="4"/>
    </row>
    <row r="715" spans="5:5" ht="12.75" customHeight="1" x14ac:dyDescent="0.2">
      <c r="E715" s="4"/>
    </row>
    <row r="716" spans="5:5" ht="12.75" customHeight="1" x14ac:dyDescent="0.2">
      <c r="E716" s="4"/>
    </row>
    <row r="717" spans="5:5" ht="12.75" customHeight="1" x14ac:dyDescent="0.2">
      <c r="E717" s="4"/>
    </row>
    <row r="718" spans="5:5" ht="12.75" customHeight="1" x14ac:dyDescent="0.2">
      <c r="E718" s="4"/>
    </row>
    <row r="719" spans="5:5" ht="12.75" customHeight="1" x14ac:dyDescent="0.2">
      <c r="E719" s="4"/>
    </row>
    <row r="720" spans="5:5" ht="12.75" customHeight="1" x14ac:dyDescent="0.2">
      <c r="E720" s="4"/>
    </row>
    <row r="721" spans="5:5" ht="12.75" customHeight="1" x14ac:dyDescent="0.2">
      <c r="E721" s="4"/>
    </row>
    <row r="722" spans="5:5" ht="12.75" customHeight="1" x14ac:dyDescent="0.2">
      <c r="E722" s="4"/>
    </row>
    <row r="723" spans="5:5" ht="12.75" customHeight="1" x14ac:dyDescent="0.2">
      <c r="E723" s="4"/>
    </row>
    <row r="724" spans="5:5" ht="12.75" customHeight="1" x14ac:dyDescent="0.2">
      <c r="E724" s="4"/>
    </row>
    <row r="725" spans="5:5" ht="12.75" customHeight="1" x14ac:dyDescent="0.2">
      <c r="E725" s="4"/>
    </row>
    <row r="726" spans="5:5" ht="12.75" customHeight="1" x14ac:dyDescent="0.2">
      <c r="E726" s="4"/>
    </row>
    <row r="727" spans="5:5" ht="12.75" customHeight="1" x14ac:dyDescent="0.2">
      <c r="E727" s="4"/>
    </row>
    <row r="728" spans="5:5" ht="12.75" customHeight="1" x14ac:dyDescent="0.2">
      <c r="E728" s="4"/>
    </row>
    <row r="729" spans="5:5" ht="12.75" customHeight="1" x14ac:dyDescent="0.2">
      <c r="E729" s="4"/>
    </row>
    <row r="730" spans="5:5" ht="12.75" customHeight="1" x14ac:dyDescent="0.2">
      <c r="E730" s="4"/>
    </row>
    <row r="731" spans="5:5" ht="12.75" customHeight="1" x14ac:dyDescent="0.2">
      <c r="E731" s="4"/>
    </row>
    <row r="732" spans="5:5" ht="12.75" customHeight="1" x14ac:dyDescent="0.2">
      <c r="E732" s="4"/>
    </row>
    <row r="733" spans="5:5" ht="12.75" customHeight="1" x14ac:dyDescent="0.2">
      <c r="E733" s="4"/>
    </row>
    <row r="734" spans="5:5" ht="12.75" customHeight="1" x14ac:dyDescent="0.2">
      <c r="E734" s="4"/>
    </row>
    <row r="735" spans="5:5" ht="12.75" customHeight="1" x14ac:dyDescent="0.2">
      <c r="E735" s="4"/>
    </row>
    <row r="736" spans="5:5" ht="12.75" customHeight="1" x14ac:dyDescent="0.2">
      <c r="E736" s="4"/>
    </row>
    <row r="737" spans="5:5" ht="12.75" customHeight="1" x14ac:dyDescent="0.2">
      <c r="E737" s="4"/>
    </row>
    <row r="738" spans="5:5" ht="12.75" customHeight="1" x14ac:dyDescent="0.2">
      <c r="E738" s="4"/>
    </row>
    <row r="739" spans="5:5" ht="12.75" customHeight="1" x14ac:dyDescent="0.2">
      <c r="E739" s="4"/>
    </row>
    <row r="740" spans="5:5" ht="12.75" customHeight="1" x14ac:dyDescent="0.2">
      <c r="E740" s="4"/>
    </row>
    <row r="741" spans="5:5" ht="12.75" customHeight="1" x14ac:dyDescent="0.2">
      <c r="E741" s="4"/>
    </row>
    <row r="742" spans="5:5" ht="12.75" customHeight="1" x14ac:dyDescent="0.2">
      <c r="E742" s="4"/>
    </row>
    <row r="743" spans="5:5" ht="12.75" customHeight="1" x14ac:dyDescent="0.2">
      <c r="E743" s="4"/>
    </row>
    <row r="744" spans="5:5" ht="12.75" customHeight="1" x14ac:dyDescent="0.2">
      <c r="E744" s="4"/>
    </row>
    <row r="745" spans="5:5" ht="12.75" customHeight="1" x14ac:dyDescent="0.2">
      <c r="E745" s="4"/>
    </row>
    <row r="746" spans="5:5" ht="12.75" customHeight="1" x14ac:dyDescent="0.2">
      <c r="E746" s="4"/>
    </row>
    <row r="747" spans="5:5" ht="12.75" customHeight="1" x14ac:dyDescent="0.2">
      <c r="E747" s="4"/>
    </row>
    <row r="748" spans="5:5" ht="12.75" customHeight="1" x14ac:dyDescent="0.2">
      <c r="E748" s="4"/>
    </row>
    <row r="749" spans="5:5" ht="12.75" customHeight="1" x14ac:dyDescent="0.2">
      <c r="E749" s="4"/>
    </row>
    <row r="750" spans="5:5" ht="12.75" customHeight="1" x14ac:dyDescent="0.2">
      <c r="E750" s="4"/>
    </row>
    <row r="751" spans="5:5" ht="12.75" customHeight="1" x14ac:dyDescent="0.2">
      <c r="E751" s="4"/>
    </row>
    <row r="752" spans="5:5" ht="12.75" customHeight="1" x14ac:dyDescent="0.2">
      <c r="E752" s="4"/>
    </row>
    <row r="753" spans="5:5" ht="12.75" customHeight="1" x14ac:dyDescent="0.2">
      <c r="E753" s="4"/>
    </row>
    <row r="754" spans="5:5" ht="12.75" customHeight="1" x14ac:dyDescent="0.2">
      <c r="E754" s="4"/>
    </row>
    <row r="755" spans="5:5" ht="12.75" customHeight="1" x14ac:dyDescent="0.2">
      <c r="E755" s="4"/>
    </row>
    <row r="756" spans="5:5" ht="12.75" customHeight="1" x14ac:dyDescent="0.2">
      <c r="E756" s="4"/>
    </row>
    <row r="757" spans="5:5" ht="12.75" customHeight="1" x14ac:dyDescent="0.2">
      <c r="E757" s="4"/>
    </row>
    <row r="758" spans="5:5" ht="12.75" customHeight="1" x14ac:dyDescent="0.2">
      <c r="E758" s="4"/>
    </row>
    <row r="759" spans="5:5" ht="12.75" customHeight="1" x14ac:dyDescent="0.2">
      <c r="E759" s="4"/>
    </row>
    <row r="760" spans="5:5" ht="12.75" customHeight="1" x14ac:dyDescent="0.2">
      <c r="E760" s="4"/>
    </row>
    <row r="761" spans="5:5" ht="12.75" customHeight="1" x14ac:dyDescent="0.2">
      <c r="E761" s="4"/>
    </row>
    <row r="762" spans="5:5" ht="12.75" customHeight="1" x14ac:dyDescent="0.2">
      <c r="E762" s="4"/>
    </row>
    <row r="763" spans="5:5" ht="12.75" customHeight="1" x14ac:dyDescent="0.2">
      <c r="E763" s="4"/>
    </row>
    <row r="764" spans="5:5" ht="12.75" customHeight="1" x14ac:dyDescent="0.2">
      <c r="E764" s="4"/>
    </row>
    <row r="765" spans="5:5" ht="12.75" customHeight="1" x14ac:dyDescent="0.2">
      <c r="E765" s="4"/>
    </row>
    <row r="766" spans="5:5" ht="12.75" customHeight="1" x14ac:dyDescent="0.2">
      <c r="E766" s="4"/>
    </row>
    <row r="767" spans="5:5" ht="12.75" customHeight="1" x14ac:dyDescent="0.2">
      <c r="E767" s="4"/>
    </row>
    <row r="768" spans="5:5" ht="12.75" customHeight="1" x14ac:dyDescent="0.2">
      <c r="E768" s="4"/>
    </row>
    <row r="769" spans="5:5" ht="12.75" customHeight="1" x14ac:dyDescent="0.2">
      <c r="E769" s="4"/>
    </row>
    <row r="770" spans="5:5" ht="12.75" customHeight="1" x14ac:dyDescent="0.2">
      <c r="E770" s="4"/>
    </row>
    <row r="771" spans="5:5" ht="12.75" customHeight="1" x14ac:dyDescent="0.2">
      <c r="E771" s="4"/>
    </row>
    <row r="772" spans="5:5" ht="12.75" customHeight="1" x14ac:dyDescent="0.2">
      <c r="E772" s="4"/>
    </row>
    <row r="773" spans="5:5" ht="12.75" customHeight="1" x14ac:dyDescent="0.2">
      <c r="E773" s="4"/>
    </row>
    <row r="774" spans="5:5" ht="12.75" customHeight="1" x14ac:dyDescent="0.2">
      <c r="E774" s="4"/>
    </row>
    <row r="775" spans="5:5" ht="12.75" customHeight="1" x14ac:dyDescent="0.2">
      <c r="E775" s="4"/>
    </row>
    <row r="776" spans="5:5" ht="12.75" customHeight="1" x14ac:dyDescent="0.2">
      <c r="E776" s="4"/>
    </row>
    <row r="777" spans="5:5" ht="12.75" customHeight="1" x14ac:dyDescent="0.2">
      <c r="E777" s="4"/>
    </row>
    <row r="778" spans="5:5" ht="12.75" customHeight="1" x14ac:dyDescent="0.2">
      <c r="E778" s="4"/>
    </row>
    <row r="779" spans="5:5" ht="12.75" customHeight="1" x14ac:dyDescent="0.2">
      <c r="E779" s="4"/>
    </row>
    <row r="780" spans="5:5" ht="12.75" customHeight="1" x14ac:dyDescent="0.2">
      <c r="E780" s="4"/>
    </row>
    <row r="781" spans="5:5" ht="12.75" customHeight="1" x14ac:dyDescent="0.2">
      <c r="E781" s="4"/>
    </row>
    <row r="782" spans="5:5" ht="12.75" customHeight="1" x14ac:dyDescent="0.2">
      <c r="E782" s="4"/>
    </row>
    <row r="783" spans="5:5" ht="12.75" customHeight="1" x14ac:dyDescent="0.2">
      <c r="E783" s="4"/>
    </row>
    <row r="784" spans="5:5" ht="12.75" customHeight="1" x14ac:dyDescent="0.2">
      <c r="E784" s="4"/>
    </row>
    <row r="785" spans="5:5" ht="12.75" customHeight="1" x14ac:dyDescent="0.2">
      <c r="E785" s="4"/>
    </row>
    <row r="786" spans="5:5" ht="12.75" customHeight="1" x14ac:dyDescent="0.2">
      <c r="E786" s="4"/>
    </row>
    <row r="787" spans="5:5" ht="12.75" customHeight="1" x14ac:dyDescent="0.2">
      <c r="E787" s="4"/>
    </row>
    <row r="788" spans="5:5" ht="12.75" customHeight="1" x14ac:dyDescent="0.2">
      <c r="E788" s="4"/>
    </row>
    <row r="789" spans="5:5" ht="12.75" customHeight="1" x14ac:dyDescent="0.2">
      <c r="E789" s="4"/>
    </row>
    <row r="790" spans="5:5" ht="12.75" customHeight="1" x14ac:dyDescent="0.2">
      <c r="E790" s="4"/>
    </row>
    <row r="791" spans="5:5" ht="12.75" customHeight="1" x14ac:dyDescent="0.2">
      <c r="E791" s="4"/>
    </row>
    <row r="792" spans="5:5" ht="12.75" customHeight="1" x14ac:dyDescent="0.2">
      <c r="E792" s="4"/>
    </row>
    <row r="793" spans="5:5" ht="12.75" customHeight="1" x14ac:dyDescent="0.2">
      <c r="E793" s="4"/>
    </row>
    <row r="794" spans="5:5" ht="12.75" customHeight="1" x14ac:dyDescent="0.2">
      <c r="E794" s="4"/>
    </row>
    <row r="795" spans="5:5" ht="12.75" customHeight="1" x14ac:dyDescent="0.2">
      <c r="E795" s="4"/>
    </row>
    <row r="796" spans="5:5" ht="12.75" customHeight="1" x14ac:dyDescent="0.2">
      <c r="E796" s="4"/>
    </row>
    <row r="797" spans="5:5" ht="12.75" customHeight="1" x14ac:dyDescent="0.2">
      <c r="E797" s="4"/>
    </row>
    <row r="798" spans="5:5" ht="12.75" customHeight="1" x14ac:dyDescent="0.2">
      <c r="E798" s="4"/>
    </row>
    <row r="799" spans="5:5" ht="12.75" customHeight="1" x14ac:dyDescent="0.2">
      <c r="E799" s="4"/>
    </row>
    <row r="800" spans="5:5" ht="12.75" customHeight="1" x14ac:dyDescent="0.2">
      <c r="E800" s="4"/>
    </row>
    <row r="801" spans="5:5" ht="12.75" customHeight="1" x14ac:dyDescent="0.2">
      <c r="E801" s="4"/>
    </row>
    <row r="802" spans="5:5" ht="12.75" customHeight="1" x14ac:dyDescent="0.2">
      <c r="E802" s="4"/>
    </row>
    <row r="803" spans="5:5" ht="12.75" customHeight="1" x14ac:dyDescent="0.2">
      <c r="E803" s="4"/>
    </row>
    <row r="804" spans="5:5" ht="12.75" customHeight="1" x14ac:dyDescent="0.2">
      <c r="E804" s="4"/>
    </row>
    <row r="805" spans="5:5" ht="12.75" customHeight="1" x14ac:dyDescent="0.2">
      <c r="E805" s="4"/>
    </row>
    <row r="806" spans="5:5" ht="12.75" customHeight="1" x14ac:dyDescent="0.2">
      <c r="E806" s="4"/>
    </row>
    <row r="807" spans="5:5" ht="12.75" customHeight="1" x14ac:dyDescent="0.2">
      <c r="E807" s="4"/>
    </row>
    <row r="808" spans="5:5" ht="12.75" customHeight="1" x14ac:dyDescent="0.2">
      <c r="E808" s="4"/>
    </row>
    <row r="809" spans="5:5" ht="12.75" customHeight="1" x14ac:dyDescent="0.2">
      <c r="E809" s="4"/>
    </row>
    <row r="810" spans="5:5" ht="12.75" customHeight="1" x14ac:dyDescent="0.2">
      <c r="E810" s="4"/>
    </row>
    <row r="811" spans="5:5" ht="12.75" customHeight="1" x14ac:dyDescent="0.2">
      <c r="E811" s="4"/>
    </row>
    <row r="812" spans="5:5" ht="12.75" customHeight="1" x14ac:dyDescent="0.2">
      <c r="E812" s="4"/>
    </row>
    <row r="813" spans="5:5" ht="12.75" customHeight="1" x14ac:dyDescent="0.2">
      <c r="E813" s="4"/>
    </row>
    <row r="814" spans="5:5" ht="12.75" customHeight="1" x14ac:dyDescent="0.2">
      <c r="E814" s="4"/>
    </row>
    <row r="815" spans="5:5" ht="12.75" customHeight="1" x14ac:dyDescent="0.2">
      <c r="E815" s="4"/>
    </row>
    <row r="816" spans="5:5" ht="12.75" customHeight="1" x14ac:dyDescent="0.2">
      <c r="E816" s="4"/>
    </row>
    <row r="817" spans="5:5" ht="12.75" customHeight="1" x14ac:dyDescent="0.2">
      <c r="E817" s="4"/>
    </row>
    <row r="818" spans="5:5" ht="12.75" customHeight="1" x14ac:dyDescent="0.2">
      <c r="E818" s="4"/>
    </row>
    <row r="819" spans="5:5" ht="12.75" customHeight="1" x14ac:dyDescent="0.2">
      <c r="E819" s="4"/>
    </row>
    <row r="820" spans="5:5" ht="12.75" customHeight="1" x14ac:dyDescent="0.2">
      <c r="E820" s="4"/>
    </row>
    <row r="821" spans="5:5" ht="12.75" customHeight="1" x14ac:dyDescent="0.2">
      <c r="E821" s="4"/>
    </row>
    <row r="822" spans="5:5" ht="12.75" customHeight="1" x14ac:dyDescent="0.2">
      <c r="E822" s="4"/>
    </row>
    <row r="823" spans="5:5" ht="12.75" customHeight="1" x14ac:dyDescent="0.2">
      <c r="E823" s="4"/>
    </row>
    <row r="824" spans="5:5" ht="12.75" customHeight="1" x14ac:dyDescent="0.2">
      <c r="E824" s="4"/>
    </row>
    <row r="825" spans="5:5" ht="12.75" customHeight="1" x14ac:dyDescent="0.2">
      <c r="E825" s="4"/>
    </row>
    <row r="826" spans="5:5" ht="12.75" customHeight="1" x14ac:dyDescent="0.2">
      <c r="E826" s="4"/>
    </row>
    <row r="827" spans="5:5" ht="12.75" customHeight="1" x14ac:dyDescent="0.2">
      <c r="E827" s="4"/>
    </row>
    <row r="828" spans="5:5" ht="12.75" customHeight="1" x14ac:dyDescent="0.2">
      <c r="E828" s="4"/>
    </row>
    <row r="829" spans="5:5" ht="12.75" customHeight="1" x14ac:dyDescent="0.2">
      <c r="E829" s="4"/>
    </row>
    <row r="830" spans="5:5" ht="12.75" customHeight="1" x14ac:dyDescent="0.2">
      <c r="E830" s="4"/>
    </row>
    <row r="831" spans="5:5" ht="12.75" customHeight="1" x14ac:dyDescent="0.2">
      <c r="E831" s="4"/>
    </row>
    <row r="832" spans="5:5" ht="12.75" customHeight="1" x14ac:dyDescent="0.2">
      <c r="E832" s="4"/>
    </row>
    <row r="833" spans="5:5" ht="12.75" customHeight="1" x14ac:dyDescent="0.2">
      <c r="E833" s="4"/>
    </row>
    <row r="834" spans="5:5" ht="12.75" customHeight="1" x14ac:dyDescent="0.2">
      <c r="E834" s="4"/>
    </row>
    <row r="835" spans="5:5" ht="12.75" customHeight="1" x14ac:dyDescent="0.2">
      <c r="E835" s="4"/>
    </row>
    <row r="836" spans="5:5" ht="12.75" customHeight="1" x14ac:dyDescent="0.2">
      <c r="E836" s="4"/>
    </row>
    <row r="837" spans="5:5" ht="12.75" customHeight="1" x14ac:dyDescent="0.2">
      <c r="E837" s="4"/>
    </row>
    <row r="838" spans="5:5" ht="12.75" customHeight="1" x14ac:dyDescent="0.2">
      <c r="E838" s="4"/>
    </row>
    <row r="839" spans="5:5" ht="12.75" customHeight="1" x14ac:dyDescent="0.2">
      <c r="E839" s="4"/>
    </row>
    <row r="840" spans="5:5" ht="12.75" customHeight="1" x14ac:dyDescent="0.2">
      <c r="E840" s="4"/>
    </row>
    <row r="841" spans="5:5" ht="12.75" customHeight="1" x14ac:dyDescent="0.2">
      <c r="E841" s="4"/>
    </row>
    <row r="842" spans="5:5" ht="12.75" customHeight="1" x14ac:dyDescent="0.2">
      <c r="E842" s="4"/>
    </row>
    <row r="843" spans="5:5" ht="12.75" customHeight="1" x14ac:dyDescent="0.2">
      <c r="E843" s="4"/>
    </row>
    <row r="844" spans="5:5" ht="12.75" customHeight="1" x14ac:dyDescent="0.2">
      <c r="E844" s="4"/>
    </row>
    <row r="845" spans="5:5" ht="12.75" customHeight="1" x14ac:dyDescent="0.2">
      <c r="E845" s="4"/>
    </row>
    <row r="846" spans="5:5" ht="12.75" customHeight="1" x14ac:dyDescent="0.2">
      <c r="E846" s="4"/>
    </row>
    <row r="847" spans="5:5" ht="12.75" customHeight="1" x14ac:dyDescent="0.2">
      <c r="E847" s="4"/>
    </row>
    <row r="848" spans="5:5" ht="12.75" customHeight="1" x14ac:dyDescent="0.2">
      <c r="E848" s="4"/>
    </row>
    <row r="849" spans="5:5" ht="12.75" customHeight="1" x14ac:dyDescent="0.2">
      <c r="E849" s="4"/>
    </row>
    <row r="850" spans="5:5" ht="12.75" customHeight="1" x14ac:dyDescent="0.2">
      <c r="E850" s="4"/>
    </row>
    <row r="851" spans="5:5" ht="12.75" customHeight="1" x14ac:dyDescent="0.2">
      <c r="E851" s="4"/>
    </row>
    <row r="852" spans="5:5" ht="12.75" customHeight="1" x14ac:dyDescent="0.2">
      <c r="E852" s="4"/>
    </row>
    <row r="853" spans="5:5" ht="12.75" customHeight="1" x14ac:dyDescent="0.2">
      <c r="E853" s="4"/>
    </row>
    <row r="854" spans="5:5" ht="12.75" customHeight="1" x14ac:dyDescent="0.2">
      <c r="E854" s="4"/>
    </row>
    <row r="855" spans="5:5" ht="12.75" customHeight="1" x14ac:dyDescent="0.2">
      <c r="E855" s="4"/>
    </row>
    <row r="856" spans="5:5" ht="12.75" customHeight="1" x14ac:dyDescent="0.2">
      <c r="E856" s="4"/>
    </row>
    <row r="857" spans="5:5" ht="12.75" customHeight="1" x14ac:dyDescent="0.2">
      <c r="E857" s="4"/>
    </row>
    <row r="858" spans="5:5" ht="12.75" customHeight="1" x14ac:dyDescent="0.2">
      <c r="E858" s="4"/>
    </row>
    <row r="859" spans="5:5" ht="12.75" customHeight="1" x14ac:dyDescent="0.2">
      <c r="E859" s="4"/>
    </row>
    <row r="860" spans="5:5" ht="12.75" customHeight="1" x14ac:dyDescent="0.2">
      <c r="E860" s="4"/>
    </row>
    <row r="861" spans="5:5" ht="12.75" customHeight="1" x14ac:dyDescent="0.2">
      <c r="E861" s="4"/>
    </row>
    <row r="862" spans="5:5" ht="12.75" customHeight="1" x14ac:dyDescent="0.2">
      <c r="E862" s="4"/>
    </row>
    <row r="863" spans="5:5" ht="12.75" customHeight="1" x14ac:dyDescent="0.2">
      <c r="E863" s="4"/>
    </row>
    <row r="864" spans="5:5" ht="12.75" customHeight="1" x14ac:dyDescent="0.2">
      <c r="E864" s="4"/>
    </row>
    <row r="865" spans="5:5" ht="12.75" customHeight="1" x14ac:dyDescent="0.2">
      <c r="E865" s="4"/>
    </row>
    <row r="866" spans="5:5" ht="12.75" customHeight="1" x14ac:dyDescent="0.2">
      <c r="E866" s="4"/>
    </row>
    <row r="867" spans="5:5" ht="12.75" customHeight="1" x14ac:dyDescent="0.2">
      <c r="E867" s="4"/>
    </row>
    <row r="868" spans="5:5" ht="12.75" customHeight="1" x14ac:dyDescent="0.2">
      <c r="E868" s="4"/>
    </row>
    <row r="869" spans="5:5" ht="12.75" customHeight="1" x14ac:dyDescent="0.2">
      <c r="E869" s="4"/>
    </row>
    <row r="870" spans="5:5" ht="12.75" customHeight="1" x14ac:dyDescent="0.2">
      <c r="E870" s="4"/>
    </row>
    <row r="871" spans="5:5" ht="12.75" customHeight="1" x14ac:dyDescent="0.2">
      <c r="E871" s="4"/>
    </row>
    <row r="872" spans="5:5" ht="12.75" customHeight="1" x14ac:dyDescent="0.2">
      <c r="E872" s="4"/>
    </row>
    <row r="873" spans="5:5" ht="12.75" customHeight="1" x14ac:dyDescent="0.2">
      <c r="E873" s="4"/>
    </row>
    <row r="874" spans="5:5" ht="12.75" customHeight="1" x14ac:dyDescent="0.2">
      <c r="E874" s="4"/>
    </row>
    <row r="875" spans="5:5" ht="12.75" customHeight="1" x14ac:dyDescent="0.2">
      <c r="E875" s="4"/>
    </row>
    <row r="876" spans="5:5" ht="12.75" customHeight="1" x14ac:dyDescent="0.2">
      <c r="E876" s="4"/>
    </row>
    <row r="877" spans="5:5" ht="12.75" customHeight="1" x14ac:dyDescent="0.2">
      <c r="E877" s="4"/>
    </row>
    <row r="878" spans="5:5" ht="12.75" customHeight="1" x14ac:dyDescent="0.2">
      <c r="E878" s="4"/>
    </row>
    <row r="879" spans="5:5" ht="12.75" customHeight="1" x14ac:dyDescent="0.2">
      <c r="E879" s="4"/>
    </row>
    <row r="880" spans="5:5" ht="12.75" customHeight="1" x14ac:dyDescent="0.2">
      <c r="E880" s="4"/>
    </row>
    <row r="881" spans="5:5" ht="12.75" customHeight="1" x14ac:dyDescent="0.2">
      <c r="E881" s="4"/>
    </row>
    <row r="882" spans="5:5" ht="12.75" customHeight="1" x14ac:dyDescent="0.2">
      <c r="E882" s="4"/>
    </row>
    <row r="883" spans="5:5" ht="12.75" customHeight="1" x14ac:dyDescent="0.2">
      <c r="E883" s="4"/>
    </row>
    <row r="884" spans="5:5" ht="12.75" customHeight="1" x14ac:dyDescent="0.2">
      <c r="E884" s="4"/>
    </row>
    <row r="885" spans="5:5" ht="12.75" customHeight="1" x14ac:dyDescent="0.2">
      <c r="E885" s="4"/>
    </row>
    <row r="886" spans="5:5" ht="12.75" customHeight="1" x14ac:dyDescent="0.2">
      <c r="E886" s="4"/>
    </row>
    <row r="887" spans="5:5" ht="12.75" customHeight="1" x14ac:dyDescent="0.2">
      <c r="E887" s="4"/>
    </row>
    <row r="888" spans="5:5" ht="12.75" customHeight="1" x14ac:dyDescent="0.2">
      <c r="E888" s="4"/>
    </row>
    <row r="889" spans="5:5" ht="12.75" customHeight="1" x14ac:dyDescent="0.2">
      <c r="E889" s="4"/>
    </row>
    <row r="890" spans="5:5" ht="12.75" customHeight="1" x14ac:dyDescent="0.2">
      <c r="E890" s="4"/>
    </row>
    <row r="891" spans="5:5" ht="12.75" customHeight="1" x14ac:dyDescent="0.2">
      <c r="E891" s="4"/>
    </row>
    <row r="892" spans="5:5" ht="12.75" customHeight="1" x14ac:dyDescent="0.2">
      <c r="E892" s="4"/>
    </row>
    <row r="893" spans="5:5" ht="12.75" customHeight="1" x14ac:dyDescent="0.2">
      <c r="E893" s="4"/>
    </row>
    <row r="894" spans="5:5" ht="12.75" customHeight="1" x14ac:dyDescent="0.2">
      <c r="E894" s="4"/>
    </row>
    <row r="895" spans="5:5" ht="12.75" customHeight="1" x14ac:dyDescent="0.2">
      <c r="E895" s="4"/>
    </row>
    <row r="896" spans="5:5" ht="12.75" customHeight="1" x14ac:dyDescent="0.2">
      <c r="E896" s="4"/>
    </row>
    <row r="897" spans="5:5" ht="12.75" customHeight="1" x14ac:dyDescent="0.2">
      <c r="E897" s="4"/>
    </row>
    <row r="898" spans="5:5" ht="12.75" customHeight="1" x14ac:dyDescent="0.2">
      <c r="E898" s="4"/>
    </row>
    <row r="899" spans="5:5" ht="12.75" customHeight="1" x14ac:dyDescent="0.2">
      <c r="E899" s="4"/>
    </row>
    <row r="900" spans="5:5" ht="12.75" customHeight="1" x14ac:dyDescent="0.2">
      <c r="E900" s="4"/>
    </row>
    <row r="901" spans="5:5" ht="12.75" customHeight="1" x14ac:dyDescent="0.2">
      <c r="E901" s="4"/>
    </row>
    <row r="902" spans="5:5" ht="12.75" customHeight="1" x14ac:dyDescent="0.2">
      <c r="E902" s="4"/>
    </row>
    <row r="903" spans="5:5" ht="12.75" customHeight="1" x14ac:dyDescent="0.2">
      <c r="E903" s="4"/>
    </row>
    <row r="904" spans="5:5" ht="12.75" customHeight="1" x14ac:dyDescent="0.2">
      <c r="E904" s="4"/>
    </row>
    <row r="905" spans="5:5" ht="12.75" customHeight="1" x14ac:dyDescent="0.2">
      <c r="E905" s="4"/>
    </row>
    <row r="906" spans="5:5" ht="12.75" customHeight="1" x14ac:dyDescent="0.2">
      <c r="E906" s="4"/>
    </row>
    <row r="907" spans="5:5" ht="12.75" customHeight="1" x14ac:dyDescent="0.2">
      <c r="E907" s="4"/>
    </row>
    <row r="908" spans="5:5" ht="12.75" customHeight="1" x14ac:dyDescent="0.2">
      <c r="E908" s="4"/>
    </row>
    <row r="909" spans="5:5" ht="12.75" customHeight="1" x14ac:dyDescent="0.2">
      <c r="E909" s="4"/>
    </row>
    <row r="910" spans="5:5" ht="12.75" customHeight="1" x14ac:dyDescent="0.2">
      <c r="E910" s="4"/>
    </row>
    <row r="911" spans="5:5" ht="12.75" customHeight="1" x14ac:dyDescent="0.2">
      <c r="E911" s="4"/>
    </row>
    <row r="912" spans="5:5" ht="12.75" customHeight="1" x14ac:dyDescent="0.2">
      <c r="E912" s="4"/>
    </row>
    <row r="913" spans="5:5" ht="12.75" customHeight="1" x14ac:dyDescent="0.2">
      <c r="E913" s="4"/>
    </row>
    <row r="914" spans="5:5" ht="12.75" customHeight="1" x14ac:dyDescent="0.2">
      <c r="E914" s="4"/>
    </row>
    <row r="915" spans="5:5" ht="12.75" customHeight="1" x14ac:dyDescent="0.2">
      <c r="E915" s="4"/>
    </row>
    <row r="916" spans="5:5" ht="12.75" customHeight="1" x14ac:dyDescent="0.2">
      <c r="E916" s="4"/>
    </row>
    <row r="917" spans="5:5" ht="12.75" customHeight="1" x14ac:dyDescent="0.2">
      <c r="E917" s="4"/>
    </row>
    <row r="918" spans="5:5" ht="12.75" customHeight="1" x14ac:dyDescent="0.2">
      <c r="E918" s="4"/>
    </row>
    <row r="919" spans="5:5" ht="12.75" customHeight="1" x14ac:dyDescent="0.2">
      <c r="E919" s="4"/>
    </row>
    <row r="920" spans="5:5" ht="12.75" customHeight="1" x14ac:dyDescent="0.2">
      <c r="E920" s="4"/>
    </row>
    <row r="921" spans="5:5" ht="12.75" customHeight="1" x14ac:dyDescent="0.2">
      <c r="E921" s="4"/>
    </row>
    <row r="922" spans="5:5" ht="12.75" customHeight="1" x14ac:dyDescent="0.2">
      <c r="E922" s="4"/>
    </row>
    <row r="923" spans="5:5" ht="12.75" customHeight="1" x14ac:dyDescent="0.2">
      <c r="E923" s="4"/>
    </row>
    <row r="924" spans="5:5" ht="12.75" customHeight="1" x14ac:dyDescent="0.2">
      <c r="E924" s="4"/>
    </row>
    <row r="925" spans="5:5" ht="12.75" customHeight="1" x14ac:dyDescent="0.2">
      <c r="E925" s="4"/>
    </row>
    <row r="926" spans="5:5" ht="12.75" customHeight="1" x14ac:dyDescent="0.2">
      <c r="E926" s="4"/>
    </row>
    <row r="927" spans="5:5" ht="12.75" customHeight="1" x14ac:dyDescent="0.2">
      <c r="E927" s="4"/>
    </row>
    <row r="928" spans="5:5" ht="12.75" customHeight="1" x14ac:dyDescent="0.2">
      <c r="E928" s="4"/>
    </row>
    <row r="929" spans="5:5" ht="12.75" customHeight="1" x14ac:dyDescent="0.2">
      <c r="E929" s="4"/>
    </row>
    <row r="930" spans="5:5" ht="12.75" customHeight="1" x14ac:dyDescent="0.2">
      <c r="E930" s="4"/>
    </row>
    <row r="931" spans="5:5" ht="12.75" customHeight="1" x14ac:dyDescent="0.2">
      <c r="E931" s="4"/>
    </row>
    <row r="932" spans="5:5" ht="12.75" customHeight="1" x14ac:dyDescent="0.2">
      <c r="E932" s="4"/>
    </row>
    <row r="933" spans="5:5" ht="12.75" customHeight="1" x14ac:dyDescent="0.2">
      <c r="E933" s="4"/>
    </row>
    <row r="934" spans="5:5" ht="12.75" customHeight="1" x14ac:dyDescent="0.2">
      <c r="E934" s="4"/>
    </row>
    <row r="935" spans="5:5" ht="12.75" customHeight="1" x14ac:dyDescent="0.2">
      <c r="E935" s="4"/>
    </row>
    <row r="936" spans="5:5" ht="12.75" customHeight="1" x14ac:dyDescent="0.2">
      <c r="E936" s="4"/>
    </row>
    <row r="937" spans="5:5" ht="12.75" customHeight="1" x14ac:dyDescent="0.2">
      <c r="E937" s="4"/>
    </row>
    <row r="938" spans="5:5" ht="12.75" customHeight="1" x14ac:dyDescent="0.2">
      <c r="E938" s="4"/>
    </row>
    <row r="939" spans="5:5" ht="12.75" customHeight="1" x14ac:dyDescent="0.2">
      <c r="E939" s="4"/>
    </row>
    <row r="940" spans="5:5" ht="12.75" customHeight="1" x14ac:dyDescent="0.2">
      <c r="E940" s="4"/>
    </row>
    <row r="941" spans="5:5" ht="12.75" customHeight="1" x14ac:dyDescent="0.2">
      <c r="E941" s="4"/>
    </row>
    <row r="942" spans="5:5" ht="12.75" customHeight="1" x14ac:dyDescent="0.2">
      <c r="E942" s="4"/>
    </row>
    <row r="943" spans="5:5" ht="12.75" customHeight="1" x14ac:dyDescent="0.2">
      <c r="E943" s="4"/>
    </row>
    <row r="944" spans="5:5" ht="12.75" customHeight="1" x14ac:dyDescent="0.2">
      <c r="E944" s="4"/>
    </row>
    <row r="945" spans="5:5" ht="12.75" customHeight="1" x14ac:dyDescent="0.2">
      <c r="E945" s="4"/>
    </row>
    <row r="946" spans="5:5" ht="12.75" customHeight="1" x14ac:dyDescent="0.2">
      <c r="E946" s="4"/>
    </row>
    <row r="947" spans="5:5" ht="12.75" customHeight="1" x14ac:dyDescent="0.2">
      <c r="E947" s="4"/>
    </row>
    <row r="948" spans="5:5" ht="12.75" customHeight="1" x14ac:dyDescent="0.2">
      <c r="E948" s="4"/>
    </row>
    <row r="949" spans="5:5" ht="12.75" customHeight="1" x14ac:dyDescent="0.2">
      <c r="E949" s="4"/>
    </row>
    <row r="950" spans="5:5" ht="12.75" customHeight="1" x14ac:dyDescent="0.2">
      <c r="E950" s="4"/>
    </row>
    <row r="951" spans="5:5" ht="12.75" customHeight="1" x14ac:dyDescent="0.2">
      <c r="E951" s="4"/>
    </row>
    <row r="952" spans="5:5" ht="12.75" customHeight="1" x14ac:dyDescent="0.2">
      <c r="E952" s="4"/>
    </row>
    <row r="953" spans="5:5" ht="12.75" customHeight="1" x14ac:dyDescent="0.2">
      <c r="E953" s="4"/>
    </row>
    <row r="954" spans="5:5" ht="12.75" customHeight="1" x14ac:dyDescent="0.2">
      <c r="E954" s="4"/>
    </row>
    <row r="955" spans="5:5" ht="12.75" customHeight="1" x14ac:dyDescent="0.2">
      <c r="E955" s="4"/>
    </row>
    <row r="956" spans="5:5" ht="12.75" customHeight="1" x14ac:dyDescent="0.2">
      <c r="E956" s="4"/>
    </row>
    <row r="957" spans="5:5" ht="12.75" customHeight="1" x14ac:dyDescent="0.2">
      <c r="E957" s="4"/>
    </row>
    <row r="958" spans="5:5" ht="12.75" customHeight="1" x14ac:dyDescent="0.2">
      <c r="E958" s="4"/>
    </row>
    <row r="959" spans="5:5" ht="12.75" customHeight="1" x14ac:dyDescent="0.2">
      <c r="E959" s="4"/>
    </row>
    <row r="960" spans="5:5" ht="12.75" customHeight="1" x14ac:dyDescent="0.2">
      <c r="E960" s="4"/>
    </row>
    <row r="961" spans="5:5" ht="12.75" customHeight="1" x14ac:dyDescent="0.2">
      <c r="E961" s="4"/>
    </row>
    <row r="962" spans="5:5" ht="12.75" customHeight="1" x14ac:dyDescent="0.2">
      <c r="E962" s="4"/>
    </row>
    <row r="963" spans="5:5" ht="12.75" customHeight="1" x14ac:dyDescent="0.2">
      <c r="E963" s="4"/>
    </row>
    <row r="964" spans="5:5" ht="12.75" customHeight="1" x14ac:dyDescent="0.2">
      <c r="E964" s="4"/>
    </row>
    <row r="965" spans="5:5" ht="12.75" customHeight="1" x14ac:dyDescent="0.2">
      <c r="E965" s="4"/>
    </row>
    <row r="966" spans="5:5" ht="12.75" customHeight="1" x14ac:dyDescent="0.2">
      <c r="E966" s="4"/>
    </row>
    <row r="967" spans="5:5" ht="12.75" customHeight="1" x14ac:dyDescent="0.2">
      <c r="E967" s="4"/>
    </row>
    <row r="968" spans="5:5" ht="12.75" customHeight="1" x14ac:dyDescent="0.2">
      <c r="E968" s="4"/>
    </row>
    <row r="969" spans="5:5" ht="12.75" customHeight="1" x14ac:dyDescent="0.2">
      <c r="E969" s="4"/>
    </row>
    <row r="970" spans="5:5" ht="12.75" customHeight="1" x14ac:dyDescent="0.2">
      <c r="E970" s="4"/>
    </row>
    <row r="971" spans="5:5" ht="12.75" customHeight="1" x14ac:dyDescent="0.2">
      <c r="E971" s="4"/>
    </row>
    <row r="972" spans="5:5" ht="12.75" customHeight="1" x14ac:dyDescent="0.2">
      <c r="E972" s="4"/>
    </row>
    <row r="973" spans="5:5" ht="12.75" customHeight="1" x14ac:dyDescent="0.2">
      <c r="E973" s="4"/>
    </row>
    <row r="974" spans="5:5" ht="12.75" customHeight="1" x14ac:dyDescent="0.2">
      <c r="E974" s="4"/>
    </row>
    <row r="975" spans="5:5" ht="12.75" customHeight="1" x14ac:dyDescent="0.2">
      <c r="E975" s="4"/>
    </row>
    <row r="976" spans="5:5" ht="12.75" customHeight="1" x14ac:dyDescent="0.2">
      <c r="E976" s="4"/>
    </row>
    <row r="977" spans="5:5" ht="12.75" customHeight="1" x14ac:dyDescent="0.2">
      <c r="E977" s="4"/>
    </row>
    <row r="978" spans="5:5" ht="12.75" customHeight="1" x14ac:dyDescent="0.2">
      <c r="E978" s="4"/>
    </row>
    <row r="979" spans="5:5" ht="12.75" customHeight="1" x14ac:dyDescent="0.2">
      <c r="E979" s="4"/>
    </row>
    <row r="980" spans="5:5" ht="12.75" customHeight="1" x14ac:dyDescent="0.2">
      <c r="E980" s="4"/>
    </row>
    <row r="981" spans="5:5" ht="12.75" customHeight="1" x14ac:dyDescent="0.2">
      <c r="E981" s="4"/>
    </row>
    <row r="982" spans="5:5" ht="12.75" customHeight="1" x14ac:dyDescent="0.2">
      <c r="E982" s="4"/>
    </row>
    <row r="983" spans="5:5" ht="12.75" customHeight="1" x14ac:dyDescent="0.2">
      <c r="E983" s="4"/>
    </row>
    <row r="984" spans="5:5" ht="12.75" customHeight="1" x14ac:dyDescent="0.2">
      <c r="E984" s="4"/>
    </row>
    <row r="985" spans="5:5" ht="12.75" customHeight="1" x14ac:dyDescent="0.2">
      <c r="E985" s="4"/>
    </row>
    <row r="986" spans="5:5" ht="12.75" customHeight="1" x14ac:dyDescent="0.2">
      <c r="E986" s="4"/>
    </row>
    <row r="987" spans="5:5" ht="12.75" customHeight="1" x14ac:dyDescent="0.2">
      <c r="E987" s="4"/>
    </row>
    <row r="988" spans="5:5" ht="12.75" customHeight="1" x14ac:dyDescent="0.2">
      <c r="E988" s="4"/>
    </row>
    <row r="989" spans="5:5" ht="12.75" customHeight="1" x14ac:dyDescent="0.2">
      <c r="E989" s="4"/>
    </row>
    <row r="990" spans="5:5" ht="12.75" customHeight="1" x14ac:dyDescent="0.2">
      <c r="E990" s="4"/>
    </row>
    <row r="991" spans="5:5" ht="12.75" customHeight="1" x14ac:dyDescent="0.2">
      <c r="E991" s="4"/>
    </row>
    <row r="992" spans="5:5" ht="12.75" customHeight="1" x14ac:dyDescent="0.2">
      <c r="E992" s="4"/>
    </row>
    <row r="993" spans="5:5" ht="12.75" customHeight="1" x14ac:dyDescent="0.2">
      <c r="E993" s="4"/>
    </row>
    <row r="994" spans="5:5" ht="12.75" customHeight="1" x14ac:dyDescent="0.2">
      <c r="E994" s="4"/>
    </row>
    <row r="995" spans="5:5" ht="12.75" customHeight="1" x14ac:dyDescent="0.2">
      <c r="E995" s="4"/>
    </row>
    <row r="996" spans="5:5" ht="12.75" customHeight="1" x14ac:dyDescent="0.2">
      <c r="E996" s="4"/>
    </row>
    <row r="997" spans="5:5" ht="12.75" customHeight="1" x14ac:dyDescent="0.2">
      <c r="E997" s="4"/>
    </row>
    <row r="998" spans="5:5" ht="12.75" customHeight="1" x14ac:dyDescent="0.2">
      <c r="E998" s="4"/>
    </row>
    <row r="999" spans="5:5" ht="12.75" customHeight="1" x14ac:dyDescent="0.2">
      <c r="E999" s="4"/>
    </row>
    <row r="1000" spans="5:5" ht="12.75" customHeight="1" x14ac:dyDescent="0.2">
      <c r="E1000" s="4"/>
    </row>
    <row r="1001" spans="5:5" ht="12.75" customHeight="1" x14ac:dyDescent="0.2">
      <c r="E1001" s="4"/>
    </row>
    <row r="1002" spans="5:5" ht="12.75" customHeight="1" x14ac:dyDescent="0.2">
      <c r="E1002" s="4"/>
    </row>
    <row r="1003" spans="5:5" ht="12.75" customHeight="1" x14ac:dyDescent="0.2">
      <c r="E1003" s="4"/>
    </row>
    <row r="1004" spans="5:5" ht="12.75" customHeight="1" x14ac:dyDescent="0.2">
      <c r="E1004" s="4"/>
    </row>
    <row r="1005" spans="5:5" ht="12.75" customHeight="1" x14ac:dyDescent="0.2">
      <c r="E1005" s="4"/>
    </row>
    <row r="1006" spans="5:5" ht="12.75" customHeight="1" x14ac:dyDescent="0.2">
      <c r="E1006" s="4"/>
    </row>
  </sheetData>
  <mergeCells count="13">
    <mergeCell ref="B64:E64"/>
    <mergeCell ref="B2:D2"/>
    <mergeCell ref="B3:D3"/>
    <mergeCell ref="B4:D4"/>
    <mergeCell ref="B8:D8"/>
    <mergeCell ref="B11:B12"/>
    <mergeCell ref="C11:E12"/>
    <mergeCell ref="D15:E15"/>
    <mergeCell ref="B14:D14"/>
    <mergeCell ref="B33:D33"/>
    <mergeCell ref="B42:E42"/>
    <mergeCell ref="B55:D55"/>
    <mergeCell ref="B57:E57"/>
  </mergeCells>
  <conditionalFormatting sqref="B15:E31 B46:C46 C43:E43 C44:C45 E44 E46">
    <cfRule type="expression" dxfId="34" priority="1">
      <formula>$C$11=$K$5</formula>
    </cfRule>
  </conditionalFormatting>
  <conditionalFormatting sqref="B15:E32 B34:E34 C40:E40 C35:C39">
    <cfRule type="expression" dxfId="33" priority="2">
      <formula>$C$11=$K$6</formula>
    </cfRule>
  </conditionalFormatting>
  <conditionalFormatting sqref="B33:D33">
    <cfRule type="expression" dxfId="32" priority="3">
      <formula>$C$11=$K$3</formula>
    </cfRule>
  </conditionalFormatting>
  <conditionalFormatting sqref="B34:E34 B46:C46 C43:E43 C44:C45 E44 C40:E40 C35:C39 E46">
    <cfRule type="expression" dxfId="31" priority="4">
      <formula>$C$11=$K$4</formula>
    </cfRule>
  </conditionalFormatting>
  <conditionalFormatting sqref="B15:E31 B34:E34 B46:C46 C43:E43 C44:C45 E44 C40:E40 C35:C39 E46">
    <cfRule type="expression" dxfId="30" priority="5">
      <formula>$C$11=$K$3</formula>
    </cfRule>
  </conditionalFormatting>
  <conditionalFormatting sqref="D44">
    <cfRule type="expression" dxfId="29" priority="6">
      <formula>$C$11=$K$3</formula>
    </cfRule>
  </conditionalFormatting>
  <conditionalFormatting sqref="D60">
    <cfRule type="expression" dxfId="28" priority="7">
      <formula>$C$11=$K$3</formula>
    </cfRule>
  </conditionalFormatting>
  <conditionalFormatting sqref="D59">
    <cfRule type="expression" dxfId="27" priority="8">
      <formula>$C$11=$K$3</formula>
    </cfRule>
  </conditionalFormatting>
  <conditionalFormatting sqref="D35">
    <cfRule type="expression" dxfId="26" priority="9">
      <formula>$C$11=$K$5</formula>
    </cfRule>
  </conditionalFormatting>
  <conditionalFormatting sqref="D35">
    <cfRule type="expression" dxfId="25" priority="10">
      <formula>$C$11=$K$6</formula>
    </cfRule>
  </conditionalFormatting>
  <conditionalFormatting sqref="D35">
    <cfRule type="expression" dxfId="24" priority="11">
      <formula>$C$11=$K$3</formula>
    </cfRule>
  </conditionalFormatting>
  <conditionalFormatting sqref="D37">
    <cfRule type="expression" dxfId="23" priority="12">
      <formula>$C$11=$K$5</formula>
    </cfRule>
  </conditionalFormatting>
  <conditionalFormatting sqref="D37">
    <cfRule type="expression" dxfId="22" priority="13">
      <formula>$C$11=$K$6</formula>
    </cfRule>
  </conditionalFormatting>
  <conditionalFormatting sqref="D37">
    <cfRule type="expression" dxfId="21" priority="14">
      <formula>$C$11=$K$3</formula>
    </cfRule>
  </conditionalFormatting>
  <conditionalFormatting sqref="D39">
    <cfRule type="expression" dxfId="20" priority="15">
      <formula>$C$11=$K$5</formula>
    </cfRule>
  </conditionalFormatting>
  <conditionalFormatting sqref="D39">
    <cfRule type="expression" dxfId="19" priority="16">
      <formula>$C$11=$K$6</formula>
    </cfRule>
  </conditionalFormatting>
  <conditionalFormatting sqref="D39">
    <cfRule type="expression" dxfId="18" priority="17">
      <formula>$C$11=$K$3</formula>
    </cfRule>
  </conditionalFormatting>
  <conditionalFormatting sqref="D46">
    <cfRule type="expression" dxfId="17" priority="18">
      <formula>$C$11=$K$5</formula>
    </cfRule>
  </conditionalFormatting>
  <conditionalFormatting sqref="D46">
    <cfRule type="expression" dxfId="16" priority="19">
      <formula>$C$11=$K$6</formula>
    </cfRule>
  </conditionalFormatting>
  <conditionalFormatting sqref="D46">
    <cfRule type="expression" dxfId="15" priority="20">
      <formula>$C$11=$K$3</formula>
    </cfRule>
  </conditionalFormatting>
  <conditionalFormatting sqref="D45">
    <cfRule type="expression" dxfId="14" priority="21">
      <formula>$C$11=$K$5</formula>
    </cfRule>
  </conditionalFormatting>
  <conditionalFormatting sqref="D45">
    <cfRule type="expression" dxfId="13" priority="22">
      <formula>$C$11=$K$6</formula>
    </cfRule>
  </conditionalFormatting>
  <conditionalFormatting sqref="D45">
    <cfRule type="expression" dxfId="12" priority="23">
      <formula>$C$11=$K$3</formula>
    </cfRule>
  </conditionalFormatting>
  <conditionalFormatting sqref="D44">
    <cfRule type="expression" dxfId="11" priority="24">
      <formula>$C$11=$K$5</formula>
    </cfRule>
  </conditionalFormatting>
  <conditionalFormatting sqref="D44">
    <cfRule type="expression" dxfId="10" priority="25">
      <formula>$C$11=$K$6</formula>
    </cfRule>
  </conditionalFormatting>
  <conditionalFormatting sqref="D59">
    <cfRule type="expression" dxfId="9" priority="26">
      <formula>$C$11=$K$5</formula>
    </cfRule>
  </conditionalFormatting>
  <conditionalFormatting sqref="D59">
    <cfRule type="expression" dxfId="8" priority="27">
      <formula>$C$11=$K$6</formula>
    </cfRule>
  </conditionalFormatting>
  <conditionalFormatting sqref="D60">
    <cfRule type="expression" dxfId="7" priority="28">
      <formula>$C$11=$K$5</formula>
    </cfRule>
  </conditionalFormatting>
  <conditionalFormatting sqref="D60">
    <cfRule type="expression" dxfId="6" priority="29">
      <formula>$C$11=$K$6</formula>
    </cfRule>
  </conditionalFormatting>
  <conditionalFormatting sqref="D61">
    <cfRule type="expression" dxfId="5" priority="30">
      <formula>$C$11=$K$5</formula>
    </cfRule>
  </conditionalFormatting>
  <conditionalFormatting sqref="D61">
    <cfRule type="expression" dxfId="4" priority="31">
      <formula>$C$11=$K$6</formula>
    </cfRule>
  </conditionalFormatting>
  <conditionalFormatting sqref="D61">
    <cfRule type="expression" dxfId="3" priority="32">
      <formula>$C$11=$K$3</formula>
    </cfRule>
  </conditionalFormatting>
  <conditionalFormatting sqref="D62">
    <cfRule type="expression" dxfId="2" priority="33">
      <formula>$C$11=$K$3</formula>
    </cfRule>
  </conditionalFormatting>
  <conditionalFormatting sqref="D62">
    <cfRule type="expression" dxfId="1" priority="34">
      <formula>$C$11=$K$5</formula>
    </cfRule>
  </conditionalFormatting>
  <conditionalFormatting sqref="D62">
    <cfRule type="expression" dxfId="0" priority="35">
      <formula>$C$11=$K$6</formula>
    </cfRule>
  </conditionalFormatting>
  <dataValidations disablePrompts="1" count="1">
    <dataValidation type="list" allowBlank="1" showInputMessage="1" showErrorMessage="1" prompt=" - " sqref="C11" xr:uid="{00000000-0002-0000-0200-000000000000}">
      <formula1>$K$4:$K$6</formula1>
    </dataValidation>
  </dataValidations>
  <pageMargins left="0.7" right="0.7" top="0.75" bottom="0.75" header="0" footer="0"/>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11</vt:i4>
      </vt:variant>
    </vt:vector>
  </HeadingPairs>
  <TitlesOfParts>
    <vt:vector size="27" baseType="lpstr">
      <vt:lpstr>Clasific. Económica de Ingresos</vt:lpstr>
      <vt:lpstr>Detalle General de Egresos</vt:lpstr>
      <vt:lpstr>ProgramaI</vt:lpstr>
      <vt:lpstr>Programa II</vt:lpstr>
      <vt:lpstr>Programa III</vt:lpstr>
      <vt:lpstr>Origen y Aplicación</vt:lpstr>
      <vt:lpstr>Origen y Aplicación (2)</vt:lpstr>
      <vt:lpstr>Cuadro 2 RH</vt:lpstr>
      <vt:lpstr>Cuadro 3 SA</vt:lpstr>
      <vt:lpstr>Cuadro 4 Deudas</vt:lpstr>
      <vt:lpstr>Cuadro 6-Dietas</vt:lpstr>
      <vt:lpstr>Cuadro 7 Contribuc patro </vt:lpstr>
      <vt:lpstr>Cuadro 8 -Incentivos sala (2)</vt:lpstr>
      <vt:lpstr>ANEXO 7</vt:lpstr>
      <vt:lpstr>Cuadro 5 Aprt especie</vt:lpstr>
      <vt:lpstr>Cuadro 8 -Incentivos sala</vt:lpstr>
      <vt:lpstr>'Clasific. Económica de Ingresos'!Área_de_impresión</vt:lpstr>
      <vt:lpstr>'Cuadro 8 -Incentivos sala (2)'!Área_de_impresión</vt:lpstr>
      <vt:lpstr>'Detalle General de Egresos'!Área_de_impresión</vt:lpstr>
      <vt:lpstr>'Origen y Aplicación'!Área_de_impresión</vt:lpstr>
      <vt:lpstr>'Origen y Aplicación (2)'!Área_de_impresión</vt:lpstr>
      <vt:lpstr>'Programa II'!Área_de_impresión</vt:lpstr>
      <vt:lpstr>'Programa III'!Área_de_impresión</vt:lpstr>
      <vt:lpstr>ProgramaI!Área_de_impresión</vt:lpstr>
      <vt:lpstr>'Clasific. Económica de Ingresos'!Títulos_a_imprimir</vt:lpstr>
      <vt:lpstr>'Origen y Aplicación'!Títulos_a_imprimir</vt:lpstr>
      <vt:lpstr>'Origen y Aplicación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Alvarado Garita</dc:creator>
  <cp:lastModifiedBy>Ana Maria Alvarado Garita</cp:lastModifiedBy>
  <cp:lastPrinted>2020-09-17T20:56:45Z</cp:lastPrinted>
  <dcterms:created xsi:type="dcterms:W3CDTF">2020-07-24T16:22:19Z</dcterms:created>
  <dcterms:modified xsi:type="dcterms:W3CDTF">2022-04-07T17:01:22Z</dcterms:modified>
</cp:coreProperties>
</file>