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595" windowHeight="5835" firstSheet="2" activeTab="8"/>
  </bookViews>
  <sheets>
    <sheet name="Clasific. Económica de Ingr (2)" sheetId="1" state="hidden" r:id="rId1"/>
    <sheet name="Clasific. Económica de Ingresos" sheetId="2" r:id="rId2"/>
    <sheet name="GASTOS" sheetId="3" r:id="rId3"/>
    <sheet name="general" sheetId="4" r:id="rId4"/>
    <sheet name="Origen y Aplicación (2)" sheetId="5" r:id="rId5"/>
    <sheet name="CUADRO 2 RH (2)" sheetId="6" r:id="rId6"/>
    <sheet name="CUADRO 3 SA" sheetId="7" r:id="rId7"/>
    <sheet name="CUADRO 4 Deudas (2)" sheetId="8" r:id="rId8"/>
    <sheet name="CUADRO 5 TRANFERENCIAS "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Print_Area" localSheetId="1">'Clasific. Económica de Ingresos'!$A$1:$E$161</definedName>
    <definedName name="_xlnm.Print_Area" localSheetId="8">'CUADRO 5 TRANFERENCIAS '!$A$1:$F$84</definedName>
    <definedName name="_xlnm.Print_Area" localSheetId="2">'GASTOS'!$A$1:$G$27</definedName>
    <definedName name="_xlnm.Print_Area" localSheetId="3">'general'!$A$1:$I$234</definedName>
    <definedName name="_xlnm.Print_Area" localSheetId="4">'Origen y Aplicación (2)'!$A$1:$I$368</definedName>
    <definedName name="_xlnm.Print_Titles" localSheetId="1">'Clasific. Económica de Ingresos'!$1:$7</definedName>
    <definedName name="_xlnm.Print_Titles" localSheetId="8">'CUADRO 5 TRANFERENCIAS '!$1:$6</definedName>
    <definedName name="_xlnm.Print_Titles" localSheetId="4">'Origen y Aplicación (2)'!$1:$7</definedName>
    <definedName name="Z_BC930EA0_BB45_11D6_934F_00E07D8B5739_.wvu.Cols" localSheetId="4" hidden="1">'Origen y Aplicación (2)'!#REF!</definedName>
    <definedName name="Z_BC930EA0_BB45_11D6_934F_00E07D8B5739_.wvu.Rows" localSheetId="4" hidden="1">'Origen y Aplicación (2)'!#REF!</definedName>
  </definedNames>
  <calcPr fullCalcOnLoad="1"/>
</workbook>
</file>

<file path=xl/comments5.xml><?xml version="1.0" encoding="utf-8"?>
<comments xmlns="http://schemas.openxmlformats.org/spreadsheetml/2006/main">
  <authors>
    <author>x</author>
    <author>Planificacion</author>
  </authors>
  <commentList>
    <comment ref="H322" authorId="0">
      <text>
        <r>
          <rPr>
            <b/>
            <sz val="8"/>
            <rFont val="Tahoma"/>
            <family val="2"/>
          </rPr>
          <t xml:space="preserve">Este ingreso debe distribuirse según los recursos invertidos, por lo que debe establecerse un mecanismo para determinar a que recursos invertidos corresponden los intereses generados. Determinado lo anterior los recursos se pueden utilizar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M189</t>
        </r>
      </text>
    </comment>
    <comment ref="H257" authorId="0">
      <text>
        <r>
          <rPr>
            <b/>
            <sz val="8"/>
            <rFont val="Tahoma"/>
            <family val="2"/>
          </rPr>
          <t xml:space="preserve">Este ingreso debe distribuirse según los recursos invertidos, por lo que debe establecerse un mecanismo para determinar a que recursos invertidos corresponden los intereses generados. Determinado lo anterior los recursos se pueden utilizar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M189</t>
        </r>
      </text>
    </comment>
    <comment ref="H256" authorId="1">
      <text>
        <r>
          <rPr>
            <b/>
            <sz val="8"/>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H244"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 xml:space="preserve">M218
</t>
        </r>
      </text>
    </comment>
    <comment ref="H218" authorId="0">
      <text>
        <r>
          <rPr>
            <b/>
            <sz val="8"/>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rFont val="Tahoma"/>
            <family val="2"/>
          </rPr>
          <t xml:space="preserve"> LOS DIFERENTES GRUPOS Y REGLONES DEL SERVICIO O7 MERCADOS, PLAZAS Y FERIAS  en los reglones que siguen.
ADEMAS SE DEBE VARIAR LA FORMULA CADA VEZ QUE SE ABRA UN REGLON NUEVO HACIA ABAJO RESTANDO A </t>
        </r>
        <r>
          <rPr>
            <sz val="8"/>
            <rFont val="Tahoma"/>
            <family val="2"/>
          </rPr>
          <t>M130</t>
        </r>
      </text>
    </comment>
    <comment ref="H198"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M248</t>
        </r>
      </text>
    </comment>
    <comment ref="H197" authorId="0">
      <text>
        <r>
          <rPr>
            <b/>
            <sz val="8"/>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rFont val="Tahoma"/>
            <family val="2"/>
          </rPr>
          <t xml:space="preserve"> LOS DIFERENTES GRUPOS Y REGLONES DEL SERVICIO O7 MERCADOS, PLAZAS Y FERIAS  en los reglones que siguen.
ADEMAS SE DEBE VARIAR LA FORMULA CADA VEZ QUE SE ABRA UN REGLON NUEVO HACIA ABAJO RESTANDO A </t>
        </r>
        <r>
          <rPr>
            <sz val="8"/>
            <rFont val="Tahoma"/>
            <family val="2"/>
          </rPr>
          <t>M130</t>
        </r>
      </text>
    </comment>
    <comment ref="H192"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M248</t>
        </r>
      </text>
    </comment>
    <comment ref="H187"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M248</t>
        </r>
      </text>
    </comment>
    <comment ref="H181"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M248</t>
        </r>
      </text>
    </comment>
    <comment ref="H175" authorId="1">
      <text>
        <r>
          <rPr>
            <b/>
            <sz val="8"/>
            <rFont val="Tahoma"/>
            <family val="2"/>
          </rPr>
          <t xml:space="preserve">Este ingreso por ley 1634 solo puede ser utilizados para la prestación del servicio de agua y debe aplicarse al mantenimiento, administración y mejoramiento del sistema. Por lo que debe distribuirse para sufragar los gastos de  LOS DIFERENTES GRUPOS Y REGLONES DEL SERVICIO O6 ACUEDUCTOS en los reglones que siguen.
ADEMAS SE DEBE VARIAR LA FORMULA CADA VEZ QUE SE ABRA UN REGLON NUEVO HACIA ABAJO RESTANDO A </t>
        </r>
        <r>
          <rPr>
            <b/>
            <sz val="8"/>
            <rFont val="Tahoma"/>
            <family val="2"/>
          </rPr>
          <t>M164</t>
        </r>
      </text>
    </comment>
    <comment ref="H159" authorId="0">
      <text>
        <r>
          <rPr>
            <b/>
            <sz val="8"/>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rFont val="Tahoma"/>
            <family val="2"/>
          </rPr>
          <t xml:space="preserve"> LOS DIFERENTES GRUPOS Y REGLONES DEL SERVICIO O7 MERCADOS, PLAZAS Y FERIAS  en los reglones que siguen.
ADEMAS SE DEBE VARIAR LA FORMULA CADA VEZ QUE SE ABRA UN REGLON NUEVO HACIA ABAJO RESTANDO A </t>
        </r>
        <r>
          <rPr>
            <sz val="8"/>
            <rFont val="Tahoma"/>
            <family val="2"/>
          </rPr>
          <t>M130</t>
        </r>
      </text>
    </comment>
    <comment ref="H149" authorId="0">
      <text>
        <r>
          <rPr>
            <b/>
            <sz val="8"/>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rFont val="Tahoma"/>
            <family val="2"/>
          </rPr>
          <t xml:space="preserve"> LOS DIFERENTES GRUPOS Y REGLONES DEL SERVICIO O7 MERCADOS, PLAZAS Y FERIAS  Una vez que esto se haya hecho se pueden tomar estos recursos sobrantes para sufragar gastos del Programa I. EN TAL CASO SE DEBE VARIAR LA FORMULA CADA VEZ QUE SE ABRA UN REGLON NUEVO HACIA ABAJO RESTANDO A </t>
        </r>
        <r>
          <rPr>
            <sz val="8"/>
            <rFont val="Tahoma"/>
            <family val="2"/>
          </rPr>
          <t>M110</t>
        </r>
      </text>
    </comment>
    <comment ref="H134" authorId="0">
      <text>
        <r>
          <rPr>
            <sz val="8"/>
            <rFont val="Tahoma"/>
            <family val="2"/>
          </rPr>
          <t xml:space="preserve">De este ingreso se destina un 10% para Gasto Administrativo del Programa I, que se deberá distribuir en los renglones o grupos que mejor se consideren teniendo que abrirse hacia abajo  y restando cada renglón abierto a </t>
        </r>
        <r>
          <rPr>
            <sz val="8"/>
            <rFont val="Tahoma"/>
            <family val="2"/>
          </rPr>
          <t>M98</t>
        </r>
      </text>
    </comment>
    <comment ref="H103" authorId="1">
      <text>
        <r>
          <rPr>
            <b/>
            <sz val="8"/>
            <rFont val="Tahoma"/>
            <family val="2"/>
          </rPr>
          <t xml:space="preserve">Este ingreso no tiene un fin específico por lo que puede utilizarse para sufragar los gastos de  LOS DIFERENTES GRUPOS Y REGLONES DEL PROGRAMA I,  en los reglones que siguen.
ADEMAS SE DEBE VARIAR LA FORMULA CADA VEZ QUE SE ABRA UN REGLON NUEVO HACIA ABAJO RESTANDO A M40
</t>
        </r>
      </text>
    </comment>
    <comment ref="H102" authorId="1">
      <text>
        <r>
          <rPr>
            <b/>
            <sz val="8"/>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H70" authorId="0">
      <text>
        <r>
          <rPr>
            <b/>
            <sz val="8"/>
            <rFont val="Tahoma"/>
            <family val="2"/>
          </rPr>
          <t>Según Ley 7729 se podrá disponer de un porcentaje (que nosotros hemos estimado en 20%) para gastos en PROYECTOS Y OBRAS:</t>
        </r>
        <r>
          <rPr>
            <sz val="8"/>
            <rFont val="Tahoma"/>
            <family val="2"/>
          </rPr>
          <t xml:space="preserve">
ESTOS RECURSOS DEBERAN DISTRIBUIRSE ENTRE LOS DIFERENTES GRUPOS Y REGLONES DEL PROGRAMA III en los reglones que siguen.
ADEMAS SE DEBE VARIAR LA FORMULA CADA VEZ QUE SE ABRA UN REGLON NUEVO HACIA ABAJO RESTANDO A </t>
        </r>
        <r>
          <rPr>
            <sz val="8"/>
            <rFont val="Tahoma"/>
            <family val="2"/>
          </rPr>
          <t>M30</t>
        </r>
      </text>
    </comment>
    <comment ref="H66" authorId="0">
      <text>
        <r>
          <rPr>
            <b/>
            <sz val="8"/>
            <rFont val="Tahoma"/>
            <family val="2"/>
          </rPr>
          <t>Según Ley 7729 sólo se podrá disponer del 10% para gastos administrativosx:</t>
        </r>
        <r>
          <rPr>
            <sz val="8"/>
            <rFont val="Tahoma"/>
            <family val="2"/>
          </rPr>
          <t xml:space="preserve">
ESTOS RECURSOS DEBERAN DISTRIBUIRSE ENTRE LOS DIFERENTES GRUPOS Y REGLONES DEL PROGRAMA I en los reglones que siguen.
ADEMAS SE DEBE VARIAR LA FORMULA CADA VEZ QUE SE ABRA UN REGLON NUEVO HACIA ABAJO RESTANDO A </t>
        </r>
        <r>
          <rPr>
            <sz val="8"/>
            <rFont val="Tahoma"/>
            <family val="2"/>
          </rPr>
          <t>M23</t>
        </r>
      </text>
    </comment>
    <comment ref="J10" authorId="1">
      <text>
        <r>
          <rPr>
            <b/>
            <sz val="8"/>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H10" authorId="0">
      <text>
        <r>
          <rPr>
            <b/>
            <sz val="8"/>
            <rFont val="Tahoma"/>
            <family val="2"/>
          </rPr>
          <t>Según Ley 7729 sólo se podrá disponer del 10% para gastos administrativosx:</t>
        </r>
        <r>
          <rPr>
            <sz val="8"/>
            <rFont val="Tahoma"/>
            <family val="2"/>
          </rPr>
          <t xml:space="preserve">
ESTOS RECURSOS DEBERAN DISTRIBUIRSE ENTRE LOS DIFERENTES GRUPOS Y REGLONES DEL PROGRAMA I en los reglones que siguen.
ADEMAS SE DEBE VARIAR LA FORMULA CADA VEZ QUE SE ABRA UN REGLON NUEVO HACIA ABAJO RESTANDO A </t>
        </r>
        <r>
          <rPr>
            <sz val="8"/>
            <rFont val="Tahoma"/>
            <family val="2"/>
          </rPr>
          <t xml:space="preserve">M18
</t>
        </r>
      </text>
    </comment>
  </commentList>
</comments>
</file>

<file path=xl/comments6.xml><?xml version="1.0" encoding="utf-8"?>
<comments xmlns="http://schemas.openxmlformats.org/spreadsheetml/2006/main">
  <authors>
    <author>Flor de Mar?a Alfaro</author>
  </authors>
  <commentList>
    <comment ref="A5" authorId="0">
      <text>
        <r>
          <rPr>
            <b/>
            <sz val="10"/>
            <color indexed="9"/>
            <rFont val="Tahoma"/>
            <family val="2"/>
          </rPr>
          <t xml:space="preserve">ESTA INFORMACIÓN ES LA MISMA QUE ESTÁ EN EL MODELO ELECTRÓNICO DEL PLAN OPERATIVO ANUAL
</t>
        </r>
      </text>
    </comment>
    <comment ref="B7" authorId="0">
      <text>
        <r>
          <rPr>
            <b/>
            <sz val="8"/>
            <rFont val="Tahoma"/>
            <family val="2"/>
          </rPr>
          <t>Número de plazas</t>
        </r>
      </text>
    </comment>
    <comment ref="C7" authorId="0">
      <text>
        <r>
          <rPr>
            <b/>
            <sz val="8"/>
            <rFont val="Tahoma"/>
            <family val="2"/>
          </rPr>
          <t>Número de plazas</t>
        </r>
      </text>
    </comment>
    <comment ref="D7" authorId="0">
      <text>
        <r>
          <rPr>
            <b/>
            <sz val="8"/>
            <rFont val="Tahoma"/>
            <family val="2"/>
          </rPr>
          <t>Tiene que ser "0"</t>
        </r>
      </text>
    </comment>
    <comment ref="E7" authorId="0">
      <text>
        <r>
          <rPr>
            <b/>
            <sz val="8"/>
            <rFont val="Tahoma"/>
            <family val="2"/>
          </rPr>
          <t>Número de plazas</t>
        </r>
      </text>
    </comment>
    <comment ref="F7" authorId="0">
      <text>
        <r>
          <rPr>
            <b/>
            <sz val="8"/>
            <rFont val="Tahoma"/>
            <family val="2"/>
          </rPr>
          <t>Número de plazas</t>
        </r>
      </text>
    </comment>
    <comment ref="G7" authorId="0">
      <text>
        <r>
          <rPr>
            <b/>
            <sz val="8"/>
            <rFont val="Tahoma"/>
            <family val="2"/>
          </rPr>
          <t>Número de plazas</t>
        </r>
      </text>
    </comment>
    <comment ref="H7" authorId="0">
      <text>
        <r>
          <rPr>
            <b/>
            <sz val="8"/>
            <rFont val="Tahoma"/>
            <family val="2"/>
          </rPr>
          <t>Número de plazas</t>
        </r>
      </text>
    </comment>
    <comment ref="J7" authorId="0">
      <text>
        <r>
          <rPr>
            <b/>
            <sz val="8"/>
            <rFont val="Tahoma"/>
            <family val="2"/>
          </rPr>
          <t>Número de plazas</t>
        </r>
      </text>
    </comment>
    <comment ref="K7" authorId="0">
      <text>
        <r>
          <rPr>
            <b/>
            <sz val="8"/>
            <rFont val="Tahoma"/>
            <family val="2"/>
          </rPr>
          <t>Número de plazas</t>
        </r>
      </text>
    </comment>
    <comment ref="M7" authorId="0">
      <text>
        <r>
          <rPr>
            <b/>
            <sz val="8"/>
            <rFont val="Tahoma"/>
            <family val="2"/>
          </rPr>
          <t>Tiene que ser "0"</t>
        </r>
        <r>
          <rPr>
            <sz val="8"/>
            <rFont val="Tahoma"/>
            <family val="2"/>
          </rPr>
          <t xml:space="preserve">
</t>
        </r>
      </text>
    </comment>
    <comment ref="N7" authorId="0">
      <text>
        <r>
          <rPr>
            <b/>
            <sz val="8"/>
            <rFont val="Tahoma"/>
            <family val="2"/>
          </rPr>
          <t>Número de plazas</t>
        </r>
      </text>
    </comment>
    <comment ref="O7" authorId="0">
      <text>
        <r>
          <rPr>
            <b/>
            <sz val="8"/>
            <rFont val="Tahoma"/>
            <family val="2"/>
          </rPr>
          <t>Número de plazas</t>
        </r>
      </text>
    </comment>
    <comment ref="P7" authorId="0">
      <text>
        <r>
          <rPr>
            <b/>
            <sz val="8"/>
            <rFont val="Tahoma"/>
            <family val="2"/>
          </rPr>
          <t>Número de plazas</t>
        </r>
      </text>
    </comment>
    <comment ref="Q7" authorId="0">
      <text>
        <r>
          <rPr>
            <b/>
            <sz val="8"/>
            <rFont val="Tahoma"/>
            <family val="2"/>
          </rPr>
          <t>Número de plazas</t>
        </r>
      </text>
    </comment>
    <comment ref="K8" authorId="0">
      <text>
        <r>
          <rPr>
            <b/>
            <sz val="8"/>
            <rFont val="Tahoma"/>
            <family val="2"/>
          </rPr>
          <t>ARTÍCULO 118 DEL CÓDIGO MUNICIPAL</t>
        </r>
        <r>
          <rPr>
            <sz val="8"/>
            <rFont val="Tahoma"/>
            <family val="2"/>
          </rPr>
          <t xml:space="preserve">
</t>
        </r>
      </text>
    </comment>
  </commentList>
</comments>
</file>

<file path=xl/comments8.xml><?xml version="1.0" encoding="utf-8"?>
<comments xmlns="http://schemas.openxmlformats.org/spreadsheetml/2006/main">
  <authors>
    <author>hellen.laverde</author>
    <author>Flor de Mar?a Alfaro</author>
  </authors>
  <commentList>
    <comment ref="G11" authorId="0">
      <text>
        <r>
          <rPr>
            <b/>
            <sz val="9"/>
            <rFont val="Tahoma"/>
            <family val="2"/>
          </rPr>
          <t>hellen.laverde:</t>
        </r>
        <r>
          <rPr>
            <sz val="9"/>
            <rFont val="Tahoma"/>
            <family val="2"/>
          </rPr>
          <t xml:space="preserve">
Saldo de la deuda al momento de someter a aprobación el documento presupuestario
</t>
        </r>
      </text>
    </comment>
    <comment ref="C23" authorId="1">
      <text>
        <r>
          <rPr>
            <b/>
            <sz val="8"/>
            <rFont val="Tahoma"/>
            <family val="2"/>
          </rPr>
          <t>Incluido en el Grupo: "Intereses sobre préstamos" de la partida 3 Intereses y comisiones.</t>
        </r>
        <r>
          <rPr>
            <sz val="8"/>
            <rFont val="Tahoma"/>
            <family val="2"/>
          </rPr>
          <t xml:space="preserve">
</t>
        </r>
      </text>
    </comment>
    <comment ref="D23" authorId="1">
      <text>
        <r>
          <rPr>
            <b/>
            <sz val="8"/>
            <rFont val="Tahoma"/>
            <family val="2"/>
          </rPr>
          <t>Incluido en el Grupo: "Amortización de préstamos" de la partida 8 Amortización.</t>
        </r>
        <r>
          <rPr>
            <sz val="8"/>
            <rFont val="Tahoma"/>
            <family val="2"/>
          </rPr>
          <t xml:space="preserve">
</t>
        </r>
      </text>
    </comment>
  </commentList>
</comments>
</file>

<file path=xl/comments9.xml><?xml version="1.0" encoding="utf-8"?>
<comments xmlns="http://schemas.openxmlformats.org/spreadsheetml/2006/main">
  <authors>
    <author>Flor de Mar?a Alfaro</author>
  </authors>
  <commentList>
    <comment ref="B8" authorId="0">
      <text>
        <r>
          <rPr>
            <sz val="8"/>
            <rFont val="Tahoma"/>
            <family val="2"/>
          </rPr>
          <t xml:space="preserve">Nombre completo de la entidad beneficiada (sin abreviaciones)
</t>
        </r>
      </text>
    </comment>
    <comment ref="B63" authorId="0">
      <text>
        <r>
          <rPr>
            <sz val="8"/>
            <rFont val="Tahoma"/>
            <family val="2"/>
          </rPr>
          <t xml:space="preserve">Nombre completo de la entidad beneficiada (sin abreviaciones)
</t>
        </r>
      </text>
    </comment>
  </commentList>
</comments>
</file>

<file path=xl/sharedStrings.xml><?xml version="1.0" encoding="utf-8"?>
<sst xmlns="http://schemas.openxmlformats.org/spreadsheetml/2006/main" count="1816" uniqueCount="859">
  <si>
    <t>MUNICIPALIDAD DE ALAJUELA</t>
  </si>
  <si>
    <t>PRESUPUESTO ORDINARIO</t>
  </si>
  <si>
    <t>SEECION DE INGRESOS</t>
  </si>
  <si>
    <t>CODIGO</t>
  </si>
  <si>
    <t>CLASIFICACIÓN ECONÓMICA DE INGRESOS</t>
  </si>
  <si>
    <t xml:space="preserve">PARCIAL </t>
  </si>
  <si>
    <t>TOTAL</t>
  </si>
  <si>
    <t>%</t>
  </si>
  <si>
    <t>1.0.0.0.00.00.0.0.000</t>
  </si>
  <si>
    <t>INGRESOS CORRIENTES</t>
  </si>
  <si>
    <t xml:space="preserve">  </t>
  </si>
  <si>
    <t>1.1.0.0.00.00.0.0.000</t>
  </si>
  <si>
    <t>Ingresos Tributarios</t>
  </si>
  <si>
    <t>1.1.2.0.00.00.0.0.000</t>
  </si>
  <si>
    <t>Impuestos a la Propiedad</t>
  </si>
  <si>
    <t>1.1.2.1.00.00.0.0.000</t>
  </si>
  <si>
    <t>Impuesto sobre la Propiedad de Bienes Inmuebles</t>
  </si>
  <si>
    <t>1.1.2.1.01.00.0.0.000</t>
  </si>
  <si>
    <t>Impuesto S/Bienes Inmuebles, Ley 7729</t>
  </si>
  <si>
    <t>1.1.2.2.02.00.0.0.000</t>
  </si>
  <si>
    <t>Impuesto S/Bienes Inmuebles, Ley 7509</t>
  </si>
  <si>
    <t>1.1.3.0.00.00.0.0.000</t>
  </si>
  <si>
    <t>Impuesto sobre Bienes y Servicios</t>
  </si>
  <si>
    <t>1.1.3.2.00.00.0.0.000</t>
  </si>
  <si>
    <t>Impuesto especificos sobre la Producción y Consumo de Bienes y Servicios</t>
  </si>
  <si>
    <t>1.1.3.2.01.00.0.0.000</t>
  </si>
  <si>
    <t>Impuesto especificos sobre la Producción y Consumo de Bienes</t>
  </si>
  <si>
    <t>1.1.3.2.01.02.0.0.001</t>
  </si>
  <si>
    <t>Impuesto Especifico sobre la Explotación de Recursoso Naturales y Minarales</t>
  </si>
  <si>
    <t>1.1.3.2.01.04.0.0.000</t>
  </si>
  <si>
    <t>Impuesto Específico sobre Bienes Facturaados</t>
  </si>
  <si>
    <t>Impuestos al Cemento</t>
  </si>
  <si>
    <t>1.1.3.2.01.05.0.0.000</t>
  </si>
  <si>
    <t>Impuestos sobre Construcciones</t>
  </si>
  <si>
    <t>1.1.3.2.02.00.0.0.000</t>
  </si>
  <si>
    <t>Impuesto especificos sobre la Producción y Consumo de Servicios</t>
  </si>
  <si>
    <t>1.1.3.2.02.09.0.0.000</t>
  </si>
  <si>
    <t>Otros Impuestos Específicos sobre la Producción y Consumo de Servicios</t>
  </si>
  <si>
    <t>1.1.3.3.00.00.0.0.000</t>
  </si>
  <si>
    <t>Otros Impuestos a los Bienes y Servicios</t>
  </si>
  <si>
    <t>1.1.3.3.01.00.0.0.000</t>
  </si>
  <si>
    <t>1.1.3.3.01.01.0.0.000</t>
  </si>
  <si>
    <t>Impuestos sobre Rótulos Públicos</t>
  </si>
  <si>
    <t>1.1.3.3.01.02.0.0.000</t>
  </si>
  <si>
    <t>Patentes municipales</t>
  </si>
  <si>
    <t>1.1.9.0.00.00.0.0.000</t>
  </si>
  <si>
    <t>Otros Ingresos Tributarios</t>
  </si>
  <si>
    <t>1.1.9.1.00.00.0.0.000</t>
  </si>
  <si>
    <t>Impuesto de Timbres</t>
  </si>
  <si>
    <t>1.1.9.1.01.00.0.0.000</t>
  </si>
  <si>
    <t>Timbres municipales</t>
  </si>
  <si>
    <t>1.1.9.1.02.00.0.0.000</t>
  </si>
  <si>
    <t>Timbres Parq. Nac. Ley 7788</t>
  </si>
  <si>
    <t>1.3.0.0.00.00.0.0.000</t>
  </si>
  <si>
    <t>Ingresos no Tributarios</t>
  </si>
  <si>
    <t>1.3.1.0.00.00.0.0.000</t>
  </si>
  <si>
    <t>Venta de Bienes y Servicios</t>
  </si>
  <si>
    <t>1.3.1.1.00.00.0.0.000</t>
  </si>
  <si>
    <t>Venta de Bienes</t>
  </si>
  <si>
    <t>1.3.1.1.05.00.0.0.000</t>
  </si>
  <si>
    <t>Venta de agua</t>
  </si>
  <si>
    <t>1.3.1.2.00.00.0.0.000</t>
  </si>
  <si>
    <t>Venta de Servicios</t>
  </si>
  <si>
    <t>1.3.1.2.04.00.0.0.000</t>
  </si>
  <si>
    <t>Alquileres</t>
  </si>
  <si>
    <t>1.3.1.2.04.01.0.0.000</t>
  </si>
  <si>
    <t>Alquiler de edificios e instalaciones</t>
  </si>
  <si>
    <t>1.3.1.2.04.01.1.0.000</t>
  </si>
  <si>
    <t>Alquiler de mercado</t>
  </si>
  <si>
    <t>1.3.1.2.04.01.2.0.000</t>
  </si>
  <si>
    <t>Alquiler de edificios y locales</t>
  </si>
  <si>
    <t>1.3.1.2.04.09.0.0.000</t>
  </si>
  <si>
    <t>Otros Alquileres</t>
  </si>
  <si>
    <t>1.3.1.2.05.00.0.0.000</t>
  </si>
  <si>
    <t>Servicios Comunitarios</t>
  </si>
  <si>
    <t>1.3.1.2.05.01.0.0.000</t>
  </si>
  <si>
    <t>Servicio  Alcantarillado Sanitario Y Pluvial</t>
  </si>
  <si>
    <t>1.3.1.2.05.01.1.0.000</t>
  </si>
  <si>
    <t xml:space="preserve">Servicio  Alcantarillado Sanitario </t>
  </si>
  <si>
    <t>1.3.1.2.05.02.0.0.000</t>
  </si>
  <si>
    <t>Servicios de Instalación y Derivación delAgua</t>
  </si>
  <si>
    <t>1.3.1.2.05.02.1.0.000</t>
  </si>
  <si>
    <t>Servicioe Instalación de Cañerías</t>
  </si>
  <si>
    <t>1.3.1.2.05.02.2.0.000</t>
  </si>
  <si>
    <t>Estudios de Consumos y Fugas</t>
  </si>
  <si>
    <t>1.3.1.2.05.04.0.0.000</t>
  </si>
  <si>
    <t>Servicio de Saneamiento Ambiental</t>
  </si>
  <si>
    <t>1.3.1.2.05.04.1.0.000</t>
  </si>
  <si>
    <t>Servicio de Recolección de Basura</t>
  </si>
  <si>
    <t>1.3.1.2.05.04.2.0.000</t>
  </si>
  <si>
    <t>Servicio de Aseo de Vías y Sitios Públicos</t>
  </si>
  <si>
    <t>1.3.1.2.05.04.4.0.000</t>
  </si>
  <si>
    <t>Servicios de Parques Obras de Ornato</t>
  </si>
  <si>
    <t>1.3.1.2.05.04.5.0.000</t>
  </si>
  <si>
    <t>Incumplimiento de Deberes IBI</t>
  </si>
  <si>
    <t>1.3.1.2.09.00.0.0.000</t>
  </si>
  <si>
    <t>Otros Servicios</t>
  </si>
  <si>
    <t>1.3.1.2.09.09.0.0.000</t>
  </si>
  <si>
    <t>Venta de otros servicios</t>
  </si>
  <si>
    <t>RESUMEN GENERAL DE INGRESOS</t>
  </si>
  <si>
    <t>1.3.1.3.00.00.0.0.000</t>
  </si>
  <si>
    <t>Derecho Administrativo</t>
  </si>
  <si>
    <t>1.3.1.3.01.00.0.0.000</t>
  </si>
  <si>
    <t xml:space="preserve">Derechos Administrativos a los Servicios de Transporte </t>
  </si>
  <si>
    <t>1.3.1.3.01.01.0.0.000</t>
  </si>
  <si>
    <t>Derechos Administrativos a los Servicios de Transporte por carretera</t>
  </si>
  <si>
    <t>1.3.1.3.01.01.1.0.000</t>
  </si>
  <si>
    <t>Derecho de estacionamiento y de terminales</t>
  </si>
  <si>
    <t>1.3.1.3.02.00.0.0.000</t>
  </si>
  <si>
    <t>Derechos Administrativos a otros servicios Públicos</t>
  </si>
  <si>
    <t>1.3.1.3.02.03.0.0.000</t>
  </si>
  <si>
    <t>Derechos Administrativos a Actividades Comerciales</t>
  </si>
  <si>
    <t>1.3.1.3.02.03.1.0.000</t>
  </si>
  <si>
    <t>Derecho plaza de ganado</t>
  </si>
  <si>
    <t>1.3.2.0.00.00.0.0.000</t>
  </si>
  <si>
    <t>Ingresos a la Propiedad</t>
  </si>
  <si>
    <t>1.3.2.3.00.00.0.0.000</t>
  </si>
  <si>
    <t>Renta de Activos Financieros</t>
  </si>
  <si>
    <t>1.3.2.3.01.00.0.0.000</t>
  </si>
  <si>
    <t>Intereses sobre titulos Valores</t>
  </si>
  <si>
    <t>1.3.2.3.01.06.0.0.000</t>
  </si>
  <si>
    <t>Intereses sobre titulos Valores  de Instituciones Públicas Financieras</t>
  </si>
  <si>
    <t>1.3.3.0.00.00.0.0.000</t>
  </si>
  <si>
    <t>Multas, sanciones, remates y Confiscaciones</t>
  </si>
  <si>
    <t>1.3.3.1.00.00.0.0.000</t>
  </si>
  <si>
    <t>Multas y Sanciones</t>
  </si>
  <si>
    <t>1.3.3.1.01.00.0.0.000</t>
  </si>
  <si>
    <t>Multas de Tránsito</t>
  </si>
  <si>
    <t>1.3.3.1.01.01.0.0.000</t>
  </si>
  <si>
    <t>Multas por infracción ley de parquímetros</t>
  </si>
  <si>
    <t>1.3.3.1.02.00.0.0.000</t>
  </si>
  <si>
    <t>Multas por atraso en el Pago de Impuestos</t>
  </si>
  <si>
    <t>1.3.3.1.02.01.0.0.000</t>
  </si>
  <si>
    <t>Multas por mora en el pago de impuestos y tasas</t>
  </si>
  <si>
    <t>1.3.4.0.00.00.0.0.000</t>
  </si>
  <si>
    <t>Intereses Moratorios</t>
  </si>
  <si>
    <t>1.3.4.1.00.00.0.0.000</t>
  </si>
  <si>
    <t>Intereses por mora en tributos</t>
  </si>
  <si>
    <t>1.4.0.0.00.00.0.0.000</t>
  </si>
  <si>
    <t>Transferencias Corrientes</t>
  </si>
  <si>
    <t>1.4.1.0.00.00.0.0.000</t>
  </si>
  <si>
    <t>Tranferencias corrientes del sector Público</t>
  </si>
  <si>
    <t>1.4.1.2.00.00.0.0.000</t>
  </si>
  <si>
    <t>Tranferencias corrientes de Organos Desconcentrados</t>
  </si>
  <si>
    <t>1.4.1.2.01.00.0.0.000</t>
  </si>
  <si>
    <t>Aporte del Consejo de Seg. Vial Ley 7331</t>
  </si>
  <si>
    <t xml:space="preserve"> </t>
  </si>
  <si>
    <t>1.4.1.3.00.00.0.0.000</t>
  </si>
  <si>
    <t>1.4.1.3.01.00.0.0.000</t>
  </si>
  <si>
    <t>Aporte IFAM de Lic. Nac. Y Extranjeros</t>
  </si>
  <si>
    <t>2.0.0.0.00.00.0.0.000</t>
  </si>
  <si>
    <t>INGRESOS DE CAPITAL</t>
  </si>
  <si>
    <t>2.1.0.0.00.00.0.0.000</t>
  </si>
  <si>
    <t>Venta de Activos</t>
  </si>
  <si>
    <t>2.1.2.0.00.00.0.0.000</t>
  </si>
  <si>
    <t>Venta de Activos Intangibles</t>
  </si>
  <si>
    <t>2.1.2.1.00.00.0.0.000</t>
  </si>
  <si>
    <t>Venta de Patentes</t>
  </si>
  <si>
    <t>2.1.2.1.01.00.0.0.000</t>
  </si>
  <si>
    <t>Patentes de licores</t>
  </si>
  <si>
    <t>2.2.0.0.00.00.0.0.000</t>
  </si>
  <si>
    <t>Recuperación y Anticipos por obras de utilidad Pública</t>
  </si>
  <si>
    <t>2.2.1.0.00.00.0.0.000</t>
  </si>
  <si>
    <t>Vías de Comunicación</t>
  </si>
  <si>
    <t>2.2.1.1.00.00.0.0.000</t>
  </si>
  <si>
    <t>Ruptura de Calles</t>
  </si>
  <si>
    <t>2.4.0.0.00.00.0.0.000</t>
  </si>
  <si>
    <t>Transferencias de Capital</t>
  </si>
  <si>
    <t>Transferencias de Capital del Sector Público</t>
  </si>
  <si>
    <t>2.4.1.1.00.00.0.0.000</t>
  </si>
  <si>
    <t>Transferencias de Capital del  Gobierno Central</t>
  </si>
  <si>
    <t>2.4.1.1.01.00.0.0.000</t>
  </si>
  <si>
    <t>Ley de Simplificación 8114</t>
  </si>
  <si>
    <t>2.4.1.3.00.00.0.0.000</t>
  </si>
  <si>
    <t>Transferencias de Capital de Instituciones Descentralizadas no Empresariales</t>
  </si>
  <si>
    <t>2.4.1.3.01.00.0.0.001</t>
  </si>
  <si>
    <t>Aportes IFAM para Mant. Y Conservación de</t>
  </si>
  <si>
    <t>Caminos Y Calles, Ley 6909</t>
  </si>
  <si>
    <t>TOTAL DE INGRESOS</t>
  </si>
  <si>
    <t xml:space="preserve">PRESUPUESTO ORDINARIO </t>
  </si>
  <si>
    <t>DETALLE GENERAL DELOBJETO DEL GASTO</t>
  </si>
  <si>
    <t>EGRESOS TOTALES</t>
  </si>
  <si>
    <t>REMUNERACIONES</t>
  </si>
  <si>
    <t xml:space="preserve">SERVICIOS </t>
  </si>
  <si>
    <t>MATERIALES Y SUMINISTROS</t>
  </si>
  <si>
    <t>INTERESES Y COMISIONES</t>
  </si>
  <si>
    <t>BIENES DURADEROS</t>
  </si>
  <si>
    <t>TRANSFERENCIAS CORRIENTES</t>
  </si>
  <si>
    <t>TRANFERENCIAS DE CAPITAL</t>
  </si>
  <si>
    <t>AMORTIZACION</t>
  </si>
  <si>
    <t>CUENTAS ESPECIALES</t>
  </si>
  <si>
    <t>PROGRAMA I: DIRECCIÓN Y ADMINISTRACIÓN GENERAL</t>
  </si>
  <si>
    <t>PROGRAMA II: SERVICIOS COMUNALES</t>
  </si>
  <si>
    <t>PROGRAMA III: INVERSIONES</t>
  </si>
  <si>
    <t>TOTALES POR EL OBJETO DEL GASTO</t>
  </si>
  <si>
    <t>Totales</t>
  </si>
  <si>
    <t>PRESUPUESTO ORDINARIO DE EGRESOS</t>
  </si>
  <si>
    <t>RESUMEN GENERAL DE EGRESOS</t>
  </si>
  <si>
    <t>DESCRIPCIÓN:</t>
  </si>
  <si>
    <t>CLASIFICACIÓN DE GASTOS</t>
  </si>
  <si>
    <t>ASIGNACIÓN PRESUPUESTARIA</t>
  </si>
  <si>
    <t>Programa I</t>
  </si>
  <si>
    <t>Programa II</t>
  </si>
  <si>
    <t>Programa III</t>
  </si>
  <si>
    <t>Remuneraciones Básicas</t>
  </si>
  <si>
    <t>Sueldos para cargos fijos</t>
  </si>
  <si>
    <t>Jornales</t>
  </si>
  <si>
    <t xml:space="preserve">Servicios Especiales </t>
  </si>
  <si>
    <t xml:space="preserve">Suplencias </t>
  </si>
  <si>
    <t>Remuneraciones Eventuales</t>
  </si>
  <si>
    <t>Tiempo Extraordinario</t>
  </si>
  <si>
    <t>Recargo de Funciones</t>
  </si>
  <si>
    <t>Dietas</t>
  </si>
  <si>
    <t>Incentivos Salariales</t>
  </si>
  <si>
    <t>Retribución por años Servidos</t>
  </si>
  <si>
    <t>Restricciòn del Ejercicio de la Profesión</t>
  </si>
  <si>
    <t xml:space="preserve">Decimotercer mes </t>
  </si>
  <si>
    <t>Salario Escolar</t>
  </si>
  <si>
    <t>Otros Incentivos Salariales</t>
  </si>
  <si>
    <t>Contribuciones Patronales al Desarrollo y la Seguridad Social</t>
  </si>
  <si>
    <t>Contribución Patronal al Seguro de Salud de la CCSS</t>
  </si>
  <si>
    <t>Contribución Patronal al Banco Popular</t>
  </si>
  <si>
    <t>Contribuciones Patronales a Fondos de Pensiones y Otros Fondos de Capitalizaciones</t>
  </si>
  <si>
    <t>Contribuciones Patronal al Seguro de Pensiones de la CCSS</t>
  </si>
  <si>
    <t>Aporte Patronal al regimén Obligatorio de Pensiones</t>
  </si>
  <si>
    <t>Aporte Patronal al Fondo de Capitalización Laboral</t>
  </si>
  <si>
    <t>Contribución Patronal a Otros Fondos administrados por entes Pùblicos</t>
  </si>
  <si>
    <t>Contribución Patronal a Otros Fondos administrados por entes privados</t>
  </si>
  <si>
    <t>Remuneraciones Diversas</t>
  </si>
  <si>
    <t>Gastos de Representación Personal</t>
  </si>
  <si>
    <t>Otras remuneraciones</t>
  </si>
  <si>
    <t>SERVICIOS</t>
  </si>
  <si>
    <t>Alquiler de Edificios Locales y Terrenos</t>
  </si>
  <si>
    <t>Alquiler de equipo de Cómputo</t>
  </si>
  <si>
    <t>Alquiler y derechos para Telecomunicaciones</t>
  </si>
  <si>
    <t>Otros alquileres</t>
  </si>
  <si>
    <t>Servicios Básicos</t>
  </si>
  <si>
    <t>Servicio de agua y alcantarillado</t>
  </si>
  <si>
    <t>Servicio de energía Eléctrica</t>
  </si>
  <si>
    <t>Servicio de Correo</t>
  </si>
  <si>
    <t>Servicio de Telecomunicaciones</t>
  </si>
  <si>
    <t>Otros Servicios Básicos</t>
  </si>
  <si>
    <t xml:space="preserve">Servicios Comerciales y Financieros </t>
  </si>
  <si>
    <t>Información</t>
  </si>
  <si>
    <t>Publicidad y Propaganda</t>
  </si>
  <si>
    <t>Impresión Encuadernación y Otros</t>
  </si>
  <si>
    <t>Transporte de Bienes</t>
  </si>
  <si>
    <t>Servicios Aduaneros</t>
  </si>
  <si>
    <t>Comisiones y gastos por servicios Financieros y Comerciales</t>
  </si>
  <si>
    <t>Servicios de Transferencia Electrónica de Información</t>
  </si>
  <si>
    <t xml:space="preserve">Servicios de Gestión y Apoyo </t>
  </si>
  <si>
    <t>Servicios médicos y de Laboratorio</t>
  </si>
  <si>
    <t>Servicios Jurídicos</t>
  </si>
  <si>
    <t>Servicios de Ingeniería</t>
  </si>
  <si>
    <t>Servicios en Ciencias económicas y Sociales</t>
  </si>
  <si>
    <t>Servicios de Desarrollo de Sistemas de Informáticos</t>
  </si>
  <si>
    <t xml:space="preserve">Servicios generales </t>
  </si>
  <si>
    <t>Otros servicios de Gestión y Apoyo</t>
  </si>
  <si>
    <t>Gastos de Viaje y Transporte</t>
  </si>
  <si>
    <t>Transporte dentro del país</t>
  </si>
  <si>
    <t>Víaticos dentro del País</t>
  </si>
  <si>
    <t>Transportes en el Exterior</t>
  </si>
  <si>
    <t>Viáticos en el Exterior</t>
  </si>
  <si>
    <t>Seguros, Reaseguros y Otras Obligaciones</t>
  </si>
  <si>
    <t xml:space="preserve">Seguros </t>
  </si>
  <si>
    <t>Capacitacion y Protocolo</t>
  </si>
  <si>
    <t>Actividades de Capacitación</t>
  </si>
  <si>
    <t>Actividades Protocolarias y Sociales</t>
  </si>
  <si>
    <t>Gastos de Representación Institucional</t>
  </si>
  <si>
    <t>Mantenimiento y Reparaciones</t>
  </si>
  <si>
    <t>Mantenimiento de Edificios y Locales</t>
  </si>
  <si>
    <t>Mantenimiento de Vías de Comunicación</t>
  </si>
  <si>
    <t>Mantenimiento de Instalaciones y Otras Obras</t>
  </si>
  <si>
    <t>Mantenimiento y reparaciones de Equipo de Producción</t>
  </si>
  <si>
    <t>Manteniento y reparaciones de Equipo de Transporte</t>
  </si>
  <si>
    <t>Manteniento y reparaciones de Equipo de Comunicación</t>
  </si>
  <si>
    <t>Manteniento y reparaciones de Equipo  de Cmputoy Sistemas de Información</t>
  </si>
  <si>
    <t>Mantenimiento y repación de Otros Equipos</t>
  </si>
  <si>
    <t>Impuestos</t>
  </si>
  <si>
    <t>Otros Impuestos</t>
  </si>
  <si>
    <t>Servicios Diversos</t>
  </si>
  <si>
    <t>Deducibles</t>
  </si>
  <si>
    <t>Otros Servicios no Especificados</t>
  </si>
  <si>
    <t>Productos Químicos y Conexos</t>
  </si>
  <si>
    <t>Combustibles y Lubricantes</t>
  </si>
  <si>
    <t>Productos Farmaceuticos y Medicinales</t>
  </si>
  <si>
    <t>Tintas, Pinturas y diluyentes</t>
  </si>
  <si>
    <t>Otros Productos Químicos</t>
  </si>
  <si>
    <t xml:space="preserve">Alimentos y Productos Agropecuarios </t>
  </si>
  <si>
    <t>Productos Agroforestales</t>
  </si>
  <si>
    <t>Alimentos y bebidas</t>
  </si>
  <si>
    <t>Materiales y Productos de Uso en la Construcción y Mantenimiento</t>
  </si>
  <si>
    <t>Materiales y productos metálicos</t>
  </si>
  <si>
    <t>Materiales y productos minerales y asfálticos</t>
  </si>
  <si>
    <t>Madera y sus derivados</t>
  </si>
  <si>
    <t xml:space="preserve">Materiales y productos eléctricos, teléfonicos y de cómputo </t>
  </si>
  <si>
    <t>Materiales y productos de Vidrio</t>
  </si>
  <si>
    <t>Materiales y productos de plástico</t>
  </si>
  <si>
    <t>Otros materiales y productos de uso en la construcción</t>
  </si>
  <si>
    <t xml:space="preserve">Herramientas, Repuestos y Accesorios </t>
  </si>
  <si>
    <t>Herramientas e instrumentos</t>
  </si>
  <si>
    <t>Repuestos y Accesorios</t>
  </si>
  <si>
    <t>Utiles, Materiales y Suministros</t>
  </si>
  <si>
    <t>Utiles y materiales de Oficina y cómputo</t>
  </si>
  <si>
    <t>Productos de papel cartón e impresos</t>
  </si>
  <si>
    <t>Textiles y vestuario</t>
  </si>
  <si>
    <t>Utiles y Materiales de limpieza</t>
  </si>
  <si>
    <t>Utiles y materiales de resguardo y seguridad</t>
  </si>
  <si>
    <t>Utiles y materiales de Cocina y comedor</t>
  </si>
  <si>
    <t>Otros utiles materiales y Suministros</t>
  </si>
  <si>
    <t xml:space="preserve">Interéses sobre Préstamos </t>
  </si>
  <si>
    <t>Intereses sobre préstamos de Instituciones Públicas  no Financieras</t>
  </si>
  <si>
    <t xml:space="preserve">BIENES DURADEROS </t>
  </si>
  <si>
    <t>Maquinaría y Equipo para la producción</t>
  </si>
  <si>
    <t>Equipo de Transporte</t>
  </si>
  <si>
    <t>Equipo de Comunicación</t>
  </si>
  <si>
    <t>equipo y programas de cómputo</t>
  </si>
  <si>
    <t>Maquinaria y equipo diverso</t>
  </si>
  <si>
    <t>Construcciones, adiciones y Mejoras</t>
  </si>
  <si>
    <t>Edificios</t>
  </si>
  <si>
    <t>Vías de comunicación Terrestre</t>
  </si>
  <si>
    <t>Obras Urbanísticas</t>
  </si>
  <si>
    <t>Instalaciones</t>
  </si>
  <si>
    <t>Otras Construcciones Adiciones y mejoras</t>
  </si>
  <si>
    <t>Bienes Preexistentes</t>
  </si>
  <si>
    <t>Terrenos</t>
  </si>
  <si>
    <t>Edificios Preexistentes</t>
  </si>
  <si>
    <t>Otras Obras Preexistentes</t>
  </si>
  <si>
    <t>Bienes Duraderos Diversos</t>
  </si>
  <si>
    <t>Bienes Intangibles</t>
  </si>
  <si>
    <t>Otros bienes duraderos</t>
  </si>
  <si>
    <t>Transferencias Corrientes al Sector Público</t>
  </si>
  <si>
    <t>Transferencias corrientes al Gobierno Central</t>
  </si>
  <si>
    <t>Transferencias corrientes a Organos Desconcentrados</t>
  </si>
  <si>
    <t>Transferencias corrientes a Instituciones Descentralizadas no empresariales</t>
  </si>
  <si>
    <t>Transferencias corrientes a Gobiernos Locales</t>
  </si>
  <si>
    <t>Transferencias corrientes a Empresas Públicas no financieras</t>
  </si>
  <si>
    <t>Transferencias corrientes a instituciones públicas financieras</t>
  </si>
  <si>
    <t>Impuestos por Transferir</t>
  </si>
  <si>
    <t>Transferencias Corrientes a Personas</t>
  </si>
  <si>
    <t>Becas a Funcionarios</t>
  </si>
  <si>
    <t>Otras Tranferencias a Personas</t>
  </si>
  <si>
    <t>Prestaciones</t>
  </si>
  <si>
    <t>Prestaciones Legales</t>
  </si>
  <si>
    <t>Pensiones y jubilaciones contributivas</t>
  </si>
  <si>
    <t>Pensiones no Contributivas</t>
  </si>
  <si>
    <t>Decimo Tercer mes de Penciones y Juvilaciones</t>
  </si>
  <si>
    <t>Cuota patronal de pensiones y Juvilaciones contributivas y no contributivas</t>
  </si>
  <si>
    <t>Otras Prestaciones a Terceras Personas</t>
  </si>
  <si>
    <t>Transferencias Corrientes a Entidades Privadas sin Fines de Lucro</t>
  </si>
  <si>
    <t xml:space="preserve">Transferencias corrientes a Asociaciones </t>
  </si>
  <si>
    <t xml:space="preserve">Transferencias corrientes a fundaciones </t>
  </si>
  <si>
    <t>Transferencias corrientes a Cooperativas</t>
  </si>
  <si>
    <t>Transferencias corrientes a otras entidades Privadas sin fines de Lucro</t>
  </si>
  <si>
    <t>Transferencias Corrientes a Empresas Privadas</t>
  </si>
  <si>
    <t>Otras Tranferencias Corrientes al Sector Privado</t>
  </si>
  <si>
    <t>Indemnizaciones</t>
  </si>
  <si>
    <t>Reintegros o devoluciones</t>
  </si>
  <si>
    <t>TRANSFERENCIAS DE CAPITAL</t>
  </si>
  <si>
    <t xml:space="preserve">Transferencias de Capital al Sector Público </t>
  </si>
  <si>
    <t>Transferencias de Capital al Gobierno Central</t>
  </si>
  <si>
    <t>Transferencias de Capital a Organos Desconcentrados</t>
  </si>
  <si>
    <t>Transferencias Capital a Instituciones Descentralizadas no empresariales</t>
  </si>
  <si>
    <t>Transferencias de Capital a Gobiernos Locales</t>
  </si>
  <si>
    <t>Transferencias de Capital a Empresas Públicas no financieras</t>
  </si>
  <si>
    <t>Fondos de fideicomiso para gasto de Capital</t>
  </si>
  <si>
    <t>Transferencias de Capital a Personas</t>
  </si>
  <si>
    <t>Transferencias de Capital a Entidades Privadas sin Fines de Lucro</t>
  </si>
  <si>
    <t xml:space="preserve">Transferencias de capital a Asociaciones </t>
  </si>
  <si>
    <t xml:space="preserve">Transferencias de capital a fundaciones </t>
  </si>
  <si>
    <t>Transferencias de capital a Cooperativas</t>
  </si>
  <si>
    <t>Transferencias de capital a otras entidades Privadas sin fines de Lucro</t>
  </si>
  <si>
    <t>Amortización Prestamos</t>
  </si>
  <si>
    <t>Amortización sobre préstamos de Instituciones Públicas no Financieras</t>
  </si>
  <si>
    <t>Cuentas Especiales Diversas</t>
  </si>
  <si>
    <t>Gastos Confidenciales</t>
  </si>
  <si>
    <t>Sumas sin Asignación Presupuestaria</t>
  </si>
  <si>
    <t>Sumas Libres sin asignación Presupuestario</t>
  </si>
  <si>
    <t>Sumas con Destino específicos sin asignación Presupuestaria</t>
  </si>
  <si>
    <t>TOTAL PROGRAMAs</t>
  </si>
  <si>
    <t>Cuadro 1</t>
  </si>
  <si>
    <t>ESTADO DE ORIGEN Y APLICACIÓN DE RECURSOS ESPECIFICOS</t>
  </si>
  <si>
    <t>INGRESO ESPECIFICO</t>
  </si>
  <si>
    <t>MONTO</t>
  </si>
  <si>
    <t xml:space="preserve">Programa </t>
  </si>
  <si>
    <t>Act/serv/grupo</t>
  </si>
  <si>
    <t>Proyecto</t>
  </si>
  <si>
    <t>APLICACIÓN</t>
  </si>
  <si>
    <t>Impuesto Bienes Inmuebles Ley 7729</t>
  </si>
  <si>
    <t>I</t>
  </si>
  <si>
    <t>O1</t>
  </si>
  <si>
    <t>-</t>
  </si>
  <si>
    <t>Admistración General</t>
  </si>
  <si>
    <t>O4</t>
  </si>
  <si>
    <t>II</t>
  </si>
  <si>
    <t>O9</t>
  </si>
  <si>
    <t>III</t>
  </si>
  <si>
    <t>O2</t>
  </si>
  <si>
    <t>Unidad Técnica  de Gestión Vial Cantonal</t>
  </si>
  <si>
    <t>O3</t>
  </si>
  <si>
    <t>O7</t>
  </si>
  <si>
    <t>Transferencias de Capital de Asociaciones</t>
  </si>
  <si>
    <t>Sumas Iguales</t>
  </si>
  <si>
    <t>Impuesto Bienes Inmuebles Ley 7509</t>
  </si>
  <si>
    <t>Impuesto Específico sobre Explotación de Recursos Naturales y Minerales</t>
  </si>
  <si>
    <t>O6</t>
  </si>
  <si>
    <t>Impuesto Sobre El Cemento</t>
  </si>
  <si>
    <t>Impuesto Sobre Construcciones</t>
  </si>
  <si>
    <t xml:space="preserve">I </t>
  </si>
  <si>
    <t>Administración de Inversiones Propias</t>
  </si>
  <si>
    <t>Dirección Técnica y Estudio</t>
  </si>
  <si>
    <t xml:space="preserve">otros Impuestos Específicos sobre la Producción y Consumo de Servicios </t>
  </si>
  <si>
    <t>Impuesto Sobre Rotulos Públicos</t>
  </si>
  <si>
    <t>Patentes Municipales</t>
  </si>
  <si>
    <t>Catastro Multifinalitarios</t>
  </si>
  <si>
    <t>Timbres Municipales</t>
  </si>
  <si>
    <t>Auditoría General</t>
  </si>
  <si>
    <t>Timbre Parques Nacionales Ley 7788</t>
  </si>
  <si>
    <t>Venta de Agua Potable e Industrial</t>
  </si>
  <si>
    <t>Acueductos</t>
  </si>
  <si>
    <t>O5</t>
  </si>
  <si>
    <t>Alquiler de Mercado</t>
  </si>
  <si>
    <t>Alquiler de Edificios y Locales</t>
  </si>
  <si>
    <t>Servicio de Alcantarillado Sanitario</t>
  </si>
  <si>
    <t>Servicios de Instalación y Derivación del Agua</t>
  </si>
  <si>
    <t>Servicio de Parques Obras de Ornato</t>
  </si>
  <si>
    <t>Venta de Otros Servicios</t>
  </si>
  <si>
    <t>Derecho de Estacionamiento y de Terminales</t>
  </si>
  <si>
    <t>Derecho Plaza de Ganado</t>
  </si>
  <si>
    <t>Intereses Sobre Inversiones Financieras</t>
  </si>
  <si>
    <t>Multas por Infracción Ley de Parquímetros</t>
  </si>
  <si>
    <t>Multas Por Mora En El Pago De Impuestos y Tasas</t>
  </si>
  <si>
    <t>Intereses por Mora en Tributos</t>
  </si>
  <si>
    <t xml:space="preserve">Aporte IFAM Licores Nacionales y Extranjeros </t>
  </si>
  <si>
    <t>Patentes de Licores</t>
  </si>
  <si>
    <t>Recursos Provenientes de la Ley de Simplificación Tributaria Ley No. 8114</t>
  </si>
  <si>
    <t>Aporte IFAM Para Mantenimiento y Conservación de Caminos y Calles Ley 6909</t>
  </si>
  <si>
    <t>Sumas de Recursos Específicos</t>
  </si>
  <si>
    <t>Sumas de Recursos Libres</t>
  </si>
  <si>
    <t>SUMAS IGUALES</t>
  </si>
  <si>
    <t>Elaborado por Ana María Alvarado Garita</t>
  </si>
  <si>
    <t>CUADRO No. 4</t>
  </si>
  <si>
    <t>DETALLE DE LA DEUDA</t>
  </si>
  <si>
    <t>ENTIDAD</t>
  </si>
  <si>
    <t xml:space="preserve">OBJETIVO DEL </t>
  </si>
  <si>
    <t>Nº OPERACIÓN</t>
  </si>
  <si>
    <t>INTERESES (1)</t>
  </si>
  <si>
    <t>AMORTIZACIÓN (2)</t>
  </si>
  <si>
    <t>PRÉSTAMO</t>
  </si>
  <si>
    <t>TOTALES</t>
  </si>
  <si>
    <t>DIFERENCIA</t>
  </si>
  <si>
    <t>(1) Se clasifican dentro del Grupo Intereses sobre préstamos 3.02 (Verificar subpartida según entidad prestataria).</t>
  </si>
  <si>
    <t>(2) Se clasifican dentro del Grupo Amortización de préstamos 8.02 (Verificar subpartida según entidad prestataria).</t>
  </si>
  <si>
    <t>Licencias Profesionnales Comerciales y Otros Permisos</t>
  </si>
  <si>
    <t>1.3.3.1.09.00.0.0.000</t>
  </si>
  <si>
    <t xml:space="preserve">Otras Multas </t>
  </si>
  <si>
    <t>1.3.3.1.09.02.0.0.001</t>
  </si>
  <si>
    <t>Multas Varias</t>
  </si>
  <si>
    <t>Tranferencias corrientes de Instituciones Descentralizadas no Empresariales</t>
  </si>
  <si>
    <t>Programas comites cantonales de la Persona Joven</t>
  </si>
  <si>
    <t>Ley 8316 Fondo de Alcantarillados</t>
  </si>
  <si>
    <t>TOTAL INGRESO</t>
  </si>
  <si>
    <t>TRANSFERENCIA PI</t>
  </si>
  <si>
    <t xml:space="preserve">DEUDA </t>
  </si>
  <si>
    <t>Servicios de Regulación</t>
  </si>
  <si>
    <t>Ayuda a Funcionarios</t>
  </si>
  <si>
    <t>INGRESOS ESPEC.</t>
  </si>
  <si>
    <t>ING. LIBRE/ASIG</t>
  </si>
  <si>
    <t>GASTO OPER.</t>
  </si>
  <si>
    <t>Total sin incluír en programas</t>
  </si>
  <si>
    <t>TOTAL GASTOS</t>
  </si>
  <si>
    <t>Saldo</t>
  </si>
  <si>
    <t>Dirección de Servicios y Mantenimiento</t>
  </si>
  <si>
    <t>Por Incumplimiento de Deberes de los Municipes</t>
  </si>
  <si>
    <t>Alcantarillado Pluvial</t>
  </si>
  <si>
    <t>Remodelación Del Mercado Primera Etapa</t>
  </si>
  <si>
    <t>Recursos libres sin asinacion Presupuestaria</t>
  </si>
  <si>
    <t>Parque del Agua II Etapa</t>
  </si>
  <si>
    <t>Construcción de Cancha Multiuso Urbanización La Perla</t>
  </si>
  <si>
    <t>Compra de Cruz Roja</t>
  </si>
  <si>
    <t>Otras Multas</t>
  </si>
  <si>
    <t>Servicios Sociales Complementarios</t>
  </si>
  <si>
    <t>Recurso Específicos sin Asignación Presupuestarios</t>
  </si>
  <si>
    <t>Estacionamientos y Terminales</t>
  </si>
  <si>
    <t>Dirección Tecnica Y Estudio</t>
  </si>
  <si>
    <t>Construcción de Cancha de Deportes en la Pradera  La Guácima</t>
  </si>
  <si>
    <t>Mantenimiento Periòdico de la Red Vial Cantonal</t>
  </si>
  <si>
    <t>Mantenimiento Rutinario de la Red Vial Cantonal</t>
  </si>
  <si>
    <t>Actualizacón del Plan Regulador</t>
  </si>
  <si>
    <t>Mejoras en la Cancha Multiusos Las Abras</t>
  </si>
  <si>
    <t>Mejoras Parque Recreativa de Urb. Los Portones</t>
  </si>
  <si>
    <t>Adquisición de un Juego Infantil para la comunidad de Calle Arriba en San Rafael</t>
  </si>
  <si>
    <t>Construcción del Techo del Salón multiusos de la Urb La Perla</t>
  </si>
  <si>
    <t>Adquisicón de un Juego infantil en Urb. Las Melisas</t>
  </si>
  <si>
    <t>Compra de equipo m{edico para la Cruz Roja de San Rafael</t>
  </si>
  <si>
    <t>Transferencias de Capital a Instiutciones Descentralizadas no Empresariales</t>
  </si>
  <si>
    <t>Unidad Tecnica de Gestión Vial</t>
  </si>
  <si>
    <t>Servicio de Alcantarillado Pluvial</t>
  </si>
  <si>
    <t>1.3.1.2.05.01.1.0.001</t>
  </si>
  <si>
    <t>Servicio  Alcantarillado pluvial</t>
  </si>
  <si>
    <t>1.4.1.2.02,00.0.0.000</t>
  </si>
  <si>
    <t>2.4.1.1.02.00.0.0.000</t>
  </si>
  <si>
    <t>Disponibilidad</t>
  </si>
  <si>
    <t>Alquiler de maquinaria, equipo y mobiliario</t>
  </si>
  <si>
    <t>Manteniento y reparaciones de Equipo y mobiliario de oficina</t>
  </si>
  <si>
    <t>Intereses sobre préstamos de Instituciones Públicas Financieras</t>
  </si>
  <si>
    <t>Maquinaría, Equipo y mobiliario</t>
  </si>
  <si>
    <t>Equipo y mobiliario de oficina</t>
  </si>
  <si>
    <t>Equipo y mobiliario educacional deportivo y recreativo</t>
  </si>
  <si>
    <t>Amortización sobre préstamos de Instituciones Públicas  Financieras</t>
  </si>
  <si>
    <t xml:space="preserve">Banco Nacional </t>
  </si>
  <si>
    <t>Nº OPERACION</t>
  </si>
  <si>
    <t>Cuentas Especiales</t>
  </si>
  <si>
    <t>CUADRO No. 3</t>
  </si>
  <si>
    <t>De acuerdo al artículo 20 del Código Municipal (1)</t>
  </si>
  <si>
    <t>a) Salario mayor pagado</t>
  </si>
  <si>
    <t>Con las anualidades aprobadas</t>
  </si>
  <si>
    <t xml:space="preserve">    (Puesto )</t>
  </si>
  <si>
    <t xml:space="preserve">   Fecha de ingreso</t>
  </si>
  <si>
    <t>ACTUAL</t>
  </si>
  <si>
    <t>PROPUESTO</t>
  </si>
  <si>
    <t xml:space="preserve">    Salario Base</t>
  </si>
  <si>
    <t xml:space="preserve">    Anualidades</t>
  </si>
  <si>
    <t xml:space="preserve">   Restricción del ejercicio liberal de la profesión (2)</t>
  </si>
  <si>
    <t xml:space="preserve">    Carrera Profesional</t>
  </si>
  <si>
    <t xml:space="preserve">    Otros incentivos salariales</t>
  </si>
  <si>
    <t xml:space="preserve">    Total salario mayor pagado</t>
  </si>
  <si>
    <t xml:space="preserve">    más:</t>
  </si>
  <si>
    <t xml:space="preserve">   10% del salario mayor pagado (según artículo 20 Código Municipal)</t>
  </si>
  <si>
    <t xml:space="preserve">    Salario base del Alcalde</t>
  </si>
  <si>
    <t>(3)</t>
  </si>
  <si>
    <t xml:space="preserve">     Más: </t>
  </si>
  <si>
    <t xml:space="preserve">     Restricción del ejercicio liberal de la profesión (2)</t>
  </si>
  <si>
    <t xml:space="preserve">(4) </t>
  </si>
  <si>
    <t xml:space="preserve">    Total salario mensual</t>
  </si>
  <si>
    <t>b) Con base en la tabla establecida en el art. 20 del Código Municipal</t>
  </si>
  <si>
    <t xml:space="preserve">   Monto del presupuesto ordinario</t>
  </si>
  <si>
    <t xml:space="preserve">    Salario definido por tabla</t>
  </si>
  <si>
    <t xml:space="preserve">     Total salario mensual</t>
  </si>
  <si>
    <t xml:space="preserve">    Monto de la pensión</t>
  </si>
  <si>
    <t xml:space="preserve">    Gastos de representación (50% del monto de la pensión)</t>
  </si>
  <si>
    <t>(5)</t>
  </si>
  <si>
    <t>(1)  Las opciones a), b) y c) son excluyentes. Debe de llenarse solo la opción que se determine.</t>
  </si>
  <si>
    <t xml:space="preserve">(3)  Debe ubicarse en la relación de puestos. </t>
  </si>
  <si>
    <t>(4) Debe clasificarse dentro de incentivos salariales en el la subpartida 0.03.02</t>
  </si>
  <si>
    <t>(5) Debe clasificarse como Gastos de representación personal en la subpartida 0.99.01</t>
  </si>
  <si>
    <r>
      <t xml:space="preserve">     </t>
    </r>
    <r>
      <rPr>
        <b/>
        <sz val="9"/>
        <rFont val="Arial"/>
        <family val="2"/>
      </rPr>
      <t>Más:</t>
    </r>
  </si>
  <si>
    <t>Mantenimiento Periódico de la Red Vial Cantonal</t>
  </si>
  <si>
    <t>Direcciòn Tecnica y estudio</t>
  </si>
  <si>
    <t>Rehabilitacion de la Red Vial Cantonal</t>
  </si>
  <si>
    <t>Yo Ana María Alvarado Garita Encargada del Sub Proceso de Presupuesto, ced 2-482-581 hago constar que los datos suministrados anteriormente corresponden a las aplicaciones dadas por la Municipalidad de Alajuela a la totalidad de los recursos con origen Específicos y Libres</t>
  </si>
  <si>
    <t xml:space="preserve">Alcantarillado Sanitario </t>
  </si>
  <si>
    <t>PERIODO 2013</t>
  </si>
  <si>
    <t>AÑO 2013</t>
  </si>
  <si>
    <t>2.4.1.0.00.00.0.0.000</t>
  </si>
  <si>
    <t>2,4.3,0,00,00,0,0,000</t>
  </si>
  <si>
    <t>Transferencias de Capital al Sector Externo</t>
  </si>
  <si>
    <t>2,4.3,1,00,00,0,0,000</t>
  </si>
  <si>
    <t>Transferencia del Banco interamericano de  Desarrollo</t>
  </si>
  <si>
    <t>3.0.0.0.00.00.0.0.000</t>
  </si>
  <si>
    <t>FINANCIAMIENTO</t>
  </si>
  <si>
    <t>3.1.1.0.00.00.0.0.000</t>
  </si>
  <si>
    <t>Prestamos Directos</t>
  </si>
  <si>
    <t>3.1.1.6.00.00.0.0.000</t>
  </si>
  <si>
    <t>Préstamos directos de Instituciones Públicas Financieras</t>
  </si>
  <si>
    <t>3.1.1.6.01.00.0.0.000</t>
  </si>
  <si>
    <t>Banco Nacional de Costa Rica</t>
  </si>
  <si>
    <t>Útiles y materiales médicos, hospitalario y de investigación</t>
  </si>
  <si>
    <t>O8</t>
  </si>
  <si>
    <t xml:space="preserve">II </t>
  </si>
  <si>
    <t>CUADRO No. 2</t>
  </si>
  <si>
    <t>Estructura organizacional (Recursos Humanos)</t>
  </si>
  <si>
    <t>Procesos sustantivos</t>
  </si>
  <si>
    <t>Por programa</t>
  </si>
  <si>
    <t>Apoyo</t>
  </si>
  <si>
    <t xml:space="preserve">Nivel </t>
  </si>
  <si>
    <t>Servicios    especiales</t>
  </si>
  <si>
    <t>Diferencia</t>
  </si>
  <si>
    <t>IV</t>
  </si>
  <si>
    <t>Servicios especiales</t>
  </si>
  <si>
    <t>Puestos de confianza</t>
  </si>
  <si>
    <t>Otros</t>
  </si>
  <si>
    <t>Nivel superior ejecutivo</t>
  </si>
  <si>
    <t>Profesional</t>
  </si>
  <si>
    <t>Técnico</t>
  </si>
  <si>
    <t>Administrativo</t>
  </si>
  <si>
    <t>De servicio</t>
  </si>
  <si>
    <t>Total</t>
  </si>
  <si>
    <t>RESUMEN:</t>
  </si>
  <si>
    <t>RESUMEN POR PROGRAMA:</t>
  </si>
  <si>
    <t>Plazas en sueldos para cargos fijos</t>
  </si>
  <si>
    <t>Programa I: Dirección y Administración General</t>
  </si>
  <si>
    <t>Plazas en servicios especiales</t>
  </si>
  <si>
    <t>Programa II: Servicios Comunitarios</t>
  </si>
  <si>
    <t>Plazas en procesos sustantivos</t>
  </si>
  <si>
    <t>Programa III: Inversiones</t>
  </si>
  <si>
    <t>Plazas en procesos de apoyo</t>
  </si>
  <si>
    <t>Programa IV: Partidas específicas</t>
  </si>
  <si>
    <t>Total de plazas</t>
  </si>
  <si>
    <t>3. Observaciones.</t>
  </si>
  <si>
    <t>Funcionario responsable:</t>
  </si>
  <si>
    <t>Fecha:</t>
  </si>
  <si>
    <t>SALARIO DEL ALCALDE/SA</t>
  </si>
  <si>
    <t>Más la anualidad del periodo</t>
  </si>
  <si>
    <t>c) Con base en el 50% de la pensión del Alcalde/esa</t>
  </si>
  <si>
    <t>SALARIO DEL VICEALCALDE/SA</t>
  </si>
  <si>
    <t>a) Con base en el 80% del salario base del Alcalde/sa</t>
  </si>
  <si>
    <t>Salario base del Vicealcalde/sa (Art.20 del Código Municipal)</t>
  </si>
  <si>
    <t>Más:</t>
  </si>
  <si>
    <t>Restricción del ejercicio liberal de la profesión (2)</t>
  </si>
  <si>
    <t>Total salario mensual</t>
  </si>
  <si>
    <t>b) Con base en el 50% de la pensión del Vicealcalde/sa</t>
  </si>
  <si>
    <t>(2) Aportar la base legal.</t>
  </si>
  <si>
    <t xml:space="preserve">SERVICIO DE LA DEUDA </t>
  </si>
  <si>
    <t>PRESTATARIA</t>
  </si>
  <si>
    <t>SALDO</t>
  </si>
  <si>
    <t>Pluviales del Este</t>
  </si>
  <si>
    <t>Elaborado por__Lic. Ana María Alvarado Garita___________________________________________</t>
  </si>
  <si>
    <t>PERIODO 2016</t>
  </si>
  <si>
    <t>Aporte del Consejo de Seg. Vial Ley 9078</t>
  </si>
  <si>
    <t>2.4.1.2.00.00.0.0.000</t>
  </si>
  <si>
    <t>Transferencias de Capital de Organos Desconcentrados</t>
  </si>
  <si>
    <t>2.4.1.2.01.00.0.0.001</t>
  </si>
  <si>
    <t>Fondo de Desarrollo Social y Asignaciones Familiares</t>
  </si>
  <si>
    <t>Transferencias de Capital de Organismos Internacionales</t>
  </si>
  <si>
    <t>2,4.3,1,00,00,0,0,001</t>
  </si>
  <si>
    <t>Aporte de Cooperación Alemana</t>
  </si>
  <si>
    <t>3.3.0.0.00.00.0.0.000</t>
  </si>
  <si>
    <t>Recursos de Vigencias anteriores</t>
  </si>
  <si>
    <t>3.3.1.0.00.00.0.0.000</t>
  </si>
  <si>
    <t>Superavit Libre</t>
  </si>
  <si>
    <t>Equipo Sanitario de laboratorio e investigación</t>
  </si>
  <si>
    <t>Recursos especificos sin asinacion Presupuestaria</t>
  </si>
  <si>
    <t>Aporte del Consejo de Seguridad Vial Ley 9058</t>
  </si>
  <si>
    <t>Recursos Libressin Asigmnación Presupuestaria</t>
  </si>
  <si>
    <t xml:space="preserve">Elaborado por Lic. Andrea Porras </t>
  </si>
  <si>
    <t>Compra de Terreno</t>
  </si>
  <si>
    <t>1.3.1.2.05.09.9.0.000</t>
  </si>
  <si>
    <t>Venta de otros servicios comunitarios</t>
  </si>
  <si>
    <t xml:space="preserve">Banco Popular </t>
  </si>
  <si>
    <t>Becas A Terceras Personas</t>
  </si>
  <si>
    <t>FEDOMA</t>
  </si>
  <si>
    <t>Lic.Arturo Salas Carballo</t>
  </si>
  <si>
    <t>Fecha: 29/08/2016</t>
  </si>
  <si>
    <t>compra de Hidrovaciador</t>
  </si>
  <si>
    <t>CUADRO No. 5</t>
  </si>
  <si>
    <t>TRANSFERENCIAS CORRIENTES Y DE CAPITAL A FAVOR DE ENTIDADES PRIVADAS SIN FINES DE LUCRO</t>
  </si>
  <si>
    <t>Código de gasto</t>
  </si>
  <si>
    <t>NOMBRE DEL BENEFICIARIO CLASIFICADO SEGÚN PARTIDA Y GRUPO DE EGRESOS</t>
  </si>
  <si>
    <t>Cédula Jurídica (entidad privada)</t>
  </si>
  <si>
    <t>FUNDAMENTO LEGAL</t>
  </si>
  <si>
    <t>FINALIDAD DE LA TRANSFERENCIA</t>
  </si>
  <si>
    <t>7.03</t>
  </si>
  <si>
    <t>TRANSFERENCIAS DE CAPITAL A ENTIDADES PRIVADAS SIN FINES DE LUCRO</t>
  </si>
  <si>
    <t>Asociación Desarrollo Integral de Rio Segundo de Alajuela</t>
  </si>
  <si>
    <t>Artículo 19 de la Ley sobre el Desarrollo de La Comunidad Nº 3859, de 7 de abril de 1967 y sus reformas</t>
  </si>
  <si>
    <t>3-002-239716</t>
  </si>
  <si>
    <t>Construcción Salón Comunal El Pasito</t>
  </si>
  <si>
    <t>Asociación Desarrollo Integral de Quebradas y Calle Vargas Tambor</t>
  </si>
  <si>
    <t>3-002-056675</t>
  </si>
  <si>
    <t>Construcción del Salón Multiusos de Quebradas y Calle Vargas, Distrito de Tambor</t>
  </si>
  <si>
    <t>Asociación de Desarrollo Integral del Coyol de Alajuela</t>
  </si>
  <si>
    <t>3-002-061376</t>
  </si>
  <si>
    <t>Complejo Administrativo Deportivo y de Salud El Coyol</t>
  </si>
  <si>
    <t>3-002-061579</t>
  </si>
  <si>
    <t>Construcción Complejo Deportivo y Recreativo del Norte</t>
  </si>
  <si>
    <t>Asociación Desarrollo Integral de El Erizo de Alajuela</t>
  </si>
  <si>
    <t>3-002-061659</t>
  </si>
  <si>
    <t>Plan de Mantenimiento Urbano de la Comunidad El Erizo Distrito de Desamparados</t>
  </si>
  <si>
    <t>Asociación de Desarrollo Integral de El Roble de San Antonio de Alajuela</t>
  </si>
  <si>
    <t>3-002-066990</t>
  </si>
  <si>
    <t>3-002-071103</t>
  </si>
  <si>
    <t>Mejoras Infraestructura Base de la Cruz Roja San Miguel</t>
  </si>
  <si>
    <t>Construcción de Centro de Eventos Mixtos de San Miguel de Sarapiquí de Alajuela</t>
  </si>
  <si>
    <t>Asociación de Desarrollo Integral de Pueblo Nuevo de Alajuela</t>
  </si>
  <si>
    <t>3-002-071506</t>
  </si>
  <si>
    <t>Asociación Desarrollo Integral de San Isidro de Alajuela</t>
  </si>
  <si>
    <t>Mejoras infraestructura instalaciones Asociación de San Isidro de Alajuela</t>
  </si>
  <si>
    <t>3-002-078111</t>
  </si>
  <si>
    <t>Asociación de Desarrollo Integral de Turrúcares Alajuela</t>
  </si>
  <si>
    <t xml:space="preserve">3-002-078372 </t>
  </si>
  <si>
    <t>Construcción del EBAIS de Turrúcares, Alajuela</t>
  </si>
  <si>
    <t>3-002-078408</t>
  </si>
  <si>
    <t>3-002-078441</t>
  </si>
  <si>
    <t>3-002-078508</t>
  </si>
  <si>
    <t>3-002-078771</t>
  </si>
  <si>
    <t>Asociación de Desarrollo Integral de Tuetal Norte de Alajuela</t>
  </si>
  <si>
    <t>3-002-087127</t>
  </si>
  <si>
    <t>Embellecimiento de Áreas Comunales de Tuetal Norte</t>
  </si>
  <si>
    <t>3-002-087163</t>
  </si>
  <si>
    <t>Asociación de Desarrollo Integral de Pavas de Carrizal de Alajuela</t>
  </si>
  <si>
    <t>3-002-116885</t>
  </si>
  <si>
    <t>Construcción de cancha de futbol 7 de la ADI de Pavas</t>
  </si>
  <si>
    <t>Asociación de Desarrollo Integral de Cacao de Alajuela</t>
  </si>
  <si>
    <t>Asociación de vecinos de acción de Pilas de Alajuela</t>
  </si>
  <si>
    <t>3-002-162109</t>
  </si>
  <si>
    <t>Asociación de Desarrollo Integral de Carrizal de Alajuela</t>
  </si>
  <si>
    <t>3-002-248872</t>
  </si>
  <si>
    <t>3-002-078423</t>
  </si>
  <si>
    <t xml:space="preserve">Asociación de Desarrollo Integral de Cinco Esquinas de Carrizal Alajuela </t>
  </si>
  <si>
    <t>3-002-255315</t>
  </si>
  <si>
    <t>Asociación de Desarrollo Específica Pro Reconstrucción Parque Infantil de Santa Teresita Villa Bonita Alajuela</t>
  </si>
  <si>
    <t>3-002-360491</t>
  </si>
  <si>
    <t>Asociación de Desarrollo Específica Pro Compra de Terreno para Plaza de Deportes de Dulce Nombre de Alajuela</t>
  </si>
  <si>
    <t>3-002-440459</t>
  </si>
  <si>
    <t>Mejoras Infraestructura Plaza de Deportes de Dulce Nombre</t>
  </si>
  <si>
    <t>Asociación de Desarrollo Integral de Chahuites, Santa Bárbara, Heredia</t>
  </si>
  <si>
    <t>3-002-592389</t>
  </si>
  <si>
    <t>Alcantarillado pluvial y cunetas calle Chahuites</t>
  </si>
  <si>
    <t>Asociación de Desarrollo Integral de Urbanización Brasilia de Alajuela</t>
  </si>
  <si>
    <t>3-002-638894</t>
  </si>
  <si>
    <t>Construcción Salón Multiuso Urbanización La Brasilia</t>
  </si>
  <si>
    <t>Construcción de cordón y caño en calle Pilas</t>
  </si>
  <si>
    <t>Asociación de Desarrollo Integral de Nueva Cinchona, Alajuela</t>
  </si>
  <si>
    <t>3-002-677685</t>
  </si>
  <si>
    <t>7.01</t>
  </si>
  <si>
    <t xml:space="preserve">TRANSFERENCIAS DE CAPITAL A INSTITUCIONES DESCENTRALIZADAS NO EMPRESARIALES </t>
  </si>
  <si>
    <t>Artículo 62 del Código Municipal, julio 1998.  Reglamento Interno para el Otorgamiento de Aportes y Subvenciones para Centros Educativos de Educación Pública y Organizaciones de Beneficencia o Servicio Social del Cantón Central de Alajuela, publicado en la Gaceta N° 240,  Alcance N° 61 del día viernes 12 de diciembre del 2003</t>
  </si>
  <si>
    <t>Junta de Educación de la Escuela León Cortés Castro Carrizal</t>
  </si>
  <si>
    <t>3-008-056656</t>
  </si>
  <si>
    <t>Mejoras infraestructura de la Escuela León Cortés Castro de Carrizal</t>
  </si>
  <si>
    <t>Junta Educación Escuela Juan Rafael Meoño Hidalgo de Alajuela</t>
  </si>
  <si>
    <t>3-008-061508</t>
  </si>
  <si>
    <t>Para mejoras en la infraestructura de la Escuela Juan Rafael Meoño Hidalgo, Distrito de Alajuela</t>
  </si>
  <si>
    <t>3-008-262117</t>
  </si>
  <si>
    <t>Mejora infraestructura Colegio Técnico Profesional INVU Las Cañas</t>
  </si>
  <si>
    <t>Elaborado por: Lic. José Fco. Moya</t>
  </si>
  <si>
    <t>AÑO 2018</t>
  </si>
  <si>
    <t xml:space="preserve">                                                                                                                                                                                                                                                              </t>
  </si>
  <si>
    <t>PERIODO 2018</t>
  </si>
  <si>
    <t>Fecha 29/08/2015</t>
  </si>
  <si>
    <t>Transferencias de Capital a Instituciones descentralizadas no Institucionales</t>
  </si>
  <si>
    <t>Reintegros y Devoluciones</t>
  </si>
  <si>
    <t>En proceso</t>
  </si>
  <si>
    <t>Cortes Pluviales del Oeste</t>
  </si>
  <si>
    <t>PRESUPUESTO ORDINARIO 2018</t>
  </si>
  <si>
    <t>Fecha: 29/08/18</t>
  </si>
  <si>
    <t>Asociación de Desarrollo Especifica para la construcción del parque Urbanización  La Torre, La Garita de Alajuela</t>
  </si>
  <si>
    <t>3-002-618564</t>
  </si>
  <si>
    <t>Construcción del Salón Comunal Urbanización La Torre, Distrito de la Garita</t>
  </si>
  <si>
    <t>Construcción de área de interacción social en el Parque de Urbanización Santa Teresita</t>
  </si>
  <si>
    <t xml:space="preserve">Asociación de Desarrollo Específico  Pro-Salón Multiuso y Mantenimiento y Pro Mejoras de Laguna, San Isidro
</t>
  </si>
  <si>
    <t>Mejoras infraestructura de las oficinas de ADE de Laguna, San Isidro</t>
  </si>
  <si>
    <t>Asociación de Desarrollo Especifico Pro  Construcción  Áreas Comunales Urbanización Luz del Sol de El Roble</t>
  </si>
  <si>
    <t>3-002-293489</t>
  </si>
  <si>
    <t>Mejoras áreas comunales Urbanización Luz del Sol</t>
  </si>
  <si>
    <t xml:space="preserve"> 3-002-126247</t>
  </si>
  <si>
    <t>Instalación de cunetas en calle principal de Cacao</t>
  </si>
  <si>
    <t>Mejoras infraestructura del Salón Comunal de Cacao</t>
  </si>
  <si>
    <t>Asociación de Desarrollo Integral de Canoas de Guadalupe de Alajuela</t>
  </si>
  <si>
    <t>3-002-078087</t>
  </si>
  <si>
    <t>Mejoras en infraestructura área de parque infantil Urbanización Monte Cristal</t>
  </si>
  <si>
    <t>Mejoras infraestructura parque Calle La Flory</t>
  </si>
  <si>
    <t xml:space="preserve">Asociación de Desarrollo Integral de Carbonal de Alajuela </t>
  </si>
  <si>
    <t>Mejoras sistema pluvial Carbonal</t>
  </si>
  <si>
    <t xml:space="preserve">Construcción de Parque Infantil de Carrizal </t>
  </si>
  <si>
    <t>Mejoras Centro de Deportes de Cinco Esquina de Carrizal</t>
  </si>
  <si>
    <t>Asociación de Desarrollo Integral de El Erizo de Alajuela</t>
  </si>
  <si>
    <t>Mejoras infraestructura parque Las Vegas</t>
  </si>
  <si>
    <t>Asociación de Desarrollo Integral de INVU Las Cañas de Alajuela</t>
  </si>
  <si>
    <t>3-002-084004</t>
  </si>
  <si>
    <t>Mejoras en la Infraestructura del EBAIS INVU 1</t>
  </si>
  <si>
    <t>Equipamiento gimnasio multiuso Las Cañas 2</t>
  </si>
  <si>
    <t>Mejoras parque infantil Invu Las Cañas 1</t>
  </si>
  <si>
    <t>Asociación de Desarrollo Integral de La Garita de Alajuela</t>
  </si>
  <si>
    <t>Mejoras infraestrutura Parque de La Garita</t>
  </si>
  <si>
    <t xml:space="preserve">Asociación de Desarrollo Integral de La Pradera de Alajuela              </t>
  </si>
  <si>
    <t xml:space="preserve">3-002-249908 </t>
  </si>
  <si>
    <t>Mejoras áreas comunales Urbanización La Pradera</t>
  </si>
  <si>
    <t>Complejo Deportivo Nueva Chinchona</t>
  </si>
  <si>
    <t>Mejoras infraestructura salón comunal Pueblo Nuevo</t>
  </si>
  <si>
    <t>Asociación de Desarrollo Integral De Rincón Chiquito Guácima</t>
  </si>
  <si>
    <t>3-002-066648</t>
  </si>
  <si>
    <t>Mejoras infraestructura cancha multiuso de Rincón Chiquito</t>
  </si>
  <si>
    <t xml:space="preserve">Asociación de Desarrollo Integral de Rincón de Cacao Tambor, Alajuela  </t>
  </si>
  <si>
    <t>Construcción de cunetas en Rincón de Cacao</t>
  </si>
  <si>
    <t>Asociación de Desarrollo Integral de Sabanilla</t>
  </si>
  <si>
    <t>Construcción cordón y caño en conector peatonal de San Luis de Sabanilla</t>
  </si>
  <si>
    <t>Asociación de Desarrollo Integral de San Antonio de Alajuela</t>
  </si>
  <si>
    <t>3-002-061575</t>
  </si>
  <si>
    <t>Mejoras Infraestructura del salón comunal de San Antonio del Tejar</t>
  </si>
  <si>
    <t>Asociación de Desarrollo Integral de San Martín</t>
  </si>
  <si>
    <t>Mejoras Calle Adoquines de San Martín</t>
  </si>
  <si>
    <t>Asociación de Desarrollo Integral de San Miguel Sarapiquí Alajuela</t>
  </si>
  <si>
    <t>Mejoras infraestructura Escuela Corazón de Jesús San Miguel</t>
  </si>
  <si>
    <t>Asociación de Desarrollo Integral de Santiago Oeste El Coco de Alajuela</t>
  </si>
  <si>
    <t>Construcción Salón Comunal El Coco</t>
  </si>
  <si>
    <t xml:space="preserve">Asociación de Desarrollo Integral de Tambor de Alajuela </t>
  </si>
  <si>
    <t>Remodelación de la Antigua Escuela de Tambor Doctor Adolfo Jiménez de la Guardia.</t>
  </si>
  <si>
    <t>Asociación de Desarrollo Integral de Urb. La Baviera de Alajuela</t>
  </si>
  <si>
    <t>3-002-320415</t>
  </si>
  <si>
    <t>Construcción salón comunal Urbanización La Baviera</t>
  </si>
  <si>
    <t xml:space="preserve">Asociación de Desarrollo Integral El Pasito </t>
  </si>
  <si>
    <t>Asociación de Desarrollo Integral Urbanización Barcelona</t>
  </si>
  <si>
    <t>3-002-663207</t>
  </si>
  <si>
    <t>Mejoras cancha multiuso Urb. Barcelona</t>
  </si>
  <si>
    <t>Asociación Desarrollo Integral de Carrizal de Alajuela</t>
  </si>
  <si>
    <t>“Mejoras en el CENCINAI de Carrizal”</t>
  </si>
  <si>
    <t>Construcción y mejoras Campo Ferial en Carrizal de Alajuela</t>
  </si>
  <si>
    <t>Asociación Desarrollo Integral de El Roble San Antonio Alajuela</t>
  </si>
  <si>
    <t>Obras complementarias en edificaciones comunales de El Roble de San Antonio</t>
  </si>
  <si>
    <t>Asociación Desarrollo Integral de Fraijanes de Alajuela</t>
  </si>
  <si>
    <t>Mejoras en el Cementerio de Fraijanes Distrito de Sabanilla</t>
  </si>
  <si>
    <t xml:space="preserve">Asociación Desarrollo Integral de Pacto del Jocote Alajuela </t>
  </si>
  <si>
    <t>Mejoras infraestructura parque recreativo en urbanización Santa María</t>
  </si>
  <si>
    <t>Asociación Desarrollo Integral de Poasito de Sabanilla de Alajuela</t>
  </si>
  <si>
    <t>3-002066982</t>
  </si>
  <si>
    <t>Mejoras sistema pluvial conector peatonal calle Rodríguez</t>
  </si>
  <si>
    <t>Mejoras Nacientes en Río Segundo</t>
  </si>
  <si>
    <t>3-002-061398</t>
  </si>
  <si>
    <t>Asociación para la Atención Integral del paciente terminal con Cáncer y/o Sida</t>
  </si>
  <si>
    <t>3- 002-77725</t>
  </si>
  <si>
    <t xml:space="preserve">Artículo 62 del Código Municipal, julio 1998, mediante el cual  se faculta a las municipalidades para subvencionar centros de beneficencia o servicio social que presten servicios al respectivo cantón; acto que está debidamente regulado en la Municipalidad por el Reglamento Interno para el Otorgamiento de Aportes y Subvenciones para Centros Educativos de Educación Pública y Organizaciones de Beneficencia o Servicio Social del Cantón Central de Alajuela, publicado en la Gaceta N° 240,  Alcance N° 61 del día viernes 12 de diciembre del 2003.   Decreto 29934-J, Publicado en el Diario Oficial La Gaceta 215 del jueves 8 de noviembre del 2001,  Declaratoria de Utilidad Pública de la Asociación. </t>
  </si>
  <si>
    <t>Asistencia Social a la Unidad de Cuidados Paliativos de Alajuela</t>
  </si>
  <si>
    <t>Asociación Desarrollo Integral San Martín de Porres, de Alajuela</t>
  </si>
  <si>
    <t>Mejoras en la Plaza de Deportes de San Martín</t>
  </si>
  <si>
    <t>Junta  Educación Escuela Quebradas de Tambor de Alajuela</t>
  </si>
  <si>
    <t>3-008-056791</t>
  </si>
  <si>
    <t>Construcción puente peatonal Escuela de Quebradas</t>
  </si>
  <si>
    <t>Junta Administrativa Colegio Técnico Profesional de Carrizal</t>
  </si>
  <si>
    <t>Mejoras infraestructura Colegio Técnico Profesional de Carrizal</t>
  </si>
  <si>
    <t>Junta Administrativa Colegio Técnico Profesional Nocturno Carlos Luis Fallas, Alajuela</t>
  </si>
  <si>
    <t>3-008-379204</t>
  </si>
  <si>
    <t>Mejoras infraestructura de los Colegios Técnicos Profesionales Jesús Ocaña Rojas y Carlos Luis Fallas Sibaja</t>
  </si>
  <si>
    <t>Junta Administrativa Colegio Tuetal Norte</t>
  </si>
  <si>
    <t>3-008-21853232</t>
  </si>
  <si>
    <t>Mejoras infraestructura del Liceo de Tuetal Norte</t>
  </si>
  <si>
    <t>Junta Administrativa del Colegio El Carmen de Alajuela</t>
  </si>
  <si>
    <t>3-008-056127</t>
  </si>
  <si>
    <t>Mejoras en la Infraestructura del Colegio del Carmen</t>
  </si>
  <si>
    <t>Junta Administrativa del Liceo de Sabanilla de Alajuela</t>
  </si>
  <si>
    <t>3-008-391624</t>
  </si>
  <si>
    <t>Equipamiento CTP de Sabanilla de Alajuela</t>
  </si>
  <si>
    <t>Junta Administrativa del Liceo Pacto del Jocote</t>
  </si>
  <si>
    <t>3-008-434636</t>
  </si>
  <si>
    <t>Construcción de cancha y malla en el Parque contiguo al Salón Multiuso de Urbanización SOLCASA Pacto del Jocote</t>
  </si>
  <si>
    <t>Junta de Educación CTP Invu Las Cañas</t>
  </si>
  <si>
    <t xml:space="preserve">Junta de Educación de la Escuela Bernardo Soto Alfaro </t>
  </si>
  <si>
    <t>3-008-648111</t>
  </si>
  <si>
    <t>Mejoras Infraestructura Escuela Bernardo Soto Alfaro</t>
  </si>
  <si>
    <t>Junta de Educación de la Escuela de Ujarrás de Sarapiquí de Alajuela</t>
  </si>
  <si>
    <t>3-008-092254</t>
  </si>
  <si>
    <t>Construcción rampa escuela Ujarrás</t>
  </si>
  <si>
    <t>Junta de Educación Escuela Tuetal Sur Alajuela</t>
  </si>
  <si>
    <t>3-008-110914</t>
  </si>
  <si>
    <t>Mejoras infraestructura Escuela Tuetal Sur</t>
  </si>
  <si>
    <t>Junta de Educación Las Ánimas de Alajuela</t>
  </si>
  <si>
    <t>3-008-061892</t>
  </si>
  <si>
    <t>Mejoras Escuela Julia Fernández de la Garita</t>
  </si>
  <si>
    <t>Junta de Educación Mario Agüero González San Isidro Alajuela</t>
  </si>
  <si>
    <t>3-008-056861</t>
  </si>
  <si>
    <t>Mejoras Infraestructura Escuela Mario Agüero González</t>
  </si>
  <si>
    <t xml:space="preserve">Junta Educación Escuela Aeropuerto </t>
  </si>
  <si>
    <t>3-008-066255</t>
  </si>
  <si>
    <t>Mejoras infraestructura Escuela Aeropuerto Cacique, Distrito  Río Segundo</t>
  </si>
  <si>
    <t xml:space="preserve">Junta Educación Escuela Lagos de Coyol La Garita Alajuela                                                                             </t>
  </si>
  <si>
    <t>3-008-149846</t>
  </si>
  <si>
    <t>Mejoras en la Escuela de Lagos del Coyol</t>
  </si>
  <si>
    <t>Fecha: 30/08/2017</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</si>
</sst>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140A]#,##0.00"/>
    <numFmt numFmtId="179" formatCode="&quot;₡&quot;#,##0.00"/>
    <numFmt numFmtId="180" formatCode="_-* #,##0.00_-;\-* #,##0.00_-;_-* &quot;-&quot;??_-;_-@_-"/>
    <numFmt numFmtId="181" formatCode="&quot;¢&quot;#,##0.00"/>
    <numFmt numFmtId="182" formatCode="_-[$€]* #,##0.00_-;\-[$€]* #,##0.00_-;_-[$€]* &quot;-&quot;??_-;_-@_-"/>
    <numFmt numFmtId="183" formatCode="&quot;$&quot;#,##0.00"/>
    <numFmt numFmtId="184" formatCode="_-* #,##0.00\ &quot;pta&quot;_-;\-* #,##0.00\ &quot;pta&quot;_-;_-* &quot;-&quot;??\ &quot;pta&quot;_-;_-@_-"/>
    <numFmt numFmtId="185" formatCode="00000"/>
    <numFmt numFmtId="186" formatCode="_(&quot;¢&quot;* #,##0.00_);_(&quot;¢&quot;* \(#,##0.00\);_(&quot;¢&quot;* &quot;-&quot;??_);_(@_)"/>
    <numFmt numFmtId="187" formatCode="_-&quot;$&quot;* #,##0_-;\-&quot;$&quot;* #,##0_-;_-&quot;$&quot;* &quot;-&quot;_-;_-@_-"/>
    <numFmt numFmtId="188" formatCode="_-* #,##0_-;\-* #,##0_-;_-* &quot;-&quot;_-;_-@_-"/>
    <numFmt numFmtId="189" formatCode="_-&quot;$&quot;* #,##0.00_-;\-&quot;$&quot;* #,##0.00_-;_-&quot;$&quot;* &quot;-&quot;??_-;_-@_-"/>
    <numFmt numFmtId="190" formatCode="#,##0.00;[Red]#,##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quot;₡&quot;#,##0.00;[Red]&quot;₡&quot;#,##0.00"/>
    <numFmt numFmtId="196" formatCode="#,##0.00\ _€"/>
    <numFmt numFmtId="197" formatCode="[$₡-140A]#,##0.00"/>
  </numFmts>
  <fonts count="74">
    <font>
      <sz val="10"/>
      <name val="Arial"/>
      <family val="0"/>
    </font>
    <font>
      <sz val="8"/>
      <name val="Arial"/>
      <family val="2"/>
    </font>
    <font>
      <b/>
      <sz val="10"/>
      <name val="Arial"/>
      <family val="2"/>
    </font>
    <font>
      <b/>
      <u val="single"/>
      <sz val="10"/>
      <name val="Arial"/>
      <family val="2"/>
    </font>
    <font>
      <b/>
      <i/>
      <sz val="10"/>
      <name val="Arial"/>
      <family val="2"/>
    </font>
    <font>
      <i/>
      <sz val="10"/>
      <name val="Arial"/>
      <family val="2"/>
    </font>
    <font>
      <sz val="10"/>
      <name val="Times New Roman"/>
      <family val="1"/>
    </font>
    <font>
      <b/>
      <sz val="7"/>
      <name val="Arial"/>
      <family val="2"/>
    </font>
    <font>
      <b/>
      <sz val="10"/>
      <name val="Times New Roman"/>
      <family val="1"/>
    </font>
    <font>
      <b/>
      <u val="single"/>
      <sz val="10"/>
      <name val="Times New Roman"/>
      <family val="1"/>
    </font>
    <font>
      <sz val="10"/>
      <color indexed="8"/>
      <name val="Arial"/>
      <family val="2"/>
    </font>
    <font>
      <b/>
      <sz val="10"/>
      <color indexed="8"/>
      <name val="Arial"/>
      <family val="2"/>
    </font>
    <font>
      <sz val="10"/>
      <color indexed="10"/>
      <name val="Arial"/>
      <family val="2"/>
    </font>
    <font>
      <b/>
      <sz val="10"/>
      <color indexed="12"/>
      <name val="Arial"/>
      <family val="2"/>
    </font>
    <font>
      <sz val="10"/>
      <color indexed="12"/>
      <name val="Arial"/>
      <family val="2"/>
    </font>
    <font>
      <sz val="10"/>
      <color indexed="48"/>
      <name val="Arial"/>
      <family val="2"/>
    </font>
    <font>
      <b/>
      <sz val="12"/>
      <name val="Arial"/>
      <family val="2"/>
    </font>
    <font>
      <b/>
      <sz val="14"/>
      <name val="Arial"/>
      <family val="2"/>
    </font>
    <font>
      <u val="single"/>
      <sz val="10"/>
      <color indexed="12"/>
      <name val="Arial"/>
      <family val="2"/>
    </font>
    <font>
      <u val="single"/>
      <sz val="10"/>
      <color indexed="36"/>
      <name val="Arial"/>
      <family val="2"/>
    </font>
    <font>
      <sz val="10"/>
      <color indexed="8"/>
      <name val="Times New Roman"/>
      <family val="1"/>
    </font>
    <font>
      <sz val="10"/>
      <color indexed="10"/>
      <name val="Times New Roman"/>
      <family val="1"/>
    </font>
    <font>
      <b/>
      <sz val="10"/>
      <color indexed="10"/>
      <name val="Times New Roman"/>
      <family val="1"/>
    </font>
    <font>
      <sz val="9"/>
      <name val="Arial"/>
      <family val="2"/>
    </font>
    <font>
      <b/>
      <sz val="9"/>
      <name val="Arial"/>
      <family val="2"/>
    </font>
    <font>
      <b/>
      <i/>
      <sz val="9"/>
      <name val="Arial"/>
      <family val="2"/>
    </font>
    <font>
      <b/>
      <sz val="8"/>
      <name val="Tahoma"/>
      <family val="2"/>
    </font>
    <font>
      <sz val="8"/>
      <name val="Tahoma"/>
      <family val="2"/>
    </font>
    <font>
      <b/>
      <sz val="16"/>
      <name val="Arial"/>
      <family val="2"/>
    </font>
    <font>
      <b/>
      <sz val="8"/>
      <name val="Arial"/>
      <family val="2"/>
    </font>
    <font>
      <b/>
      <sz val="11"/>
      <name val="Arial"/>
      <family val="2"/>
    </font>
    <font>
      <b/>
      <sz val="10"/>
      <color indexed="9"/>
      <name val="Tahoma"/>
      <family val="2"/>
    </font>
    <font>
      <b/>
      <sz val="9"/>
      <name val="Tahoma"/>
      <family val="2"/>
    </font>
    <font>
      <sz val="9"/>
      <name val="Tahoma"/>
      <family val="2"/>
    </font>
    <font>
      <sz val="8"/>
      <color indexed="8"/>
      <name val="Arial"/>
      <family val="0"/>
    </font>
    <font>
      <sz val="8.25"/>
      <color indexed="8"/>
      <name val="Arial"/>
      <family val="0"/>
    </font>
    <font>
      <sz val="8.7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5"/>
      <color indexed="8"/>
      <name val="Arial"/>
      <family val="0"/>
    </font>
    <font>
      <b/>
      <sz val="10.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rgb="FFCCFFFF"/>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color indexed="63"/>
      </left>
      <right>
        <color indexed="63"/>
      </right>
      <top style="thin"/>
      <bottom style="thin"/>
    </border>
    <border>
      <left style="medium"/>
      <right style="medium"/>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style="thin"/>
      <right>
        <color indexed="63"/>
      </right>
      <top style="medium"/>
      <bottom style="medium"/>
    </border>
    <border>
      <left style="thin"/>
      <right style="thin"/>
      <top style="medium"/>
      <bottom style="medium"/>
    </border>
    <border>
      <left style="thin"/>
      <right style="medium"/>
      <top>
        <color indexed="63"/>
      </top>
      <bottom style="medium"/>
    </border>
    <border>
      <left style="thin"/>
      <right style="thin"/>
      <top>
        <color indexed="63"/>
      </top>
      <bottom style="medium"/>
    </border>
    <border>
      <left style="thin"/>
      <right>
        <color indexed="63"/>
      </right>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style="medium"/>
      <top>
        <color indexed="63"/>
      </top>
      <bottom style="medium"/>
    </border>
    <border>
      <left style="thin"/>
      <right style="thin"/>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18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6" fillId="0" borderId="0" applyFont="0" applyFill="0" applyBorder="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588">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2" fillId="33" borderId="10" xfId="0" applyFont="1" applyFill="1" applyBorder="1" applyAlignment="1">
      <alignment/>
    </xf>
    <xf numFmtId="0" fontId="3" fillId="33" borderId="0" xfId="0" applyFont="1" applyFill="1" applyBorder="1" applyAlignment="1">
      <alignment/>
    </xf>
    <xf numFmtId="0" fontId="2" fillId="33" borderId="0" xfId="0" applyFont="1" applyFill="1" applyBorder="1" applyAlignment="1">
      <alignment/>
    </xf>
    <xf numFmtId="178" fontId="2" fillId="33" borderId="0" xfId="0" applyNumberFormat="1" applyFont="1" applyFill="1" applyBorder="1" applyAlignment="1">
      <alignment/>
    </xf>
    <xf numFmtId="4" fontId="2" fillId="33" borderId="12" xfId="0" applyNumberFormat="1" applyFont="1" applyFill="1" applyBorder="1" applyAlignment="1">
      <alignment/>
    </xf>
    <xf numFmtId="0" fontId="2" fillId="0" borderId="10" xfId="0" applyFont="1" applyBorder="1" applyAlignment="1">
      <alignment/>
    </xf>
    <xf numFmtId="0" fontId="2" fillId="0" borderId="0" xfId="0" applyFont="1" applyBorder="1" applyAlignment="1">
      <alignment wrapText="1"/>
    </xf>
    <xf numFmtId="178" fontId="2" fillId="0" borderId="0" xfId="0" applyNumberFormat="1" applyFont="1" applyBorder="1" applyAlignment="1">
      <alignment/>
    </xf>
    <xf numFmtId="0" fontId="2" fillId="0" borderId="0" xfId="0" applyFont="1" applyBorder="1" applyAlignment="1">
      <alignment/>
    </xf>
    <xf numFmtId="4" fontId="2" fillId="0" borderId="12" xfId="0" applyNumberFormat="1" applyFont="1" applyBorder="1" applyAlignment="1">
      <alignment/>
    </xf>
    <xf numFmtId="0" fontId="4" fillId="0" borderId="10" xfId="0" applyFont="1" applyBorder="1" applyAlignment="1">
      <alignment/>
    </xf>
    <xf numFmtId="0" fontId="5" fillId="0" borderId="0" xfId="0" applyFont="1" applyBorder="1" applyAlignment="1">
      <alignment/>
    </xf>
    <xf numFmtId="178" fontId="5" fillId="0" borderId="0" xfId="0" applyNumberFormat="1" applyFont="1" applyBorder="1" applyAlignment="1">
      <alignment/>
    </xf>
    <xf numFmtId="4" fontId="5" fillId="0" borderId="12" xfId="0" applyNumberFormat="1" applyFont="1" applyBorder="1" applyAlignment="1">
      <alignment/>
    </xf>
    <xf numFmtId="179" fontId="2" fillId="0" borderId="0" xfId="0" applyNumberFormat="1" applyFont="1" applyBorder="1" applyAlignment="1">
      <alignment/>
    </xf>
    <xf numFmtId="0" fontId="0" fillId="0" borderId="0" xfId="0" applyBorder="1" applyAlignment="1">
      <alignment wrapText="1"/>
    </xf>
    <xf numFmtId="178" fontId="0" fillId="0" borderId="0" xfId="0" applyNumberFormat="1" applyBorder="1" applyAlignment="1">
      <alignment/>
    </xf>
    <xf numFmtId="4" fontId="0" fillId="0" borderId="12" xfId="0" applyNumberFormat="1" applyBorder="1" applyAlignment="1">
      <alignment/>
    </xf>
    <xf numFmtId="0" fontId="5" fillId="0" borderId="0" xfId="0" applyFont="1" applyFill="1" applyBorder="1" applyAlignment="1">
      <alignment/>
    </xf>
    <xf numFmtId="0" fontId="0" fillId="0" borderId="0" xfId="0" applyFont="1" applyBorder="1" applyAlignment="1">
      <alignment/>
    </xf>
    <xf numFmtId="179" fontId="0" fillId="0" borderId="0" xfId="0" applyNumberFormat="1" applyFont="1" applyBorder="1" applyAlignment="1">
      <alignment/>
    </xf>
    <xf numFmtId="4" fontId="0" fillId="0" borderId="12" xfId="0" applyNumberFormat="1" applyFont="1" applyBorder="1" applyAlignment="1">
      <alignment/>
    </xf>
    <xf numFmtId="178" fontId="0" fillId="0" borderId="0" xfId="0" applyNumberFormat="1" applyFont="1" applyBorder="1" applyAlignment="1">
      <alignment/>
    </xf>
    <xf numFmtId="0" fontId="5" fillId="0" borderId="10" xfId="0" applyFont="1" applyBorder="1" applyAlignment="1">
      <alignment/>
    </xf>
    <xf numFmtId="0" fontId="0" fillId="0" borderId="0" xfId="0" applyFill="1" applyBorder="1" applyAlignment="1">
      <alignment/>
    </xf>
    <xf numFmtId="0" fontId="2" fillId="0" borderId="0"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0" fillId="0" borderId="0" xfId="0" applyFont="1" applyBorder="1" applyAlignment="1">
      <alignment wrapText="1"/>
    </xf>
    <xf numFmtId="0" fontId="2" fillId="33" borderId="0" xfId="0" applyFont="1" applyFill="1" applyBorder="1" applyAlignment="1">
      <alignment wrapText="1"/>
    </xf>
    <xf numFmtId="0" fontId="0" fillId="33" borderId="0" xfId="0" applyFill="1" applyBorder="1" applyAlignment="1">
      <alignment/>
    </xf>
    <xf numFmtId="178" fontId="0" fillId="33" borderId="0" xfId="0" applyNumberFormat="1" applyFill="1" applyBorder="1" applyAlignment="1">
      <alignment/>
    </xf>
    <xf numFmtId="4" fontId="2" fillId="0" borderId="0" xfId="0" applyNumberFormat="1" applyFont="1" applyBorder="1" applyAlignment="1">
      <alignment/>
    </xf>
    <xf numFmtId="0" fontId="5" fillId="0" borderId="0" xfId="0" applyFont="1" applyBorder="1" applyAlignment="1">
      <alignment wrapText="1"/>
    </xf>
    <xf numFmtId="4" fontId="5" fillId="0" borderId="0" xfId="0" applyNumberFormat="1" applyFont="1" applyBorder="1" applyAlignment="1">
      <alignment vertical="top"/>
    </xf>
    <xf numFmtId="0" fontId="5" fillId="0" borderId="0" xfId="0" applyFont="1" applyBorder="1" applyAlignment="1">
      <alignment vertical="top"/>
    </xf>
    <xf numFmtId="4" fontId="5" fillId="0" borderId="12" xfId="0" applyNumberFormat="1" applyFont="1" applyBorder="1" applyAlignment="1">
      <alignment vertical="top"/>
    </xf>
    <xf numFmtId="4" fontId="2" fillId="33" borderId="19" xfId="0" applyNumberFormat="1" applyFont="1" applyFill="1" applyBorder="1" applyAlignment="1">
      <alignment/>
    </xf>
    <xf numFmtId="0" fontId="2" fillId="33" borderId="20" xfId="0" applyFont="1" applyFill="1" applyBorder="1" applyAlignment="1">
      <alignment/>
    </xf>
    <xf numFmtId="0" fontId="2" fillId="33" borderId="21" xfId="0" applyFont="1" applyFill="1" applyBorder="1" applyAlignment="1">
      <alignment horizontal="center"/>
    </xf>
    <xf numFmtId="0" fontId="0" fillId="33" borderId="21" xfId="0" applyFill="1" applyBorder="1" applyAlignment="1">
      <alignment horizontal="center"/>
    </xf>
    <xf numFmtId="0" fontId="2" fillId="33" borderId="22" xfId="0" applyFont="1" applyFill="1" applyBorder="1" applyAlignment="1">
      <alignment horizontal="center"/>
    </xf>
    <xf numFmtId="0" fontId="0" fillId="0" borderId="0" xfId="0" applyBorder="1" applyAlignment="1">
      <alignment/>
    </xf>
    <xf numFmtId="0" fontId="2" fillId="0" borderId="0" xfId="0" applyFont="1" applyBorder="1" applyAlignment="1">
      <alignment/>
    </xf>
    <xf numFmtId="4" fontId="2" fillId="0" borderId="0" xfId="0" applyNumberFormat="1" applyFont="1" applyBorder="1" applyAlignment="1">
      <alignment/>
    </xf>
    <xf numFmtId="4" fontId="0" fillId="0" borderId="0" xfId="0" applyNumberFormat="1" applyBorder="1" applyAlignment="1">
      <alignment/>
    </xf>
    <xf numFmtId="4" fontId="0" fillId="0" borderId="0" xfId="0" applyNumberFormat="1" applyFont="1" applyBorder="1" applyAlignment="1">
      <alignment/>
    </xf>
    <xf numFmtId="0" fontId="0" fillId="0" borderId="10" xfId="0" applyFont="1" applyBorder="1" applyAlignment="1">
      <alignment/>
    </xf>
    <xf numFmtId="0" fontId="2" fillId="0" borderId="23" xfId="0" applyFont="1" applyBorder="1" applyAlignment="1">
      <alignment/>
    </xf>
    <xf numFmtId="0" fontId="7" fillId="0" borderId="0" xfId="0" applyFont="1" applyBorder="1" applyAlignment="1">
      <alignment horizontal="center" wrapText="1"/>
    </xf>
    <xf numFmtId="4" fontId="2" fillId="0" borderId="12" xfId="0" applyNumberFormat="1" applyFont="1" applyBorder="1" applyAlignment="1">
      <alignment/>
    </xf>
    <xf numFmtId="4" fontId="0" fillId="0" borderId="12" xfId="0" applyNumberFormat="1" applyBorder="1" applyAlignment="1">
      <alignment/>
    </xf>
    <xf numFmtId="4" fontId="0" fillId="0" borderId="12" xfId="0" applyNumberFormat="1" applyFont="1" applyBorder="1" applyAlignment="1">
      <alignment/>
    </xf>
    <xf numFmtId="4" fontId="2" fillId="0" borderId="19" xfId="0" applyNumberFormat="1" applyFont="1" applyBorder="1" applyAlignment="1">
      <alignment/>
    </xf>
    <xf numFmtId="0" fontId="2" fillId="0" borderId="13" xfId="0" applyFont="1" applyBorder="1" applyAlignment="1">
      <alignment/>
    </xf>
    <xf numFmtId="0" fontId="7" fillId="0" borderId="14" xfId="0" applyFont="1" applyBorder="1" applyAlignment="1">
      <alignment horizontal="center" wrapText="1"/>
    </xf>
    <xf numFmtId="0" fontId="7" fillId="0" borderId="15" xfId="0" applyFont="1" applyBorder="1" applyAlignment="1">
      <alignment horizontal="center" wrapText="1"/>
    </xf>
    <xf numFmtId="0" fontId="8" fillId="0" borderId="0" xfId="0" applyFont="1" applyFill="1" applyBorder="1" applyAlignment="1">
      <alignment horizontal="center"/>
    </xf>
    <xf numFmtId="0" fontId="6" fillId="0" borderId="0" xfId="0" applyFont="1" applyFill="1" applyAlignment="1">
      <alignment/>
    </xf>
    <xf numFmtId="0" fontId="8" fillId="0" borderId="10" xfId="0" applyFont="1" applyFill="1" applyBorder="1" applyAlignment="1">
      <alignment horizontal="center"/>
    </xf>
    <xf numFmtId="0" fontId="8" fillId="0" borderId="12" xfId="0" applyFont="1" applyFill="1" applyBorder="1" applyAlignment="1">
      <alignment horizontal="center"/>
    </xf>
    <xf numFmtId="0" fontId="8" fillId="0" borderId="10" xfId="0"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xf>
    <xf numFmtId="0" fontId="8" fillId="0" borderId="12" xfId="0" applyFont="1" applyFill="1" applyBorder="1" applyAlignment="1">
      <alignment/>
    </xf>
    <xf numFmtId="0" fontId="8" fillId="0" borderId="24" xfId="0" applyFont="1" applyFill="1" applyBorder="1" applyAlignment="1">
      <alignment horizontal="center"/>
    </xf>
    <xf numFmtId="0" fontId="8" fillId="0" borderId="25" xfId="0" applyFont="1" applyFill="1" applyBorder="1" applyAlignment="1">
      <alignment horizontal="center"/>
    </xf>
    <xf numFmtId="0" fontId="8" fillId="0" borderId="26" xfId="0" applyFont="1" applyFill="1" applyBorder="1" applyAlignment="1">
      <alignment horizontal="center"/>
    </xf>
    <xf numFmtId="0" fontId="6" fillId="0" borderId="26" xfId="0" applyFont="1" applyFill="1" applyBorder="1" applyAlignment="1">
      <alignment/>
    </xf>
    <xf numFmtId="0" fontId="8" fillId="0" borderId="27" xfId="0" applyFont="1" applyFill="1" applyBorder="1" applyAlignment="1">
      <alignment horizontal="center"/>
    </xf>
    <xf numFmtId="178" fontId="8" fillId="0" borderId="12" xfId="0" applyNumberFormat="1" applyFont="1" applyFill="1" applyBorder="1" applyAlignment="1">
      <alignment/>
    </xf>
    <xf numFmtId="178" fontId="6" fillId="0" borderId="0" xfId="0" applyNumberFormat="1" applyFont="1" applyFill="1" applyAlignment="1">
      <alignment/>
    </xf>
    <xf numFmtId="178" fontId="8" fillId="0" borderId="0" xfId="0" applyNumberFormat="1" applyFont="1" applyFill="1" applyBorder="1" applyAlignment="1">
      <alignment/>
    </xf>
    <xf numFmtId="178" fontId="8" fillId="0" borderId="0" xfId="0" applyNumberFormat="1" applyFont="1" applyFill="1" applyAlignment="1">
      <alignment/>
    </xf>
    <xf numFmtId="0" fontId="8" fillId="0" borderId="0" xfId="0" applyFont="1" applyFill="1" applyAlignment="1">
      <alignment/>
    </xf>
    <xf numFmtId="178" fontId="6" fillId="0" borderId="0" xfId="0" applyNumberFormat="1" applyFont="1" applyFill="1" applyBorder="1" applyAlignment="1">
      <alignment/>
    </xf>
    <xf numFmtId="4" fontId="6" fillId="0" borderId="0" xfId="0" applyNumberFormat="1" applyFont="1" applyFill="1" applyAlignment="1">
      <alignment/>
    </xf>
    <xf numFmtId="4" fontId="8" fillId="0" borderId="0" xfId="0" applyNumberFormat="1" applyFont="1" applyFill="1" applyAlignment="1">
      <alignment/>
    </xf>
    <xf numFmtId="181" fontId="6" fillId="0" borderId="0" xfId="0" applyNumberFormat="1" applyFont="1" applyFill="1" applyAlignment="1">
      <alignment/>
    </xf>
    <xf numFmtId="0" fontId="8" fillId="0" borderId="0" xfId="0" applyFont="1" applyFill="1" applyBorder="1" applyAlignment="1">
      <alignment wrapText="1"/>
    </xf>
    <xf numFmtId="0" fontId="6" fillId="0" borderId="0" xfId="0" applyFont="1" applyFill="1" applyBorder="1" applyAlignment="1">
      <alignment wrapText="1"/>
    </xf>
    <xf numFmtId="0" fontId="8" fillId="0" borderId="0" xfId="0" applyFont="1" applyBorder="1" applyAlignment="1" applyProtection="1">
      <alignment horizontal="justify" vertical="top" wrapText="1"/>
      <protection/>
    </xf>
    <xf numFmtId="0" fontId="6" fillId="0" borderId="0" xfId="0" applyFont="1" applyBorder="1" applyAlignment="1" applyProtection="1">
      <alignment horizontal="justify" vertical="top" wrapText="1"/>
      <protection/>
    </xf>
    <xf numFmtId="43" fontId="6" fillId="0" borderId="0" xfId="0" applyNumberFormat="1" applyFont="1" applyFill="1" applyAlignment="1">
      <alignment/>
    </xf>
    <xf numFmtId="0" fontId="6" fillId="0" borderId="28" xfId="0" applyFont="1" applyBorder="1" applyAlignment="1" applyProtection="1">
      <alignment horizontal="justify" vertical="top" wrapText="1"/>
      <protection/>
    </xf>
    <xf numFmtId="178" fontId="6" fillId="0" borderId="28" xfId="0" applyNumberFormat="1" applyFont="1" applyFill="1" applyBorder="1" applyAlignment="1">
      <alignment/>
    </xf>
    <xf numFmtId="178" fontId="8" fillId="0" borderId="19" xfId="0" applyNumberFormat="1" applyFont="1" applyFill="1" applyBorder="1" applyAlignment="1">
      <alignment/>
    </xf>
    <xf numFmtId="0" fontId="6" fillId="0" borderId="0" xfId="0" applyFont="1" applyBorder="1" applyAlignment="1">
      <alignment horizontal="justify" vertical="top" wrapText="1"/>
    </xf>
    <xf numFmtId="0" fontId="6" fillId="0" borderId="0" xfId="0" applyFont="1" applyBorder="1" applyAlignment="1">
      <alignment/>
    </xf>
    <xf numFmtId="0" fontId="8" fillId="0" borderId="0" xfId="0" applyFont="1" applyBorder="1" applyAlignment="1">
      <alignment/>
    </xf>
    <xf numFmtId="0" fontId="8" fillId="0" borderId="0" xfId="0" applyFont="1" applyBorder="1" applyAlignment="1">
      <alignment wrapText="1"/>
    </xf>
    <xf numFmtId="0" fontId="6" fillId="0" borderId="0" xfId="0" applyFont="1" applyBorder="1" applyAlignment="1">
      <alignment wrapText="1"/>
    </xf>
    <xf numFmtId="0" fontId="2" fillId="0" borderId="14" xfId="0" applyFont="1" applyFill="1" applyBorder="1" applyAlignment="1">
      <alignment horizontal="center"/>
    </xf>
    <xf numFmtId="4" fontId="0" fillId="0" borderId="0" xfId="0" applyNumberFormat="1" applyFill="1" applyAlignment="1">
      <alignment/>
    </xf>
    <xf numFmtId="0" fontId="0" fillId="0" borderId="0" xfId="0" applyFill="1" applyAlignment="1">
      <alignment/>
    </xf>
    <xf numFmtId="0" fontId="2" fillId="0" borderId="10" xfId="0" applyFont="1" applyFill="1" applyBorder="1" applyAlignment="1">
      <alignment horizontal="center"/>
    </xf>
    <xf numFmtId="0" fontId="2" fillId="0" borderId="0" xfId="0" applyFont="1" applyFill="1" applyBorder="1" applyAlignment="1">
      <alignment horizontal="center"/>
    </xf>
    <xf numFmtId="0" fontId="0" fillId="0" borderId="23" xfId="0" applyFill="1" applyBorder="1" applyAlignment="1">
      <alignment/>
    </xf>
    <xf numFmtId="0" fontId="0" fillId="0" borderId="28" xfId="0" applyFill="1" applyBorder="1" applyAlignment="1">
      <alignment/>
    </xf>
    <xf numFmtId="0" fontId="0" fillId="0" borderId="28" xfId="0" applyFill="1" applyBorder="1" applyAlignment="1">
      <alignment/>
    </xf>
    <xf numFmtId="0" fontId="0" fillId="0" borderId="28" xfId="0" applyFill="1" applyBorder="1" applyAlignment="1">
      <alignment horizontal="left"/>
    </xf>
    <xf numFmtId="0" fontId="2" fillId="0" borderId="20" xfId="0" applyFont="1" applyFill="1" applyBorder="1" applyAlignment="1">
      <alignment horizontal="center"/>
    </xf>
    <xf numFmtId="0" fontId="2" fillId="0" borderId="1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left"/>
    </xf>
    <xf numFmtId="178" fontId="0" fillId="0" borderId="0" xfId="0" applyNumberFormat="1" applyFill="1" applyBorder="1" applyAlignment="1">
      <alignment/>
    </xf>
    <xf numFmtId="43" fontId="0" fillId="0" borderId="0" xfId="0" applyNumberFormat="1" applyFill="1" applyAlignment="1">
      <alignment/>
    </xf>
    <xf numFmtId="0" fontId="2" fillId="0" borderId="0" xfId="0" applyFont="1" applyBorder="1" applyAlignment="1">
      <alignment horizontal="left"/>
    </xf>
    <xf numFmtId="0" fontId="0" fillId="0" borderId="10" xfId="0" applyFill="1" applyBorder="1" applyAlignment="1">
      <alignment/>
    </xf>
    <xf numFmtId="4" fontId="10" fillId="34" borderId="0" xfId="0" applyNumberFormat="1" applyFont="1" applyFill="1" applyBorder="1" applyAlignment="1">
      <alignment/>
    </xf>
    <xf numFmtId="0" fontId="10" fillId="34" borderId="0" xfId="0" applyFont="1" applyFill="1" applyBorder="1" applyAlignment="1">
      <alignment/>
    </xf>
    <xf numFmtId="0" fontId="2" fillId="0" borderId="20" xfId="0" applyFont="1" applyFill="1" applyBorder="1" applyAlignment="1">
      <alignment/>
    </xf>
    <xf numFmtId="178" fontId="2" fillId="0" borderId="21" xfId="0" applyNumberFormat="1" applyFont="1" applyFill="1" applyBorder="1" applyAlignment="1">
      <alignment/>
    </xf>
    <xf numFmtId="0" fontId="2" fillId="0" borderId="21" xfId="0" applyFont="1" applyFill="1" applyBorder="1" applyAlignment="1">
      <alignment horizontal="center"/>
    </xf>
    <xf numFmtId="0" fontId="2" fillId="0" borderId="21" xfId="0" applyFont="1" applyFill="1" applyBorder="1" applyAlignment="1">
      <alignment horizontal="left"/>
    </xf>
    <xf numFmtId="4" fontId="2" fillId="0" borderId="0" xfId="0" applyNumberFormat="1" applyFont="1" applyFill="1" applyAlignment="1">
      <alignment/>
    </xf>
    <xf numFmtId="0" fontId="2" fillId="0" borderId="0" xfId="0" applyFont="1" applyFill="1" applyAlignment="1">
      <alignment/>
    </xf>
    <xf numFmtId="0" fontId="0" fillId="0" borderId="0" xfId="0" applyFill="1" applyAlignment="1">
      <alignment/>
    </xf>
    <xf numFmtId="0" fontId="12" fillId="0" borderId="10" xfId="0" applyFont="1" applyFill="1" applyBorder="1" applyAlignment="1">
      <alignment/>
    </xf>
    <xf numFmtId="178" fontId="12" fillId="0" borderId="0" xfId="0" applyNumberFormat="1" applyFont="1" applyFill="1" applyBorder="1" applyAlignment="1">
      <alignment/>
    </xf>
    <xf numFmtId="4" fontId="0" fillId="35" borderId="12" xfId="0" applyNumberFormat="1" applyFont="1" applyFill="1" applyBorder="1" applyAlignment="1">
      <alignment/>
    </xf>
    <xf numFmtId="0" fontId="13" fillId="0" borderId="0" xfId="0" applyFont="1" applyFill="1" applyBorder="1" applyAlignment="1">
      <alignment horizontal="center"/>
    </xf>
    <xf numFmtId="178" fontId="2" fillId="35" borderId="22" xfId="0" applyNumberFormat="1" applyFont="1" applyFill="1" applyBorder="1" applyAlignment="1">
      <alignment/>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0" xfId="0" applyFont="1" applyFill="1" applyBorder="1" applyAlignment="1">
      <alignment horizontal="left"/>
    </xf>
    <xf numFmtId="4" fontId="0" fillId="33" borderId="12" xfId="0" applyNumberFormat="1" applyFill="1" applyBorder="1" applyAlignment="1">
      <alignment/>
    </xf>
    <xf numFmtId="4" fontId="0" fillId="34" borderId="0" xfId="0" applyNumberFormat="1" applyFill="1" applyAlignment="1">
      <alignment/>
    </xf>
    <xf numFmtId="0" fontId="0" fillId="34" borderId="0" xfId="0" applyFill="1" applyAlignment="1">
      <alignment/>
    </xf>
    <xf numFmtId="4" fontId="0" fillId="33" borderId="12" xfId="0" applyNumberFormat="1" applyFont="1" applyFill="1" applyBorder="1" applyAlignment="1">
      <alignment/>
    </xf>
    <xf numFmtId="0" fontId="2" fillId="33" borderId="20" xfId="0" applyFont="1" applyFill="1" applyBorder="1" applyAlignment="1">
      <alignment/>
    </xf>
    <xf numFmtId="178" fontId="2" fillId="33" borderId="21" xfId="0" applyNumberFormat="1" applyFont="1" applyFill="1" applyBorder="1" applyAlignment="1">
      <alignment/>
    </xf>
    <xf numFmtId="0" fontId="2" fillId="33" borderId="21" xfId="0" applyFont="1" applyFill="1" applyBorder="1" applyAlignment="1">
      <alignment horizontal="left"/>
    </xf>
    <xf numFmtId="178" fontId="2" fillId="33" borderId="22" xfId="0" applyNumberFormat="1" applyFont="1" applyFill="1" applyBorder="1" applyAlignment="1">
      <alignment/>
    </xf>
    <xf numFmtId="4" fontId="2" fillId="34" borderId="0" xfId="0" applyNumberFormat="1" applyFont="1" applyFill="1" applyAlignment="1">
      <alignment/>
    </xf>
    <xf numFmtId="0" fontId="2" fillId="34" borderId="0" xfId="0" applyFont="1" applyFill="1" applyAlignment="1">
      <alignment/>
    </xf>
    <xf numFmtId="0" fontId="2" fillId="0" borderId="10" xfId="0" applyFont="1" applyFill="1" applyBorder="1" applyAlignment="1">
      <alignment horizontal="justify" vertical="top" wrapText="1"/>
    </xf>
    <xf numFmtId="0" fontId="0" fillId="0" borderId="0" xfId="0" applyFill="1" applyBorder="1" applyAlignment="1">
      <alignment horizontal="justify" vertical="top" wrapText="1"/>
    </xf>
    <xf numFmtId="4" fontId="0" fillId="35" borderId="12" xfId="0" applyNumberFormat="1" applyFill="1" applyBorder="1" applyAlignment="1">
      <alignment/>
    </xf>
    <xf numFmtId="178" fontId="2" fillId="0" borderId="0" xfId="0" applyNumberFormat="1" applyFont="1" applyFill="1" applyBorder="1" applyAlignment="1">
      <alignment/>
    </xf>
    <xf numFmtId="0" fontId="2" fillId="33" borderId="10" xfId="0" applyFont="1" applyFill="1" applyBorder="1" applyAlignment="1">
      <alignment horizontal="justify" vertical="top" wrapText="1"/>
    </xf>
    <xf numFmtId="0" fontId="13" fillId="33" borderId="0" xfId="0" applyFont="1" applyFill="1" applyBorder="1" applyAlignment="1">
      <alignment horizontal="center"/>
    </xf>
    <xf numFmtId="0" fontId="2" fillId="33" borderId="0" xfId="0" applyFont="1" applyFill="1" applyBorder="1" applyAlignment="1">
      <alignment horizontal="left" wrapText="1"/>
    </xf>
    <xf numFmtId="0" fontId="2" fillId="33" borderId="10" xfId="0" applyFont="1" applyFill="1" applyBorder="1" applyAlignment="1">
      <alignment horizontal="left"/>
    </xf>
    <xf numFmtId="0" fontId="0" fillId="33" borderId="10" xfId="0" applyFill="1" applyBorder="1" applyAlignment="1">
      <alignment/>
    </xf>
    <xf numFmtId="0" fontId="0" fillId="33" borderId="0" xfId="0" applyFill="1" applyBorder="1" applyAlignment="1">
      <alignment horizontal="justify" vertical="top" wrapText="1"/>
    </xf>
    <xf numFmtId="0" fontId="2" fillId="33" borderId="21" xfId="0" applyFont="1" applyFill="1" applyBorder="1" applyAlignment="1">
      <alignment/>
    </xf>
    <xf numFmtId="0" fontId="2" fillId="0" borderId="0" xfId="0" applyFont="1" applyFill="1" applyBorder="1" applyAlignment="1">
      <alignment horizontal="justify" vertical="top" wrapText="1"/>
    </xf>
    <xf numFmtId="0" fontId="2" fillId="0" borderId="21" xfId="0" applyFont="1" applyFill="1" applyBorder="1" applyAlignment="1">
      <alignment/>
    </xf>
    <xf numFmtId="0" fontId="2" fillId="0" borderId="0" xfId="0" applyFont="1" applyFill="1" applyBorder="1" applyAlignment="1">
      <alignment horizontal="center" wrapText="1"/>
    </xf>
    <xf numFmtId="0" fontId="2" fillId="0" borderId="0" xfId="0" applyFont="1" applyFill="1" applyBorder="1" applyAlignment="1">
      <alignment/>
    </xf>
    <xf numFmtId="4" fontId="14" fillId="35" borderId="12" xfId="0" applyNumberFormat="1" applyFont="1" applyFill="1" applyBorder="1" applyAlignment="1">
      <alignment/>
    </xf>
    <xf numFmtId="0" fontId="2" fillId="0" borderId="10" xfId="0" applyFont="1" applyFill="1" applyBorder="1" applyAlignment="1">
      <alignment horizontal="left"/>
    </xf>
    <xf numFmtId="0" fontId="13" fillId="0" borderId="0" xfId="0" applyFont="1" applyFill="1" applyBorder="1" applyAlignment="1">
      <alignment horizontal="left"/>
    </xf>
    <xf numFmtId="4" fontId="14" fillId="33" borderId="12" xfId="0" applyNumberFormat="1" applyFont="1" applyFill="1" applyBorder="1" applyAlignment="1">
      <alignment/>
    </xf>
    <xf numFmtId="0" fontId="2" fillId="33" borderId="0" xfId="0" applyFont="1" applyFill="1" applyBorder="1" applyAlignment="1">
      <alignment horizontal="justify" vertical="top" wrapText="1"/>
    </xf>
    <xf numFmtId="0" fontId="13" fillId="33" borderId="0" xfId="0" applyFont="1" applyFill="1" applyBorder="1" applyAlignment="1">
      <alignment horizontal="left"/>
    </xf>
    <xf numFmtId="4" fontId="2" fillId="33" borderId="12" xfId="0" applyNumberFormat="1" applyFont="1" applyFill="1" applyBorder="1" applyAlignment="1">
      <alignment horizontal="center"/>
    </xf>
    <xf numFmtId="0" fontId="0" fillId="0" borderId="0" xfId="0" applyFill="1" applyBorder="1" applyAlignment="1">
      <alignment horizontal="left"/>
    </xf>
    <xf numFmtId="0" fontId="2" fillId="0" borderId="13" xfId="0" applyFont="1" applyFill="1" applyBorder="1" applyAlignment="1">
      <alignment horizontal="justify" vertical="top" wrapText="1"/>
    </xf>
    <xf numFmtId="0" fontId="2" fillId="0" borderId="14" xfId="0" applyFont="1" applyFill="1" applyBorder="1" applyAlignment="1">
      <alignment horizontal="justify" vertical="top" wrapText="1"/>
    </xf>
    <xf numFmtId="0" fontId="0" fillId="0" borderId="14" xfId="0" applyFill="1" applyBorder="1" applyAlignment="1">
      <alignment horizontal="justify" vertical="top" wrapText="1"/>
    </xf>
    <xf numFmtId="0" fontId="2" fillId="0" borderId="14" xfId="0" applyFont="1" applyFill="1" applyBorder="1" applyAlignment="1">
      <alignment horizontal="left"/>
    </xf>
    <xf numFmtId="4" fontId="0" fillId="35" borderId="15" xfId="0" applyNumberFormat="1" applyFill="1" applyBorder="1" applyAlignment="1">
      <alignment/>
    </xf>
    <xf numFmtId="0" fontId="2" fillId="0" borderId="23" xfId="0" applyFont="1" applyFill="1" applyBorder="1" applyAlignment="1">
      <alignment horizontal="center"/>
    </xf>
    <xf numFmtId="0" fontId="2" fillId="0" borderId="28" xfId="0" applyFont="1" applyFill="1" applyBorder="1" applyAlignment="1">
      <alignment horizontal="center"/>
    </xf>
    <xf numFmtId="178" fontId="0" fillId="0" borderId="28" xfId="0" applyNumberFormat="1" applyFill="1" applyBorder="1" applyAlignment="1">
      <alignment/>
    </xf>
    <xf numFmtId="0" fontId="2" fillId="0" borderId="28" xfId="0" applyFont="1" applyFill="1" applyBorder="1" applyAlignment="1">
      <alignment horizontal="left"/>
    </xf>
    <xf numFmtId="4" fontId="14" fillId="35" borderId="19" xfId="0" applyNumberFormat="1" applyFont="1" applyFill="1" applyBorder="1" applyAlignment="1">
      <alignment/>
    </xf>
    <xf numFmtId="4" fontId="15" fillId="35" borderId="12" xfId="0" applyNumberFormat="1" applyFont="1" applyFill="1" applyBorder="1" applyAlignment="1">
      <alignment/>
    </xf>
    <xf numFmtId="0" fontId="2" fillId="0" borderId="0" xfId="0" applyFont="1" applyFill="1" applyBorder="1" applyAlignment="1">
      <alignment horizontal="justify" vertical="justify" wrapText="1"/>
    </xf>
    <xf numFmtId="4" fontId="0" fillId="0" borderId="0" xfId="0" applyNumberFormat="1" applyFill="1" applyBorder="1" applyAlignment="1">
      <alignment/>
    </xf>
    <xf numFmtId="4" fontId="2" fillId="35" borderId="12" xfId="0" applyNumberFormat="1" applyFont="1" applyFill="1" applyBorder="1" applyAlignment="1">
      <alignment horizontal="center"/>
    </xf>
    <xf numFmtId="4" fontId="0" fillId="33" borderId="0" xfId="0" applyNumberFormat="1" applyFill="1" applyAlignment="1">
      <alignment/>
    </xf>
    <xf numFmtId="0" fontId="0" fillId="33" borderId="0" xfId="0" applyFill="1" applyAlignment="1">
      <alignment/>
    </xf>
    <xf numFmtId="0" fontId="0" fillId="0" borderId="21" xfId="0" applyFill="1" applyBorder="1" applyAlignment="1">
      <alignment/>
    </xf>
    <xf numFmtId="0" fontId="0" fillId="0" borderId="21" xfId="0" applyFill="1" applyBorder="1" applyAlignment="1">
      <alignment horizontal="left"/>
    </xf>
    <xf numFmtId="0" fontId="0" fillId="0" borderId="0" xfId="0" applyFill="1" applyAlignment="1">
      <alignment horizontal="left"/>
    </xf>
    <xf numFmtId="0" fontId="2" fillId="0" borderId="0" xfId="0" applyFont="1" applyFill="1" applyAlignment="1">
      <alignment horizontal="center"/>
    </xf>
    <xf numFmtId="178" fontId="0" fillId="0" borderId="0" xfId="0" applyNumberFormat="1" applyFill="1" applyAlignment="1">
      <alignment/>
    </xf>
    <xf numFmtId="2" fontId="16" fillId="0" borderId="0" xfId="0" applyNumberFormat="1" applyFont="1" applyAlignment="1">
      <alignment horizontal="centerContinuous" vertical="center"/>
    </xf>
    <xf numFmtId="0" fontId="0" fillId="0" borderId="0" xfId="0" applyAlignment="1">
      <alignment horizontal="left"/>
    </xf>
    <xf numFmtId="0" fontId="0" fillId="0" borderId="29" xfId="0" applyBorder="1" applyAlignment="1" applyProtection="1">
      <alignment/>
      <protection locked="0"/>
    </xf>
    <xf numFmtId="4" fontId="0" fillId="0" borderId="30" xfId="0" applyNumberFormat="1" applyBorder="1" applyAlignment="1" applyProtection="1">
      <alignment/>
      <protection locked="0"/>
    </xf>
    <xf numFmtId="4" fontId="0" fillId="0" borderId="31" xfId="0" applyNumberFormat="1" applyBorder="1" applyAlignment="1" applyProtection="1">
      <alignment/>
      <protection locked="0"/>
    </xf>
    <xf numFmtId="0" fontId="2" fillId="0" borderId="0" xfId="0" applyFont="1" applyAlignment="1">
      <alignment/>
    </xf>
    <xf numFmtId="0" fontId="2" fillId="33" borderId="13" xfId="0" applyFont="1" applyFill="1" applyBorder="1" applyAlignment="1">
      <alignment/>
    </xf>
    <xf numFmtId="0" fontId="0" fillId="33" borderId="14" xfId="0" applyFill="1" applyBorder="1" applyAlignment="1">
      <alignment horizontal="center"/>
    </xf>
    <xf numFmtId="43" fontId="2" fillId="33" borderId="15" xfId="49" applyFont="1" applyFill="1" applyBorder="1" applyAlignment="1">
      <alignment horizontal="right"/>
    </xf>
    <xf numFmtId="0" fontId="2" fillId="0" borderId="28" xfId="0" applyFont="1" applyBorder="1" applyAlignment="1">
      <alignment/>
    </xf>
    <xf numFmtId="0" fontId="8" fillId="0" borderId="23" xfId="0" applyFont="1" applyFill="1" applyBorder="1" applyAlignment="1">
      <alignment/>
    </xf>
    <xf numFmtId="43" fontId="2" fillId="0" borderId="28" xfId="49" applyFont="1" applyBorder="1" applyAlignment="1">
      <alignment/>
    </xf>
    <xf numFmtId="4" fontId="0" fillId="0" borderId="0" xfId="0" applyNumberFormat="1" applyAlignment="1">
      <alignment/>
    </xf>
    <xf numFmtId="0" fontId="8" fillId="0" borderId="28" xfId="0" applyFont="1" applyFill="1" applyBorder="1" applyAlignment="1">
      <alignment/>
    </xf>
    <xf numFmtId="178" fontId="8" fillId="0" borderId="15" xfId="0" applyNumberFormat="1" applyFont="1" applyFill="1" applyBorder="1" applyAlignment="1">
      <alignment/>
    </xf>
    <xf numFmtId="0" fontId="2" fillId="0" borderId="0" xfId="0" applyFont="1" applyAlignment="1">
      <alignment horizontal="center"/>
    </xf>
    <xf numFmtId="0" fontId="5" fillId="0" borderId="0" xfId="0" applyFont="1" applyAlignment="1">
      <alignment/>
    </xf>
    <xf numFmtId="0" fontId="0" fillId="0" borderId="0" xfId="0" applyFont="1" applyAlignment="1">
      <alignment/>
    </xf>
    <xf numFmtId="4" fontId="4" fillId="0" borderId="12" xfId="0" applyNumberFormat="1" applyFont="1" applyBorder="1" applyAlignment="1">
      <alignment/>
    </xf>
    <xf numFmtId="0" fontId="2" fillId="0" borderId="13" xfId="0" applyFont="1" applyFill="1" applyBorder="1" applyAlignment="1">
      <alignment horizontal="center"/>
    </xf>
    <xf numFmtId="0" fontId="8" fillId="0" borderId="13" xfId="0" applyFont="1" applyFill="1" applyBorder="1" applyAlignment="1">
      <alignment horizontal="center"/>
    </xf>
    <xf numFmtId="0" fontId="8" fillId="0" borderId="14" xfId="0" applyFont="1" applyFill="1" applyBorder="1" applyAlignment="1">
      <alignment horizontal="center"/>
    </xf>
    <xf numFmtId="0" fontId="2" fillId="0" borderId="0" xfId="0" applyFont="1" applyFill="1" applyBorder="1" applyAlignment="1">
      <alignment horizontal="left" wrapText="1"/>
    </xf>
    <xf numFmtId="0" fontId="6" fillId="0" borderId="28" xfId="0" applyFont="1" applyFill="1" applyBorder="1" applyAlignment="1">
      <alignment/>
    </xf>
    <xf numFmtId="0" fontId="8" fillId="0" borderId="23" xfId="0" applyFont="1" applyFill="1" applyBorder="1" applyAlignment="1">
      <alignment horizontal="center"/>
    </xf>
    <xf numFmtId="0" fontId="8" fillId="0" borderId="28"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20" fillId="0" borderId="0" xfId="0" applyFont="1" applyFill="1" applyBorder="1" applyAlignment="1">
      <alignment horizontal="center"/>
    </xf>
    <xf numFmtId="0" fontId="8" fillId="0" borderId="20" xfId="0" applyFont="1" applyFill="1" applyBorder="1" applyAlignment="1">
      <alignment/>
    </xf>
    <xf numFmtId="0" fontId="8" fillId="0" borderId="21" xfId="0" applyFont="1" applyFill="1" applyBorder="1" applyAlignment="1">
      <alignment/>
    </xf>
    <xf numFmtId="0" fontId="6" fillId="0" borderId="21" xfId="0" applyFont="1" applyFill="1" applyBorder="1" applyAlignment="1">
      <alignment/>
    </xf>
    <xf numFmtId="178" fontId="8" fillId="0" borderId="22" xfId="0" applyNumberFormat="1" applyFont="1" applyFill="1" applyBorder="1" applyAlignment="1">
      <alignment/>
    </xf>
    <xf numFmtId="0" fontId="21" fillId="0" borderId="0" xfId="0" applyFont="1" applyFill="1" applyAlignment="1">
      <alignment/>
    </xf>
    <xf numFmtId="0" fontId="6" fillId="0" borderId="28" xfId="0" applyFont="1" applyFill="1" applyBorder="1" applyAlignment="1">
      <alignment horizontal="center"/>
    </xf>
    <xf numFmtId="0" fontId="8" fillId="0" borderId="0" xfId="0" applyFont="1" applyBorder="1" applyAlignment="1">
      <alignment horizontal="center"/>
    </xf>
    <xf numFmtId="0" fontId="6" fillId="0" borderId="0" xfId="0" applyFont="1" applyBorder="1" applyAlignment="1">
      <alignment horizontal="center"/>
    </xf>
    <xf numFmtId="179" fontId="8" fillId="0" borderId="21" xfId="0" applyNumberFormat="1" applyFont="1" applyFill="1" applyBorder="1" applyAlignment="1">
      <alignment/>
    </xf>
    <xf numFmtId="0" fontId="22" fillId="0" borderId="0" xfId="0" applyFont="1" applyFill="1" applyAlignment="1">
      <alignment/>
    </xf>
    <xf numFmtId="178" fontId="22" fillId="0" borderId="0" xfId="0" applyNumberFormat="1" applyFont="1" applyFill="1" applyAlignment="1">
      <alignment/>
    </xf>
    <xf numFmtId="43" fontId="8" fillId="0" borderId="0" xfId="0" applyNumberFormat="1" applyFont="1" applyFill="1" applyAlignment="1">
      <alignment/>
    </xf>
    <xf numFmtId="0" fontId="2" fillId="0" borderId="32" xfId="0" applyFont="1" applyFill="1" applyBorder="1" applyAlignment="1">
      <alignment horizontal="center"/>
    </xf>
    <xf numFmtId="0" fontId="2" fillId="0" borderId="32" xfId="0" applyFont="1" applyFill="1" applyBorder="1" applyAlignment="1">
      <alignment textRotation="255"/>
    </xf>
    <xf numFmtId="0" fontId="2" fillId="0" borderId="32" xfId="0" applyFont="1" applyFill="1" applyBorder="1" applyAlignment="1">
      <alignment wrapText="1"/>
    </xf>
    <xf numFmtId="0" fontId="2" fillId="0" borderId="13" xfId="0" applyFont="1" applyFill="1" applyBorder="1" applyAlignment="1">
      <alignment/>
    </xf>
    <xf numFmtId="0" fontId="2" fillId="0" borderId="14" xfId="0" applyFont="1" applyFill="1" applyBorder="1" applyAlignment="1">
      <alignment/>
    </xf>
    <xf numFmtId="0" fontId="0" fillId="0" borderId="14" xfId="0" applyFill="1" applyBorder="1" applyAlignment="1">
      <alignment/>
    </xf>
    <xf numFmtId="4" fontId="0" fillId="0" borderId="0" xfId="0" applyNumberFormat="1" applyFont="1" applyFill="1" applyBorder="1" applyAlignment="1">
      <alignment/>
    </xf>
    <xf numFmtId="178" fontId="11" fillId="35" borderId="0" xfId="0" applyNumberFormat="1" applyFont="1" applyFill="1" applyBorder="1" applyAlignment="1">
      <alignment/>
    </xf>
    <xf numFmtId="0" fontId="12" fillId="0" borderId="0" xfId="0" applyFont="1" applyFill="1" applyBorder="1" applyAlignment="1">
      <alignment/>
    </xf>
    <xf numFmtId="4" fontId="0" fillId="35" borderId="0" xfId="0" applyNumberFormat="1" applyFont="1" applyFill="1" applyBorder="1" applyAlignment="1">
      <alignment/>
    </xf>
    <xf numFmtId="178" fontId="2" fillId="35" borderId="0" xfId="0" applyNumberFormat="1" applyFont="1" applyFill="1" applyBorder="1" applyAlignment="1">
      <alignment/>
    </xf>
    <xf numFmtId="4" fontId="0" fillId="33" borderId="0" xfId="0" applyNumberFormat="1" applyFill="1" applyBorder="1" applyAlignment="1">
      <alignment/>
    </xf>
    <xf numFmtId="4" fontId="0" fillId="33" borderId="0" xfId="0" applyNumberFormat="1" applyFont="1" applyFill="1" applyBorder="1" applyAlignment="1">
      <alignment/>
    </xf>
    <xf numFmtId="178" fontId="11" fillId="33" borderId="0" xfId="0" applyNumberFormat="1" applyFont="1" applyFill="1" applyBorder="1" applyAlignment="1">
      <alignment/>
    </xf>
    <xf numFmtId="4" fontId="0" fillId="35" borderId="0" xfId="0" applyNumberFormat="1" applyFill="1" applyBorder="1" applyAlignment="1">
      <alignment/>
    </xf>
    <xf numFmtId="0" fontId="0" fillId="33" borderId="0" xfId="0" applyFill="1" applyBorder="1" applyAlignment="1">
      <alignment/>
    </xf>
    <xf numFmtId="4" fontId="2" fillId="33" borderId="0" xfId="0" applyNumberFormat="1" applyFont="1" applyFill="1" applyBorder="1" applyAlignment="1">
      <alignment horizontal="left"/>
    </xf>
    <xf numFmtId="178" fontId="2" fillId="34" borderId="0" xfId="0" applyNumberFormat="1" applyFont="1" applyFill="1" applyBorder="1" applyAlignment="1">
      <alignment/>
    </xf>
    <xf numFmtId="4" fontId="14" fillId="35" borderId="0" xfId="0" applyNumberFormat="1" applyFont="1" applyFill="1" applyBorder="1" applyAlignment="1">
      <alignment/>
    </xf>
    <xf numFmtId="4" fontId="14" fillId="33" borderId="0" xfId="0" applyNumberFormat="1" applyFont="1" applyFill="1" applyBorder="1" applyAlignment="1">
      <alignment/>
    </xf>
    <xf numFmtId="4" fontId="2" fillId="33" borderId="0" xfId="0" applyNumberFormat="1" applyFont="1" applyFill="1" applyBorder="1" applyAlignment="1">
      <alignment horizontal="center"/>
    </xf>
    <xf numFmtId="0" fontId="0" fillId="35" borderId="0" xfId="0" applyFill="1" applyBorder="1" applyAlignment="1">
      <alignment/>
    </xf>
    <xf numFmtId="4" fontId="15" fillId="35" borderId="0" xfId="0" applyNumberFormat="1" applyFont="1" applyFill="1" applyBorder="1" applyAlignment="1">
      <alignment/>
    </xf>
    <xf numFmtId="4" fontId="2" fillId="35" borderId="0" xfId="0" applyNumberFormat="1" applyFont="1" applyFill="1" applyBorder="1" applyAlignment="1">
      <alignment horizontal="center"/>
    </xf>
    <xf numFmtId="4" fontId="6" fillId="0" borderId="0" xfId="0" applyNumberFormat="1" applyFont="1" applyFill="1" applyBorder="1" applyAlignment="1">
      <alignment/>
    </xf>
    <xf numFmtId="178" fontId="0" fillId="33" borderId="12" xfId="0" applyNumberFormat="1" applyFill="1" applyBorder="1" applyAlignment="1">
      <alignment/>
    </xf>
    <xf numFmtId="178" fontId="0" fillId="0" borderId="12" xfId="0" applyNumberFormat="1" applyFill="1" applyBorder="1" applyAlignment="1">
      <alignment/>
    </xf>
    <xf numFmtId="4" fontId="0" fillId="35" borderId="19" xfId="0" applyNumberFormat="1" applyFill="1" applyBorder="1" applyAlignment="1">
      <alignment/>
    </xf>
    <xf numFmtId="0" fontId="2" fillId="35" borderId="32" xfId="0" applyFont="1" applyFill="1" applyBorder="1" applyAlignment="1">
      <alignment horizontal="center"/>
    </xf>
    <xf numFmtId="178" fontId="0" fillId="35" borderId="12" xfId="0" applyNumberFormat="1" applyFill="1" applyBorder="1" applyAlignment="1">
      <alignment/>
    </xf>
    <xf numFmtId="4" fontId="2" fillId="0" borderId="0" xfId="0" applyNumberFormat="1" applyFont="1" applyFill="1" applyBorder="1" applyAlignment="1">
      <alignment horizontal="left"/>
    </xf>
    <xf numFmtId="0" fontId="2" fillId="35" borderId="0" xfId="0" applyFont="1" applyFill="1" applyBorder="1" applyAlignment="1">
      <alignment horizontal="left" wrapText="1"/>
    </xf>
    <xf numFmtId="0" fontId="0" fillId="33" borderId="10" xfId="0" applyFill="1" applyBorder="1" applyAlignment="1">
      <alignment/>
    </xf>
    <xf numFmtId="4" fontId="0" fillId="33" borderId="0" xfId="0" applyNumberFormat="1" applyFont="1" applyFill="1" applyAlignment="1">
      <alignment/>
    </xf>
    <xf numFmtId="4" fontId="0" fillId="34" borderId="0" xfId="0" applyNumberFormat="1" applyFont="1" applyFill="1" applyAlignment="1">
      <alignment/>
    </xf>
    <xf numFmtId="0" fontId="2" fillId="0" borderId="14" xfId="0" applyFont="1" applyFill="1" applyBorder="1" applyAlignment="1">
      <alignment horizontal="justify" vertical="justify" wrapText="1"/>
    </xf>
    <xf numFmtId="178" fontId="0" fillId="0" borderId="14" xfId="0" applyNumberFormat="1" applyFill="1" applyBorder="1" applyAlignment="1">
      <alignment/>
    </xf>
    <xf numFmtId="0" fontId="2" fillId="0" borderId="28" xfId="0" applyFont="1" applyFill="1" applyBorder="1" applyAlignment="1">
      <alignment horizontal="justify" vertical="justify" wrapText="1"/>
    </xf>
    <xf numFmtId="0" fontId="2" fillId="0" borderId="28" xfId="0" applyFont="1" applyFill="1" applyBorder="1" applyAlignment="1">
      <alignment horizontal="left" wrapText="1"/>
    </xf>
    <xf numFmtId="4" fontId="0" fillId="35" borderId="0" xfId="0" applyNumberFormat="1" applyFill="1" applyAlignment="1">
      <alignment/>
    </xf>
    <xf numFmtId="0" fontId="0" fillId="0" borderId="15" xfId="0" applyFill="1" applyBorder="1" applyAlignment="1">
      <alignment horizontal="justify" vertical="top" wrapText="1"/>
    </xf>
    <xf numFmtId="0" fontId="11" fillId="33" borderId="0" xfId="0" applyFont="1" applyFill="1" applyBorder="1" applyAlignment="1">
      <alignment horizontal="center"/>
    </xf>
    <xf numFmtId="0" fontId="2" fillId="33" borderId="12" xfId="0" applyFont="1" applyFill="1" applyBorder="1" applyAlignment="1">
      <alignment horizontal="center"/>
    </xf>
    <xf numFmtId="179" fontId="6" fillId="0" borderId="0" xfId="0" applyNumberFormat="1" applyFont="1" applyFill="1" applyAlignment="1">
      <alignment/>
    </xf>
    <xf numFmtId="0" fontId="2" fillId="33" borderId="14" xfId="0" applyFont="1" applyFill="1" applyBorder="1" applyAlignment="1">
      <alignment horizontal="center"/>
    </xf>
    <xf numFmtId="183" fontId="6" fillId="0" borderId="0" xfId="0" applyNumberFormat="1" applyFont="1" applyFill="1" applyAlignment="1">
      <alignment/>
    </xf>
    <xf numFmtId="178" fontId="0" fillId="35" borderId="19" xfId="0" applyNumberFormat="1" applyFill="1" applyBorder="1" applyAlignment="1">
      <alignment/>
    </xf>
    <xf numFmtId="0" fontId="0" fillId="0" borderId="13" xfId="0" applyFill="1" applyBorder="1" applyAlignment="1">
      <alignment/>
    </xf>
    <xf numFmtId="178" fontId="2" fillId="35"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178" fontId="2" fillId="33" borderId="14" xfId="0" applyNumberFormat="1" applyFont="1" applyFill="1" applyBorder="1" applyAlignment="1">
      <alignment/>
    </xf>
    <xf numFmtId="0" fontId="2" fillId="33" borderId="14" xfId="0" applyFont="1" applyFill="1" applyBorder="1" applyAlignment="1">
      <alignment horizontal="left"/>
    </xf>
    <xf numFmtId="178" fontId="2" fillId="33" borderId="15" xfId="0" applyNumberFormat="1" applyFont="1" applyFill="1" applyBorder="1" applyAlignment="1">
      <alignment/>
    </xf>
    <xf numFmtId="0" fontId="2" fillId="33" borderId="23" xfId="0" applyFont="1" applyFill="1" applyBorder="1" applyAlignment="1">
      <alignment horizontal="center"/>
    </xf>
    <xf numFmtId="178" fontId="0" fillId="33" borderId="28" xfId="0" applyNumberFormat="1" applyFill="1" applyBorder="1" applyAlignment="1">
      <alignment/>
    </xf>
    <xf numFmtId="0" fontId="2" fillId="33" borderId="28" xfId="0" applyFont="1" applyFill="1" applyBorder="1" applyAlignment="1">
      <alignment horizontal="center"/>
    </xf>
    <xf numFmtId="0" fontId="13" fillId="33" borderId="28" xfId="0" applyFont="1" applyFill="1" applyBorder="1" applyAlignment="1">
      <alignment horizontal="center"/>
    </xf>
    <xf numFmtId="0" fontId="2" fillId="33" borderId="28" xfId="0" applyFont="1" applyFill="1" applyBorder="1" applyAlignment="1">
      <alignment horizontal="left"/>
    </xf>
    <xf numFmtId="0" fontId="2" fillId="33" borderId="13" xfId="0" applyFont="1" applyFill="1" applyBorder="1" applyAlignment="1">
      <alignment horizontal="left"/>
    </xf>
    <xf numFmtId="4" fontId="0" fillId="33" borderId="15" xfId="0" applyNumberFormat="1" applyFill="1" applyBorder="1" applyAlignment="1">
      <alignment/>
    </xf>
    <xf numFmtId="0" fontId="2" fillId="33" borderId="13" xfId="0" applyFont="1" applyFill="1" applyBorder="1" applyAlignment="1">
      <alignment horizontal="justify" vertical="top" wrapText="1"/>
    </xf>
    <xf numFmtId="0" fontId="2" fillId="33" borderId="14" xfId="0" applyFont="1" applyFill="1" applyBorder="1" applyAlignment="1">
      <alignment horizontal="justify" vertical="top" wrapText="1"/>
    </xf>
    <xf numFmtId="0" fontId="0" fillId="33" borderId="14" xfId="0" applyFill="1" applyBorder="1" applyAlignment="1">
      <alignment horizontal="justify" vertical="top" wrapText="1"/>
    </xf>
    <xf numFmtId="4" fontId="0" fillId="33" borderId="15" xfId="0" applyNumberFormat="1" applyFont="1" applyFill="1" applyBorder="1" applyAlignment="1">
      <alignment/>
    </xf>
    <xf numFmtId="0" fontId="2" fillId="0" borderId="23" xfId="0" applyFont="1" applyFill="1" applyBorder="1" applyAlignment="1">
      <alignment horizontal="left"/>
    </xf>
    <xf numFmtId="178" fontId="2" fillId="0" borderId="28" xfId="0" applyNumberFormat="1" applyFont="1" applyFill="1" applyBorder="1" applyAlignment="1">
      <alignment/>
    </xf>
    <xf numFmtId="178" fontId="2" fillId="35" borderId="19" xfId="0" applyNumberFormat="1" applyFont="1" applyFill="1" applyBorder="1" applyAlignment="1">
      <alignment/>
    </xf>
    <xf numFmtId="0" fontId="0" fillId="0" borderId="0" xfId="0" applyAlignment="1">
      <alignment horizontal="center" vertical="center"/>
    </xf>
    <xf numFmtId="0" fontId="23" fillId="0" borderId="0" xfId="0" applyFont="1" applyAlignment="1">
      <alignment/>
    </xf>
    <xf numFmtId="49" fontId="23" fillId="0" borderId="0" xfId="0" applyNumberFormat="1" applyFont="1" applyAlignment="1">
      <alignment/>
    </xf>
    <xf numFmtId="0" fontId="24" fillId="0" borderId="13" xfId="0" applyFont="1" applyBorder="1" applyAlignment="1">
      <alignment/>
    </xf>
    <xf numFmtId="0" fontId="23" fillId="0" borderId="10" xfId="0" applyFont="1" applyBorder="1" applyAlignment="1">
      <alignment/>
    </xf>
    <xf numFmtId="49" fontId="23" fillId="0" borderId="12" xfId="0" applyNumberFormat="1" applyFont="1" applyBorder="1" applyAlignment="1">
      <alignment/>
    </xf>
    <xf numFmtId="0" fontId="24" fillId="0" borderId="0" xfId="0" applyFont="1" applyBorder="1" applyAlignment="1">
      <alignment horizontal="center"/>
    </xf>
    <xf numFmtId="4" fontId="23" fillId="0" borderId="0" xfId="0" applyNumberFormat="1" applyFont="1" applyBorder="1" applyAlignment="1">
      <alignment/>
    </xf>
    <xf numFmtId="0" fontId="23" fillId="0" borderId="10" xfId="0" applyFont="1" applyFill="1" applyBorder="1" applyAlignment="1">
      <alignment horizontal="left" vertical="justify" wrapText="1"/>
    </xf>
    <xf numFmtId="4" fontId="23" fillId="0" borderId="26" xfId="0" applyNumberFormat="1" applyFont="1" applyBorder="1" applyAlignment="1">
      <alignment/>
    </xf>
    <xf numFmtId="49" fontId="23" fillId="0" borderId="27" xfId="0" applyNumberFormat="1" applyFont="1" applyBorder="1" applyAlignment="1">
      <alignment/>
    </xf>
    <xf numFmtId="0" fontId="24" fillId="0" borderId="10" xfId="0" applyFont="1" applyBorder="1" applyAlignment="1">
      <alignment/>
    </xf>
    <xf numFmtId="0" fontId="23" fillId="0" borderId="23" xfId="0" applyFont="1" applyBorder="1" applyAlignment="1">
      <alignment/>
    </xf>
    <xf numFmtId="4" fontId="23" fillId="0" borderId="28" xfId="0" applyNumberFormat="1" applyFont="1" applyBorder="1" applyAlignment="1">
      <alignment/>
    </xf>
    <xf numFmtId="49" fontId="23" fillId="0" borderId="19" xfId="0" applyNumberFormat="1" applyFont="1" applyBorder="1" applyAlignment="1">
      <alignment/>
    </xf>
    <xf numFmtId="4" fontId="23" fillId="0" borderId="14" xfId="0" applyNumberFormat="1" applyFont="1" applyBorder="1" applyAlignment="1">
      <alignment/>
    </xf>
    <xf numFmtId="49" fontId="23" fillId="0" borderId="15" xfId="0" applyNumberFormat="1" applyFont="1" applyBorder="1" applyAlignment="1">
      <alignment/>
    </xf>
    <xf numFmtId="0" fontId="23" fillId="0" borderId="10" xfId="0" applyFont="1" applyFill="1" applyBorder="1" applyAlignment="1">
      <alignment/>
    </xf>
    <xf numFmtId="0" fontId="23" fillId="0" borderId="14" xfId="0" applyFont="1" applyBorder="1" applyAlignment="1">
      <alignment/>
    </xf>
    <xf numFmtId="49" fontId="0" fillId="0" borderId="12" xfId="0" applyNumberFormat="1" applyBorder="1" applyAlignment="1">
      <alignment/>
    </xf>
    <xf numFmtId="49" fontId="0" fillId="0" borderId="19" xfId="0" applyNumberFormat="1" applyBorder="1" applyAlignment="1">
      <alignment/>
    </xf>
    <xf numFmtId="0" fontId="0" fillId="0" borderId="23" xfId="0" applyBorder="1" applyAlignment="1">
      <alignment horizontal="justify" vertical="justify" wrapText="1"/>
    </xf>
    <xf numFmtId="0" fontId="0" fillId="0" borderId="28" xfId="0" applyBorder="1" applyAlignment="1">
      <alignment/>
    </xf>
    <xf numFmtId="0" fontId="0" fillId="0" borderId="0" xfId="0" applyBorder="1" applyAlignment="1">
      <alignment horizontal="justify" vertical="justify" wrapText="1"/>
    </xf>
    <xf numFmtId="49" fontId="0" fillId="0" borderId="0" xfId="0" applyNumberFormat="1" applyAlignment="1">
      <alignment/>
    </xf>
    <xf numFmtId="0" fontId="2" fillId="0" borderId="0" xfId="0" applyFont="1" applyAlignment="1">
      <alignment horizontal="left"/>
    </xf>
    <xf numFmtId="0" fontId="0" fillId="0" borderId="23" xfId="0" applyBorder="1" applyAlignment="1">
      <alignment/>
    </xf>
    <xf numFmtId="0" fontId="0" fillId="0" borderId="19" xfId="0" applyBorder="1" applyAlignment="1">
      <alignment/>
    </xf>
    <xf numFmtId="0" fontId="2" fillId="33" borderId="20" xfId="0" applyFont="1" applyFill="1" applyBorder="1" applyAlignment="1">
      <alignment horizontal="center"/>
    </xf>
    <xf numFmtId="0" fontId="2" fillId="0" borderId="28" xfId="0" applyFont="1" applyBorder="1" applyAlignment="1">
      <alignment wrapText="1"/>
    </xf>
    <xf numFmtId="178" fontId="2" fillId="0" borderId="28" xfId="0" applyNumberFormat="1" applyFont="1" applyBorder="1" applyAlignment="1">
      <alignment/>
    </xf>
    <xf numFmtId="4" fontId="0" fillId="0" borderId="19" xfId="0" applyNumberFormat="1" applyBorder="1" applyAlignment="1">
      <alignment/>
    </xf>
    <xf numFmtId="0" fontId="2" fillId="33" borderId="23" xfId="0" applyFont="1" applyFill="1" applyBorder="1" applyAlignment="1">
      <alignment/>
    </xf>
    <xf numFmtId="0" fontId="2" fillId="33" borderId="28" xfId="0" applyFont="1" applyFill="1" applyBorder="1" applyAlignment="1">
      <alignment/>
    </xf>
    <xf numFmtId="178" fontId="2" fillId="33" borderId="28" xfId="0" applyNumberFormat="1" applyFont="1" applyFill="1" applyBorder="1" applyAlignment="1">
      <alignment/>
    </xf>
    <xf numFmtId="178" fontId="11" fillId="35" borderId="22" xfId="0" applyNumberFormat="1" applyFont="1" applyFill="1" applyBorder="1" applyAlignment="1">
      <alignment/>
    </xf>
    <xf numFmtId="4" fontId="0" fillId="33" borderId="19" xfId="0" applyNumberFormat="1" applyFont="1" applyFill="1" applyBorder="1" applyAlignment="1">
      <alignment/>
    </xf>
    <xf numFmtId="178" fontId="0" fillId="0" borderId="19" xfId="0" applyNumberFormat="1" applyFill="1" applyBorder="1" applyAlignment="1">
      <alignment/>
    </xf>
    <xf numFmtId="178" fontId="2" fillId="0" borderId="22" xfId="0" applyNumberFormat="1" applyFont="1" applyFill="1" applyBorder="1" applyAlignment="1">
      <alignment/>
    </xf>
    <xf numFmtId="0" fontId="23" fillId="0" borderId="14" xfId="0" applyFont="1" applyBorder="1" applyAlignment="1">
      <alignment horizontal="center" vertical="justify" wrapText="1"/>
    </xf>
    <xf numFmtId="0" fontId="4" fillId="35" borderId="33" xfId="0" applyFont="1" applyFill="1" applyBorder="1" applyAlignment="1">
      <alignment/>
    </xf>
    <xf numFmtId="0" fontId="25" fillId="0" borderId="0" xfId="0" applyFont="1" applyBorder="1" applyAlignment="1">
      <alignment/>
    </xf>
    <xf numFmtId="0" fontId="0" fillId="0" borderId="0" xfId="0" applyFont="1" applyBorder="1" applyAlignment="1">
      <alignment vertical="distributed" readingOrder="1"/>
    </xf>
    <xf numFmtId="0" fontId="2" fillId="33" borderId="13" xfId="0" applyFont="1" applyFill="1" applyBorder="1" applyAlignment="1">
      <alignment horizontal="center"/>
    </xf>
    <xf numFmtId="0" fontId="2" fillId="33" borderId="14" xfId="0" applyFont="1" applyFill="1" applyBorder="1" applyAlignment="1">
      <alignment horizontal="left" wrapText="1"/>
    </xf>
    <xf numFmtId="178" fontId="0" fillId="33" borderId="14" xfId="0" applyNumberFormat="1" applyFill="1" applyBorder="1" applyAlignment="1">
      <alignment/>
    </xf>
    <xf numFmtId="0" fontId="2" fillId="12" borderId="10" xfId="0" applyFont="1" applyFill="1" applyBorder="1" applyAlignment="1">
      <alignment horizontal="center"/>
    </xf>
    <xf numFmtId="0" fontId="2" fillId="12" borderId="0" xfId="0" applyFont="1" applyFill="1" applyBorder="1" applyAlignment="1">
      <alignment horizontal="center"/>
    </xf>
    <xf numFmtId="178" fontId="0" fillId="12" borderId="0" xfId="0" applyNumberFormat="1" applyFill="1" applyBorder="1" applyAlignment="1">
      <alignment/>
    </xf>
    <xf numFmtId="0" fontId="2" fillId="12" borderId="0" xfId="0" applyFont="1" applyFill="1" applyBorder="1" applyAlignment="1">
      <alignment horizontal="left"/>
    </xf>
    <xf numFmtId="4" fontId="0" fillId="12" borderId="12" xfId="0" applyNumberFormat="1" applyFont="1" applyFill="1" applyBorder="1" applyAlignment="1">
      <alignment/>
    </xf>
    <xf numFmtId="4" fontId="0" fillId="12" borderId="0" xfId="0" applyNumberFormat="1" applyFont="1" applyFill="1" applyBorder="1" applyAlignment="1">
      <alignment/>
    </xf>
    <xf numFmtId="4" fontId="0" fillId="12" borderId="0" xfId="0" applyNumberFormat="1" applyFill="1" applyAlignment="1">
      <alignment/>
    </xf>
    <xf numFmtId="0" fontId="0" fillId="12" borderId="0" xfId="0" applyFill="1" applyAlignment="1">
      <alignment/>
    </xf>
    <xf numFmtId="0" fontId="8" fillId="12" borderId="0" xfId="0" applyFont="1" applyFill="1" applyBorder="1" applyAlignment="1">
      <alignment/>
    </xf>
    <xf numFmtId="0" fontId="2" fillId="12" borderId="20" xfId="0" applyFont="1" applyFill="1" applyBorder="1" applyAlignment="1">
      <alignment/>
    </xf>
    <xf numFmtId="0" fontId="2" fillId="12" borderId="21" xfId="0" applyFont="1" applyFill="1" applyBorder="1" applyAlignment="1">
      <alignment/>
    </xf>
    <xf numFmtId="178" fontId="2" fillId="12" borderId="21" xfId="0" applyNumberFormat="1" applyFont="1" applyFill="1" applyBorder="1" applyAlignment="1">
      <alignment/>
    </xf>
    <xf numFmtId="0" fontId="2" fillId="12" borderId="21" xfId="0" applyFont="1" applyFill="1" applyBorder="1" applyAlignment="1">
      <alignment horizontal="center"/>
    </xf>
    <xf numFmtId="0" fontId="2" fillId="12" borderId="21" xfId="0" applyFont="1" applyFill="1" applyBorder="1" applyAlignment="1">
      <alignment horizontal="left"/>
    </xf>
    <xf numFmtId="178" fontId="2" fillId="12" borderId="22" xfId="0" applyNumberFormat="1" applyFont="1" applyFill="1" applyBorder="1" applyAlignment="1">
      <alignment/>
    </xf>
    <xf numFmtId="178" fontId="11" fillId="12" borderId="0" xfId="0" applyNumberFormat="1" applyFont="1" applyFill="1" applyBorder="1" applyAlignment="1">
      <alignment/>
    </xf>
    <xf numFmtId="178" fontId="2" fillId="12" borderId="0" xfId="0" applyNumberFormat="1" applyFont="1" applyFill="1" applyBorder="1" applyAlignment="1">
      <alignment/>
    </xf>
    <xf numFmtId="178" fontId="0" fillId="0" borderId="0" xfId="0" applyNumberFormat="1" applyFont="1" applyFill="1" applyBorder="1" applyAlignment="1">
      <alignment/>
    </xf>
    <xf numFmtId="0" fontId="0" fillId="0" borderId="0" xfId="0" applyAlignment="1" applyProtection="1">
      <alignment/>
      <protection/>
    </xf>
    <xf numFmtId="0" fontId="28" fillId="0" borderId="0" xfId="0" applyFont="1" applyAlignment="1" applyProtection="1">
      <alignment/>
      <protection/>
    </xf>
    <xf numFmtId="0" fontId="2" fillId="34" borderId="34" xfId="0" applyFont="1" applyFill="1" applyBorder="1" applyAlignment="1" applyProtection="1">
      <alignment horizontal="center"/>
      <protection/>
    </xf>
    <xf numFmtId="0" fontId="2" fillId="0" borderId="0" xfId="0" applyFont="1" applyAlignment="1" applyProtection="1">
      <alignment horizontal="center" vertical="justify"/>
      <protection/>
    </xf>
    <xf numFmtId="0" fontId="2" fillId="36" borderId="20" xfId="0" applyFont="1" applyFill="1" applyBorder="1" applyAlignment="1" applyProtection="1">
      <alignment horizontal="center" vertical="justify"/>
      <protection/>
    </xf>
    <xf numFmtId="0" fontId="29" fillId="36" borderId="20" xfId="0" applyFont="1" applyFill="1" applyBorder="1" applyAlignment="1" applyProtection="1">
      <alignment horizontal="center" vertical="justify"/>
      <protection/>
    </xf>
    <xf numFmtId="0" fontId="0" fillId="36" borderId="0" xfId="0" applyFill="1" applyAlignment="1" applyProtection="1">
      <alignment/>
      <protection/>
    </xf>
    <xf numFmtId="0" fontId="0" fillId="0" borderId="30" xfId="0" applyBorder="1" applyAlignment="1" applyProtection="1">
      <alignment horizontal="center"/>
      <protection locked="0"/>
    </xf>
    <xf numFmtId="0" fontId="0" fillId="34" borderId="30" xfId="0" applyFill="1" applyBorder="1" applyAlignment="1" applyProtection="1">
      <alignment horizontal="center"/>
      <protection locked="0"/>
    </xf>
    <xf numFmtId="0" fontId="0" fillId="0" borderId="0" xfId="0" applyAlignment="1" applyProtection="1">
      <alignment horizontal="center"/>
      <protection locked="0"/>
    </xf>
    <xf numFmtId="0" fontId="0" fillId="0" borderId="0" xfId="0" applyFill="1" applyAlignment="1" applyProtection="1">
      <alignment/>
      <protection/>
    </xf>
    <xf numFmtId="0" fontId="30" fillId="0" borderId="35" xfId="0" applyFont="1" applyBorder="1" applyAlignment="1" applyProtection="1">
      <alignment/>
      <protection/>
    </xf>
    <xf numFmtId="0" fontId="30" fillId="0" borderId="36" xfId="0" applyFont="1" applyBorder="1" applyAlignment="1" applyProtection="1">
      <alignment horizontal="center"/>
      <protection/>
    </xf>
    <xf numFmtId="0" fontId="30" fillId="0" borderId="37" xfId="0" applyFont="1" applyBorder="1" applyAlignment="1" applyProtection="1">
      <alignment horizontal="center"/>
      <protection/>
    </xf>
    <xf numFmtId="0" fontId="30" fillId="34" borderId="21" xfId="0" applyFont="1" applyFill="1" applyBorder="1" applyAlignment="1" applyProtection="1">
      <alignment horizontal="center"/>
      <protection/>
    </xf>
    <xf numFmtId="0" fontId="30" fillId="0" borderId="0" xfId="0" applyFont="1" applyAlignment="1" applyProtection="1">
      <alignment horizontal="center"/>
      <protection/>
    </xf>
    <xf numFmtId="0" fontId="30" fillId="34" borderId="35" xfId="0" applyFont="1" applyFill="1" applyBorder="1" applyAlignment="1" applyProtection="1">
      <alignment horizontal="center"/>
      <protection/>
    </xf>
    <xf numFmtId="0" fontId="2" fillId="0" borderId="20" xfId="0" applyFont="1" applyBorder="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2" fillId="0" borderId="0" xfId="0" applyFont="1" applyBorder="1" applyAlignment="1" applyProtection="1">
      <alignment/>
      <protection/>
    </xf>
    <xf numFmtId="0" fontId="0" fillId="0" borderId="21" xfId="0" applyBorder="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locked="0"/>
    </xf>
    <xf numFmtId="0" fontId="2" fillId="0" borderId="0" xfId="0" applyFont="1" applyAlignment="1" applyProtection="1">
      <alignment/>
      <protection locked="0"/>
    </xf>
    <xf numFmtId="0" fontId="0" fillId="0" borderId="0" xfId="0" applyBorder="1" applyAlignment="1" applyProtection="1">
      <alignment horizontal="center"/>
      <protection locked="0"/>
    </xf>
    <xf numFmtId="0" fontId="0" fillId="0" borderId="10" xfId="0" applyFont="1" applyBorder="1" applyAlignment="1">
      <alignment vertical="top" wrapText="1"/>
    </xf>
    <xf numFmtId="0" fontId="24" fillId="0" borderId="10" xfId="0" applyFont="1" applyFill="1" applyBorder="1" applyAlignment="1">
      <alignment/>
    </xf>
    <xf numFmtId="49" fontId="0" fillId="0" borderId="0" xfId="0" applyNumberFormat="1" applyBorder="1" applyAlignment="1">
      <alignment/>
    </xf>
    <xf numFmtId="0" fontId="2" fillId="37" borderId="10" xfId="0" applyFont="1" applyFill="1" applyBorder="1" applyAlignment="1">
      <alignment/>
    </xf>
    <xf numFmtId="0" fontId="2" fillId="37" borderId="0" xfId="0" applyFont="1" applyFill="1" applyAlignment="1">
      <alignment/>
    </xf>
    <xf numFmtId="180" fontId="2" fillId="37" borderId="0" xfId="0" applyNumberFormat="1" applyFont="1" applyFill="1" applyAlignment="1">
      <alignment/>
    </xf>
    <xf numFmtId="178" fontId="2" fillId="37" borderId="0" xfId="0" applyNumberFormat="1" applyFont="1" applyFill="1" applyAlignment="1">
      <alignment/>
    </xf>
    <xf numFmtId="4" fontId="2" fillId="37" borderId="12" xfId="0" applyNumberFormat="1" applyFont="1" applyFill="1" applyBorder="1" applyAlignment="1">
      <alignment/>
    </xf>
    <xf numFmtId="180" fontId="0" fillId="0" borderId="0" xfId="0" applyNumberFormat="1" applyAlignment="1">
      <alignment/>
    </xf>
    <xf numFmtId="180" fontId="2" fillId="0" borderId="0" xfId="0" applyNumberFormat="1" applyFont="1" applyAlignment="1">
      <alignment/>
    </xf>
    <xf numFmtId="0" fontId="4" fillId="35" borderId="0" xfId="0" applyFont="1" applyFill="1" applyBorder="1" applyAlignment="1">
      <alignment/>
    </xf>
    <xf numFmtId="0" fontId="9" fillId="0" borderId="14" xfId="0" applyFont="1" applyFill="1" applyBorder="1" applyAlignment="1">
      <alignment/>
    </xf>
    <xf numFmtId="179" fontId="8" fillId="0" borderId="14" xfId="0" applyNumberFormat="1" applyFont="1" applyFill="1" applyBorder="1" applyAlignment="1">
      <alignment/>
    </xf>
    <xf numFmtId="43" fontId="6" fillId="0" borderId="0" xfId="55" applyFont="1" applyFill="1" applyAlignment="1">
      <alignment/>
    </xf>
    <xf numFmtId="178" fontId="6" fillId="0" borderId="0" xfId="55" applyNumberFormat="1" applyFont="1" applyFill="1" applyAlignment="1">
      <alignment/>
    </xf>
    <xf numFmtId="4" fontId="0" fillId="0" borderId="0" xfId="56" applyNumberFormat="1" applyFont="1" applyFill="1" applyAlignment="1">
      <alignment/>
    </xf>
    <xf numFmtId="4" fontId="0" fillId="33" borderId="0" xfId="56" applyNumberFormat="1" applyFont="1" applyFill="1" applyAlignment="1">
      <alignment/>
    </xf>
    <xf numFmtId="4" fontId="0" fillId="38" borderId="0" xfId="56" applyNumberFormat="1" applyFont="1" applyFill="1" applyAlignment="1">
      <alignment/>
    </xf>
    <xf numFmtId="4" fontId="6" fillId="35" borderId="0" xfId="56" applyNumberFormat="1" applyFont="1" applyFill="1" applyBorder="1" applyAlignment="1">
      <alignment/>
    </xf>
    <xf numFmtId="4" fontId="0" fillId="34" borderId="0" xfId="56" applyNumberFormat="1" applyFont="1" applyFill="1" applyAlignment="1">
      <alignment/>
    </xf>
    <xf numFmtId="4" fontId="10" fillId="34" borderId="0" xfId="56" applyNumberFormat="1" applyFont="1" applyFill="1" applyBorder="1" applyAlignment="1">
      <alignment/>
    </xf>
    <xf numFmtId="4" fontId="2" fillId="0" borderId="0" xfId="56" applyNumberFormat="1" applyFont="1" applyFill="1" applyAlignment="1">
      <alignment/>
    </xf>
    <xf numFmtId="4" fontId="2" fillId="34" borderId="0" xfId="56" applyNumberFormat="1" applyFont="1" applyFill="1" applyAlignment="1">
      <alignment/>
    </xf>
    <xf numFmtId="4" fontId="0" fillId="0" borderId="0" xfId="56" applyNumberFormat="1" applyFont="1" applyFill="1" applyAlignment="1">
      <alignment horizontal="justify" vertical="top" wrapText="1"/>
    </xf>
    <xf numFmtId="4" fontId="0" fillId="12" borderId="0" xfId="56" applyNumberFormat="1" applyFont="1" applyFill="1" applyAlignment="1">
      <alignment/>
    </xf>
    <xf numFmtId="0" fontId="2" fillId="33" borderId="20" xfId="0" applyFont="1" applyFill="1" applyBorder="1" applyAlignment="1">
      <alignment horizontal="left"/>
    </xf>
    <xf numFmtId="178" fontId="0" fillId="33" borderId="21" xfId="0" applyNumberFormat="1" applyFill="1" applyBorder="1" applyAlignment="1">
      <alignment/>
    </xf>
    <xf numFmtId="4" fontId="0" fillId="0" borderId="38" xfId="0" applyNumberFormat="1" applyBorder="1" applyAlignment="1" applyProtection="1">
      <alignment/>
      <protection locked="0"/>
    </xf>
    <xf numFmtId="4" fontId="2" fillId="35" borderId="0" xfId="0" applyNumberFormat="1" applyFont="1" applyFill="1" applyBorder="1" applyAlignment="1">
      <alignment horizontal="left" wrapText="1"/>
    </xf>
    <xf numFmtId="4" fontId="2" fillId="0" borderId="0" xfId="0" applyNumberFormat="1" applyFont="1" applyFill="1" applyBorder="1" applyAlignment="1">
      <alignment horizontal="left" wrapText="1"/>
    </xf>
    <xf numFmtId="4" fontId="0" fillId="0" borderId="12" xfId="0" applyNumberFormat="1" applyFont="1" applyFill="1" applyBorder="1" applyAlignment="1">
      <alignment/>
    </xf>
    <xf numFmtId="4" fontId="0" fillId="0" borderId="12" xfId="0" applyNumberFormat="1" applyFill="1" applyBorder="1" applyAlignment="1">
      <alignment/>
    </xf>
    <xf numFmtId="4" fontId="2" fillId="0" borderId="0" xfId="0" applyNumberFormat="1" applyFont="1" applyBorder="1" applyAlignment="1">
      <alignment horizontal="left"/>
    </xf>
    <xf numFmtId="4" fontId="0" fillId="33" borderId="22" xfId="0" applyNumberFormat="1" applyFont="1" applyFill="1" applyBorder="1" applyAlignment="1">
      <alignment/>
    </xf>
    <xf numFmtId="4" fontId="2" fillId="0" borderId="12" xfId="0" applyNumberFormat="1" applyFont="1" applyFill="1" applyBorder="1" applyAlignment="1">
      <alignment horizontal="center"/>
    </xf>
    <xf numFmtId="178" fontId="0" fillId="33" borderId="22" xfId="0" applyNumberFormat="1" applyFill="1" applyBorder="1" applyAlignment="1">
      <alignment/>
    </xf>
    <xf numFmtId="4" fontId="6" fillId="35" borderId="12" xfId="0" applyNumberFormat="1" applyFont="1" applyFill="1" applyBorder="1" applyAlignment="1">
      <alignment/>
    </xf>
    <xf numFmtId="0" fontId="2" fillId="0" borderId="0" xfId="0" applyFont="1" applyFill="1" applyBorder="1" applyAlignment="1" applyProtection="1">
      <alignment/>
      <protection/>
    </xf>
    <xf numFmtId="4" fontId="2" fillId="39" borderId="35" xfId="0" applyNumberFormat="1" applyFont="1" applyFill="1" applyBorder="1" applyAlignment="1" applyProtection="1">
      <alignment/>
      <protection/>
    </xf>
    <xf numFmtId="4" fontId="2" fillId="39" borderId="39" xfId="0" applyNumberFormat="1" applyFont="1" applyFill="1" applyBorder="1" applyAlignment="1" applyProtection="1">
      <alignment/>
      <protection/>
    </xf>
    <xf numFmtId="4" fontId="2" fillId="39" borderId="40" xfId="0" applyNumberFormat="1" applyFont="1" applyFill="1" applyBorder="1" applyAlignment="1" applyProtection="1">
      <alignment/>
      <protection/>
    </xf>
    <xf numFmtId="0" fontId="2" fillId="39" borderId="20" xfId="0" applyFont="1" applyFill="1" applyBorder="1" applyAlignment="1" applyProtection="1">
      <alignment/>
      <protection/>
    </xf>
    <xf numFmtId="4" fontId="2" fillId="0" borderId="35" xfId="0" applyNumberFormat="1" applyFont="1" applyFill="1" applyBorder="1" applyAlignment="1" applyProtection="1">
      <alignment/>
      <protection/>
    </xf>
    <xf numFmtId="4" fontId="2" fillId="0" borderId="39" xfId="0" applyNumberFormat="1" applyFont="1" applyFill="1" applyBorder="1" applyAlignment="1" applyProtection="1">
      <alignment/>
      <protection/>
    </xf>
    <xf numFmtId="0" fontId="2" fillId="39" borderId="41" xfId="0" applyFont="1" applyFill="1" applyBorder="1" applyAlignment="1" applyProtection="1">
      <alignment/>
      <protection/>
    </xf>
    <xf numFmtId="4" fontId="2" fillId="39" borderId="42" xfId="0" applyNumberFormat="1" applyFont="1" applyFill="1" applyBorder="1" applyAlignment="1" applyProtection="1">
      <alignment/>
      <protection/>
    </xf>
    <xf numFmtId="0" fontId="2" fillId="39" borderId="23" xfId="0" applyFont="1" applyFill="1" applyBorder="1" applyAlignment="1" applyProtection="1">
      <alignment/>
      <protection/>
    </xf>
    <xf numFmtId="4" fontId="0" fillId="0" borderId="30" xfId="0" applyNumberFormat="1" applyFill="1" applyBorder="1" applyAlignment="1" applyProtection="1">
      <alignment/>
      <protection/>
    </xf>
    <xf numFmtId="4" fontId="0" fillId="39" borderId="30" xfId="0" applyNumberFormat="1" applyFill="1" applyBorder="1" applyAlignment="1" applyProtection="1">
      <alignment/>
      <protection locked="0"/>
    </xf>
    <xf numFmtId="4" fontId="0" fillId="0" borderId="30" xfId="0" applyNumberFormat="1" applyFill="1" applyBorder="1" applyAlignment="1" applyProtection="1">
      <alignment/>
      <protection locked="0"/>
    </xf>
    <xf numFmtId="0" fontId="0" fillId="0" borderId="30" xfId="0" applyFill="1" applyBorder="1" applyAlignment="1" applyProtection="1">
      <alignment/>
      <protection locked="0"/>
    </xf>
    <xf numFmtId="0" fontId="0" fillId="0" borderId="30" xfId="0" applyFill="1" applyBorder="1" applyAlignment="1" applyProtection="1">
      <alignment horizontal="center"/>
      <protection/>
    </xf>
    <xf numFmtId="0" fontId="0" fillId="0" borderId="33" xfId="0" applyFill="1" applyBorder="1" applyAlignment="1" applyProtection="1">
      <alignment horizontal="center"/>
      <protection/>
    </xf>
    <xf numFmtId="4" fontId="0" fillId="0" borderId="33" xfId="0" applyNumberFormat="1" applyBorder="1" applyAlignment="1" applyProtection="1">
      <alignment/>
      <protection locked="0"/>
    </xf>
    <xf numFmtId="0" fontId="0" fillId="0" borderId="43" xfId="0" applyNumberFormat="1" applyBorder="1" applyAlignment="1" applyProtection="1">
      <alignment/>
      <protection locked="0"/>
    </xf>
    <xf numFmtId="0" fontId="0" fillId="0" borderId="30" xfId="0" applyFont="1" applyFill="1" applyBorder="1" applyAlignment="1" applyProtection="1">
      <alignment horizontal="center"/>
      <protection/>
    </xf>
    <xf numFmtId="0" fontId="2" fillId="36" borderId="44" xfId="0" applyFont="1" applyFill="1" applyBorder="1" applyAlignment="1" applyProtection="1">
      <alignment horizontal="center"/>
      <protection/>
    </xf>
    <xf numFmtId="0" fontId="2" fillId="36" borderId="38" xfId="0" applyFont="1" applyFill="1" applyBorder="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0" fillId="36" borderId="38" xfId="0" applyFill="1" applyBorder="1" applyAlignment="1" applyProtection="1">
      <alignment/>
      <protection/>
    </xf>
    <xf numFmtId="0" fontId="0" fillId="36" borderId="0" xfId="0" applyFill="1" applyBorder="1" applyAlignment="1" applyProtection="1">
      <alignment/>
      <protection/>
    </xf>
    <xf numFmtId="0" fontId="0" fillId="40" borderId="22" xfId="0" applyFill="1" applyBorder="1" applyAlignment="1" applyProtection="1">
      <alignment/>
      <protection/>
    </xf>
    <xf numFmtId="0" fontId="0" fillId="40" borderId="21" xfId="0" applyFill="1" applyBorder="1" applyAlignment="1" applyProtection="1">
      <alignment/>
      <protection/>
    </xf>
    <xf numFmtId="0" fontId="17" fillId="40" borderId="21" xfId="0" applyFont="1" applyFill="1" applyBorder="1" applyAlignment="1" applyProtection="1">
      <alignment/>
      <protection/>
    </xf>
    <xf numFmtId="0" fontId="0" fillId="40" borderId="20" xfId="0" applyFill="1" applyBorder="1" applyAlignment="1" applyProtection="1">
      <alignment/>
      <protection/>
    </xf>
    <xf numFmtId="0" fontId="2" fillId="0" borderId="0" xfId="0" applyFont="1" applyFill="1" applyAlignment="1">
      <alignment horizontal="left"/>
    </xf>
    <xf numFmtId="0" fontId="0" fillId="0" borderId="0" xfId="0" applyAlignment="1">
      <alignment horizontal="centerContinuous" vertical="center"/>
    </xf>
    <xf numFmtId="0" fontId="2" fillId="36" borderId="45" xfId="0" applyFont="1" applyFill="1" applyBorder="1" applyAlignment="1">
      <alignment horizontal="right"/>
    </xf>
    <xf numFmtId="0" fontId="3" fillId="36" borderId="46" xfId="0" applyFont="1" applyFill="1" applyBorder="1" applyAlignment="1">
      <alignment/>
    </xf>
    <xf numFmtId="0" fontId="0" fillId="36" borderId="46" xfId="0" applyFont="1" applyFill="1" applyBorder="1" applyAlignment="1">
      <alignment vertical="top" wrapText="1"/>
    </xf>
    <xf numFmtId="4" fontId="2" fillId="36" borderId="46" xfId="0" applyNumberFormat="1" applyFont="1" applyFill="1" applyBorder="1" applyAlignment="1" applyProtection="1">
      <alignment horizontal="right" wrapText="1"/>
      <protection locked="0"/>
    </xf>
    <xf numFmtId="4" fontId="2" fillId="36" borderId="47" xfId="0" applyNumberFormat="1" applyFont="1" applyFill="1" applyBorder="1" applyAlignment="1" applyProtection="1">
      <alignment horizontal="right" wrapText="1"/>
      <protection locked="0"/>
    </xf>
    <xf numFmtId="0" fontId="0" fillId="41" borderId="30" xfId="0" applyFont="1" applyFill="1" applyBorder="1" applyAlignment="1">
      <alignment vertical="top" wrapText="1"/>
    </xf>
    <xf numFmtId="4" fontId="2" fillId="41" borderId="30" xfId="0" applyNumberFormat="1" applyFont="1" applyFill="1" applyBorder="1" applyAlignment="1" applyProtection="1">
      <alignment horizontal="right" wrapText="1"/>
      <protection locked="0"/>
    </xf>
    <xf numFmtId="0" fontId="0" fillId="0" borderId="30" xfId="0" applyFont="1" applyFill="1" applyBorder="1" applyAlignment="1">
      <alignment horizontal="right" vertical="top" wrapText="1"/>
    </xf>
    <xf numFmtId="0" fontId="0" fillId="0" borderId="30" xfId="0" applyFill="1" applyBorder="1" applyAlignment="1">
      <alignment horizontal="justify" vertical="top" wrapText="1"/>
    </xf>
    <xf numFmtId="0" fontId="73" fillId="0" borderId="30" xfId="0" applyFont="1" applyFill="1" applyBorder="1" applyAlignment="1">
      <alignment horizontal="justify" vertical="top" wrapText="1"/>
    </xf>
    <xf numFmtId="0" fontId="0" fillId="0" borderId="30" xfId="0" applyFont="1" applyFill="1" applyBorder="1" applyAlignment="1">
      <alignment horizontal="justify" vertical="top" wrapText="1"/>
    </xf>
    <xf numFmtId="0" fontId="0" fillId="41" borderId="30" xfId="0" applyFont="1" applyFill="1" applyBorder="1" applyAlignment="1">
      <alignment horizontal="center" vertical="top" wrapText="1"/>
    </xf>
    <xf numFmtId="0" fontId="0" fillId="0" borderId="30" xfId="0" applyBorder="1" applyAlignment="1">
      <alignment horizontal="justify" vertical="top" wrapText="1"/>
    </xf>
    <xf numFmtId="195" fontId="73" fillId="0" borderId="0" xfId="59" applyNumberFormat="1" applyFont="1" applyFill="1" applyBorder="1" applyAlignment="1">
      <alignment horizontal="center" vertical="center"/>
    </xf>
    <xf numFmtId="0" fontId="73" fillId="0" borderId="0" xfId="0" applyFont="1" applyFill="1" applyBorder="1" applyAlignment="1">
      <alignment horizontal="justify" vertical="top" wrapText="1"/>
    </xf>
    <xf numFmtId="0" fontId="8" fillId="0" borderId="14" xfId="0" applyFont="1" applyBorder="1" applyAlignment="1" applyProtection="1">
      <alignment horizontal="justify" vertical="top" wrapText="1"/>
      <protection/>
    </xf>
    <xf numFmtId="178" fontId="8" fillId="0" borderId="14" xfId="0" applyNumberFormat="1" applyFont="1" applyFill="1" applyBorder="1" applyAlignment="1">
      <alignment/>
    </xf>
    <xf numFmtId="0" fontId="0" fillId="0" borderId="0" xfId="0" applyFont="1" applyAlignment="1">
      <alignment horizontal="right"/>
    </xf>
    <xf numFmtId="0" fontId="2" fillId="40" borderId="13" xfId="0" applyFont="1" applyFill="1" applyBorder="1" applyAlignment="1">
      <alignment horizontal="center" vertical="center" wrapText="1"/>
    </xf>
    <xf numFmtId="0" fontId="2" fillId="40" borderId="32" xfId="0" applyFont="1" applyFill="1" applyBorder="1" applyAlignment="1">
      <alignment horizontal="center" vertical="center" wrapText="1"/>
    </xf>
    <xf numFmtId="0" fontId="2" fillId="40" borderId="14" xfId="0" applyFont="1" applyFill="1" applyBorder="1" applyAlignment="1">
      <alignment horizontal="center" vertical="center" wrapText="1"/>
    </xf>
    <xf numFmtId="4" fontId="2" fillId="40" borderId="14" xfId="0" applyNumberFormat="1" applyFont="1" applyFill="1" applyBorder="1" applyAlignment="1">
      <alignment horizontal="center" vertical="center" wrapText="1"/>
    </xf>
    <xf numFmtId="4" fontId="2" fillId="40" borderId="13" xfId="0" applyNumberFormat="1" applyFont="1" applyFill="1" applyBorder="1" applyAlignment="1">
      <alignment horizontal="center" vertical="center" wrapText="1"/>
    </xf>
    <xf numFmtId="0" fontId="2" fillId="41" borderId="30" xfId="0" applyFont="1" applyFill="1" applyBorder="1" applyAlignment="1">
      <alignment horizontal="right" vertical="top" wrapText="1"/>
    </xf>
    <xf numFmtId="0" fontId="2" fillId="41" borderId="30" xfId="0" applyFont="1" applyFill="1" applyBorder="1" applyAlignment="1">
      <alignment vertical="top" wrapText="1"/>
    </xf>
    <xf numFmtId="0" fontId="0" fillId="0" borderId="30" xfId="0" applyFill="1" applyBorder="1" applyAlignment="1">
      <alignment horizontal="center" vertical="top" wrapText="1"/>
    </xf>
    <xf numFmtId="196" fontId="0" fillId="0" borderId="30" xfId="0" applyNumberFormat="1" applyFill="1" applyBorder="1" applyAlignment="1">
      <alignment horizontal="right" vertical="top" wrapText="1"/>
    </xf>
    <xf numFmtId="197" fontId="0" fillId="0" borderId="30" xfId="0" applyNumberFormat="1" applyFont="1" applyFill="1" applyBorder="1" applyAlignment="1">
      <alignment horizontal="right" vertical="top" wrapText="1"/>
    </xf>
    <xf numFmtId="0" fontId="0" fillId="0" borderId="30" xfId="0" applyFont="1" applyFill="1" applyBorder="1" applyAlignment="1">
      <alignment horizontal="justify" vertical="top" wrapText="1"/>
    </xf>
    <xf numFmtId="0" fontId="0" fillId="0" borderId="30" xfId="0" applyBorder="1" applyAlignment="1">
      <alignment horizontal="center" vertical="top" wrapText="1"/>
    </xf>
    <xf numFmtId="196" fontId="0" fillId="0" borderId="30" xfId="0" applyNumberFormat="1" applyBorder="1" applyAlignment="1">
      <alignment horizontal="right" vertical="top" wrapText="1"/>
    </xf>
    <xf numFmtId="0" fontId="0" fillId="0" borderId="3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0" xfId="0" applyFont="1" applyBorder="1" applyAlignment="1">
      <alignment/>
    </xf>
    <xf numFmtId="0" fontId="2" fillId="0" borderId="30" xfId="0" applyFont="1" applyBorder="1" applyAlignment="1">
      <alignment horizontal="left"/>
    </xf>
    <xf numFmtId="197" fontId="0" fillId="0" borderId="30" xfId="0" applyNumberFormat="1" applyFill="1" applyBorder="1" applyAlignment="1">
      <alignment horizontal="right" vertical="top" wrapText="1"/>
    </xf>
    <xf numFmtId="197" fontId="0" fillId="0" borderId="30" xfId="0" applyNumberFormat="1" applyFont="1" applyFill="1" applyBorder="1" applyAlignment="1">
      <alignment horizontal="right" vertical="top" wrapText="1"/>
    </xf>
    <xf numFmtId="0" fontId="2" fillId="41" borderId="30" xfId="0" applyFont="1" applyFill="1" applyBorder="1" applyAlignment="1">
      <alignment horizontal="center" vertical="center" wrapText="1"/>
    </xf>
    <xf numFmtId="0" fontId="2" fillId="41" borderId="30" xfId="0" applyFont="1" applyFill="1" applyBorder="1" applyAlignment="1">
      <alignment horizontal="justify" vertical="center" wrapText="1"/>
    </xf>
    <xf numFmtId="0" fontId="0" fillId="0" borderId="30" xfId="0" applyFont="1" applyBorder="1" applyAlignment="1">
      <alignment horizontal="right"/>
    </xf>
    <xf numFmtId="0" fontId="0" fillId="0" borderId="30" xfId="0" applyFont="1" applyBorder="1" applyAlignment="1">
      <alignment horizontal="justify" vertical="top" wrapText="1"/>
    </xf>
    <xf numFmtId="0" fontId="0" fillId="0" borderId="30" xfId="0" applyFont="1" applyBorder="1" applyAlignment="1">
      <alignment horizontal="center" vertical="center" wrapText="1"/>
    </xf>
    <xf numFmtId="0" fontId="0" fillId="0" borderId="48" xfId="0" applyFont="1" applyBorder="1" applyAlignment="1">
      <alignment wrapText="1"/>
    </xf>
    <xf numFmtId="197" fontId="0" fillId="0" borderId="30" xfId="0" applyNumberFormat="1" applyFont="1" applyBorder="1" applyAlignment="1">
      <alignment horizontal="right" vertical="top" wrapText="1"/>
    </xf>
    <xf numFmtId="0" fontId="0" fillId="36" borderId="30" xfId="0" applyFont="1" applyFill="1" applyBorder="1" applyAlignment="1">
      <alignment horizontal="right" vertical="top" wrapText="1"/>
    </xf>
    <xf numFmtId="0" fontId="2" fillId="36" borderId="30" xfId="0" applyFont="1" applyFill="1" applyBorder="1" applyAlignment="1">
      <alignment vertical="top" wrapText="1"/>
    </xf>
    <xf numFmtId="0" fontId="0" fillId="36" borderId="30" xfId="0" applyFont="1" applyFill="1" applyBorder="1" applyAlignment="1">
      <alignment vertical="top" wrapText="1"/>
    </xf>
    <xf numFmtId="4" fontId="2" fillId="36" borderId="30" xfId="0" applyNumberFormat="1" applyFont="1" applyFill="1" applyBorder="1" applyAlignment="1" applyProtection="1">
      <alignment horizontal="right" wrapText="1"/>
      <protection locked="0"/>
    </xf>
    <xf numFmtId="0" fontId="2" fillId="0" borderId="13" xfId="0" applyFont="1" applyBorder="1" applyAlignment="1">
      <alignment horizontal="center"/>
    </xf>
    <xf numFmtId="0" fontId="2" fillId="0" borderId="14" xfId="0" applyFont="1" applyBorder="1" applyAlignment="1">
      <alignment horizontal="center"/>
    </xf>
    <xf numFmtId="0" fontId="0" fillId="0" borderId="15" xfId="0"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0" fillId="0" borderId="12" xfId="0" applyBorder="1" applyAlignment="1">
      <alignment horizontal="center"/>
    </xf>
    <xf numFmtId="0" fontId="2" fillId="0" borderId="12"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2" fillId="0" borderId="0" xfId="0" applyFont="1" applyBorder="1" applyAlignment="1">
      <alignment/>
    </xf>
    <xf numFmtId="0" fontId="2" fillId="33" borderId="21" xfId="0" applyFont="1" applyFill="1" applyBorder="1" applyAlignment="1">
      <alignment horizontal="center"/>
    </xf>
    <xf numFmtId="0" fontId="0" fillId="33" borderId="21" xfId="0" applyFill="1" applyBorder="1" applyAlignment="1">
      <alignment horizontal="center"/>
    </xf>
    <xf numFmtId="0" fontId="2" fillId="33" borderId="14" xfId="0" applyFont="1" applyFill="1" applyBorder="1" applyAlignment="1">
      <alignment horizontal="center"/>
    </xf>
    <xf numFmtId="0" fontId="0" fillId="33" borderId="14" xfId="0" applyFill="1" applyBorder="1" applyAlignment="1">
      <alignment horizontal="center"/>
    </xf>
    <xf numFmtId="0" fontId="0" fillId="0" borderId="14" xfId="0" applyBorder="1" applyAlignment="1">
      <alignment/>
    </xf>
    <xf numFmtId="0" fontId="7" fillId="0" borderId="0" xfId="0" applyFont="1" applyBorder="1" applyAlignment="1">
      <alignment horizontal="center"/>
    </xf>
    <xf numFmtId="0" fontId="2" fillId="0" borderId="15" xfId="0" applyFont="1" applyBorder="1" applyAlignment="1">
      <alignment horizontal="center"/>
    </xf>
    <xf numFmtId="0" fontId="8" fillId="0" borderId="13" xfId="0" applyFont="1" applyFill="1" applyBorder="1" applyAlignment="1">
      <alignment horizontal="center"/>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0" xfId="0" applyFont="1" applyFill="1" applyBorder="1" applyAlignment="1">
      <alignment horizontal="center"/>
    </xf>
    <xf numFmtId="0" fontId="8" fillId="0" borderId="0" xfId="0" applyFont="1" applyFill="1" applyBorder="1" applyAlignment="1">
      <alignment horizontal="center"/>
    </xf>
    <xf numFmtId="0" fontId="8" fillId="0" borderId="12" xfId="0" applyFont="1" applyFill="1" applyBorder="1" applyAlignment="1">
      <alignment horizontal="center"/>
    </xf>
    <xf numFmtId="0" fontId="8" fillId="0" borderId="49" xfId="0" applyFont="1" applyFill="1" applyBorder="1" applyAlignment="1">
      <alignment horizontal="center"/>
    </xf>
    <xf numFmtId="0" fontId="8" fillId="0" borderId="50" xfId="0" applyFont="1" applyFill="1" applyBorder="1" applyAlignment="1">
      <alignment horizontal="center"/>
    </xf>
    <xf numFmtId="0" fontId="8" fillId="0" borderId="11" xfId="0" applyFont="1" applyFill="1" applyBorder="1" applyAlignment="1">
      <alignment horizontal="center"/>
    </xf>
    <xf numFmtId="0" fontId="8" fillId="0" borderId="51" xfId="0" applyFont="1" applyFill="1" applyBorder="1" applyAlignment="1">
      <alignment horizontal="center"/>
    </xf>
    <xf numFmtId="0" fontId="8" fillId="0" borderId="24" xfId="0" applyFont="1" applyFill="1" applyBorder="1" applyAlignment="1">
      <alignment horizontal="center"/>
    </xf>
    <xf numFmtId="0" fontId="8" fillId="0" borderId="5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xf>
    <xf numFmtId="0" fontId="2" fillId="0" borderId="10" xfId="0" applyFont="1" applyFill="1" applyBorder="1" applyAlignment="1">
      <alignment horizontal="left" wrapText="1"/>
    </xf>
    <xf numFmtId="0" fontId="2" fillId="0" borderId="0" xfId="0" applyFont="1" applyFill="1" applyBorder="1" applyAlignment="1">
      <alignment horizontal="left" wrapText="1"/>
    </xf>
    <xf numFmtId="0" fontId="2" fillId="0" borderId="12" xfId="0" applyFont="1" applyFill="1" applyBorder="1" applyAlignment="1">
      <alignment horizontal="left" wrapText="1"/>
    </xf>
    <xf numFmtId="0" fontId="16" fillId="0" borderId="0" xfId="0" applyFont="1" applyAlignment="1">
      <alignment horizontal="center" vertical="center"/>
    </xf>
    <xf numFmtId="0" fontId="17" fillId="0" borderId="0" xfId="0" applyFont="1" applyAlignment="1" applyProtection="1">
      <alignment horizontal="center"/>
      <protection/>
    </xf>
    <xf numFmtId="0" fontId="2" fillId="34" borderId="53" xfId="0" applyFont="1" applyFill="1" applyBorder="1" applyAlignment="1" applyProtection="1">
      <alignment horizontal="center"/>
      <protection/>
    </xf>
    <xf numFmtId="0" fontId="2" fillId="34" borderId="54" xfId="0" applyFont="1" applyFill="1" applyBorder="1" applyAlignment="1" applyProtection="1">
      <alignment horizontal="center"/>
      <protection/>
    </xf>
    <xf numFmtId="0" fontId="2" fillId="34" borderId="55" xfId="0" applyFont="1" applyFill="1" applyBorder="1" applyAlignment="1" applyProtection="1">
      <alignment horizontal="center"/>
      <protection/>
    </xf>
    <xf numFmtId="0" fontId="2" fillId="36" borderId="20" xfId="0" applyFont="1" applyFill="1" applyBorder="1" applyAlignment="1" applyProtection="1">
      <alignment horizontal="center" vertical="justify"/>
      <protection/>
    </xf>
    <xf numFmtId="0" fontId="2" fillId="36" borderId="22" xfId="0" applyFont="1" applyFill="1" applyBorder="1" applyAlignment="1" applyProtection="1">
      <alignment horizontal="center" vertical="justify"/>
      <protection/>
    </xf>
    <xf numFmtId="0" fontId="29" fillId="34" borderId="32" xfId="0" applyFont="1" applyFill="1" applyBorder="1" applyAlignment="1" applyProtection="1">
      <alignment horizontal="center" vertical="justify"/>
      <protection/>
    </xf>
    <xf numFmtId="0" fontId="29" fillId="34" borderId="56" xfId="0" applyFont="1" applyFill="1" applyBorder="1" applyAlignment="1" applyProtection="1">
      <alignment horizontal="center" vertical="justify"/>
      <protection/>
    </xf>
    <xf numFmtId="0" fontId="2" fillId="36" borderId="32" xfId="0" applyFont="1" applyFill="1" applyBorder="1" applyAlignment="1" applyProtection="1">
      <alignment horizontal="center" vertical="justify"/>
      <protection/>
    </xf>
    <xf numFmtId="0" fontId="2" fillId="36" borderId="56" xfId="0" applyFont="1" applyFill="1" applyBorder="1" applyAlignment="1" applyProtection="1">
      <alignment horizontal="center" vertical="justify"/>
      <protection/>
    </xf>
    <xf numFmtId="0" fontId="2" fillId="36" borderId="32" xfId="0" applyFont="1" applyFill="1" applyBorder="1" applyAlignment="1" applyProtection="1">
      <alignment horizontal="center" vertical="center"/>
      <protection/>
    </xf>
    <xf numFmtId="0" fontId="2" fillId="36" borderId="56" xfId="0" applyFont="1" applyFill="1" applyBorder="1" applyAlignment="1" applyProtection="1">
      <alignment horizontal="center" vertical="center"/>
      <protection/>
    </xf>
    <xf numFmtId="0" fontId="2" fillId="36" borderId="32" xfId="0" applyFont="1" applyFill="1" applyBorder="1" applyAlignment="1" applyProtection="1">
      <alignment horizontal="justify" vertical="center"/>
      <protection/>
    </xf>
    <xf numFmtId="0" fontId="2" fillId="36" borderId="56" xfId="0" applyFont="1" applyFill="1" applyBorder="1" applyAlignment="1" applyProtection="1">
      <alignment horizontal="justify" vertical="center"/>
      <protection/>
    </xf>
    <xf numFmtId="14" fontId="0" fillId="0" borderId="20" xfId="0" applyNumberFormat="1" applyBorder="1" applyAlignment="1" applyProtection="1">
      <alignment horizontal="center"/>
      <protection locked="0"/>
    </xf>
    <xf numFmtId="0" fontId="0" fillId="0" borderId="22" xfId="0" applyBorder="1" applyAlignment="1" applyProtection="1">
      <alignment horizontal="center"/>
      <protection locked="0"/>
    </xf>
    <xf numFmtId="0" fontId="13" fillId="0" borderId="0" xfId="0" applyFont="1" applyAlignment="1" applyProtection="1">
      <alignment horizontal="left"/>
      <protection/>
    </xf>
    <xf numFmtId="0" fontId="0" fillId="0" borderId="20" xfId="0" applyFont="1" applyFill="1" applyBorder="1" applyAlignment="1" applyProtection="1">
      <alignment horizontal="left" vertical="justify"/>
      <protection locked="0"/>
    </xf>
    <xf numFmtId="0" fontId="0" fillId="0" borderId="21" xfId="0" applyFont="1" applyFill="1" applyBorder="1" applyAlignment="1" applyProtection="1">
      <alignment horizontal="left" vertical="justify"/>
      <protection locked="0"/>
    </xf>
    <xf numFmtId="0" fontId="0" fillId="0" borderId="22" xfId="0" applyFont="1" applyFill="1" applyBorder="1" applyAlignment="1" applyProtection="1">
      <alignment horizontal="left" vertical="justify"/>
      <protection locked="0"/>
    </xf>
    <xf numFmtId="0" fontId="0" fillId="0" borderId="20" xfId="0" applyFont="1" applyBorder="1" applyAlignment="1" applyProtection="1">
      <alignment horizontal="center"/>
      <protection locked="0"/>
    </xf>
    <xf numFmtId="0" fontId="0" fillId="0" borderId="21" xfId="0" applyBorder="1" applyAlignment="1" applyProtection="1">
      <alignment horizontal="center"/>
      <protection locked="0"/>
    </xf>
    <xf numFmtId="0" fontId="23" fillId="0" borderId="14" xfId="0" applyFont="1" applyBorder="1" applyAlignment="1">
      <alignment horizontal="center" vertical="justify" wrapText="1"/>
    </xf>
    <xf numFmtId="0" fontId="23" fillId="0" borderId="15" xfId="0" applyFont="1" applyBorder="1" applyAlignment="1">
      <alignment horizontal="center" vertical="justify" wrapText="1"/>
    </xf>
    <xf numFmtId="0" fontId="2" fillId="0" borderId="0" xfId="0" applyFont="1" applyAlignment="1">
      <alignment horizontal="center"/>
    </xf>
    <xf numFmtId="0" fontId="2" fillId="0" borderId="0" xfId="0" applyFont="1" applyAlignment="1">
      <alignment horizontal="center" vertical="center"/>
    </xf>
    <xf numFmtId="0" fontId="0" fillId="0" borderId="57" xfId="0" applyFont="1" applyBorder="1" applyAlignment="1">
      <alignment horizontal="justify" vertical="top" wrapText="1"/>
    </xf>
    <xf numFmtId="0" fontId="0" fillId="0" borderId="48" xfId="0" applyBorder="1" applyAlignment="1">
      <alignment horizontal="justify" vertical="top" wrapText="1"/>
    </xf>
    <xf numFmtId="0" fontId="0" fillId="0" borderId="57" xfId="0" applyFont="1" applyBorder="1" applyAlignment="1">
      <alignment horizontal="center" vertical="center" wrapText="1"/>
    </xf>
    <xf numFmtId="0" fontId="0" fillId="0" borderId="48" xfId="0" applyBorder="1" applyAlignment="1">
      <alignment horizontal="center" wrapText="1"/>
    </xf>
    <xf numFmtId="0" fontId="73" fillId="0" borderId="57" xfId="0" applyFont="1" applyFill="1" applyBorder="1" applyAlignment="1">
      <alignment horizontal="justify" vertical="top" wrapText="1"/>
    </xf>
    <xf numFmtId="0" fontId="0" fillId="0" borderId="57" xfId="0" applyFill="1" applyBorder="1" applyAlignment="1">
      <alignment horizontal="justify" vertical="top" wrapText="1"/>
    </xf>
    <xf numFmtId="0" fontId="0" fillId="0" borderId="57" xfId="0" applyFill="1" applyBorder="1" applyAlignment="1">
      <alignment horizontal="center" vertical="top" wrapText="1"/>
    </xf>
    <xf numFmtId="0" fontId="0" fillId="0" borderId="57" xfId="0" applyBorder="1" applyAlignment="1">
      <alignment horizontal="justify" vertical="top" wrapText="1"/>
    </xf>
    <xf numFmtId="0" fontId="0" fillId="0" borderId="38" xfId="0" applyBorder="1" applyAlignment="1">
      <alignment horizontal="justify" vertical="top" wrapText="1"/>
    </xf>
    <xf numFmtId="0" fontId="0" fillId="0" borderId="57" xfId="0" applyBorder="1" applyAlignment="1">
      <alignment horizontal="center" vertical="top" wrapText="1"/>
    </xf>
    <xf numFmtId="0" fontId="0" fillId="0" borderId="38" xfId="0" applyBorder="1" applyAlignment="1">
      <alignment horizontal="center" wrapText="1"/>
    </xf>
    <xf numFmtId="0" fontId="0" fillId="0" borderId="57" xfId="0" applyFont="1" applyFill="1" applyBorder="1" applyAlignment="1">
      <alignment horizontal="justify" vertical="top" wrapText="1"/>
    </xf>
    <xf numFmtId="0" fontId="0" fillId="0" borderId="57"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57" xfId="0" applyBorder="1" applyAlignment="1">
      <alignment horizontal="justify" vertical="center" wrapText="1"/>
    </xf>
    <xf numFmtId="0" fontId="0" fillId="0" borderId="38" xfId="0" applyBorder="1" applyAlignment="1">
      <alignment horizontal="justify" vertical="center" wrapText="1"/>
    </xf>
    <xf numFmtId="0" fontId="0" fillId="0" borderId="48" xfId="0" applyBorder="1" applyAlignment="1">
      <alignment horizontal="justify" vertical="center" wrapText="1"/>
    </xf>
    <xf numFmtId="0" fontId="0" fillId="0" borderId="48" xfId="0" applyBorder="1" applyAlignment="1">
      <alignment horizontal="center" vertical="top" wrapText="1"/>
    </xf>
    <xf numFmtId="0" fontId="0" fillId="0" borderId="38" xfId="0" applyBorder="1" applyAlignment="1">
      <alignment horizontal="center" vertical="top"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Millares 7" xfId="56"/>
    <cellStyle name="Currency" xfId="57"/>
    <cellStyle name="Currency [0]" xfId="58"/>
    <cellStyle name="Moneda 2" xfId="59"/>
    <cellStyle name="Neutral" xfId="60"/>
    <cellStyle name="Normal 16" xfId="61"/>
    <cellStyle name="Normal 2" xfId="62"/>
    <cellStyle name="Normal 8" xfId="63"/>
    <cellStyle name="Notas" xfId="64"/>
    <cellStyle name="Percent" xfId="65"/>
    <cellStyle name="Porcentual 2"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Plazas fijas y especiales</a:t>
            </a:r>
          </a:p>
        </c:rich>
      </c:tx>
      <c:layout>
        <c:manualLayout>
          <c:xMode val="factor"/>
          <c:yMode val="factor"/>
          <c:x val="0.003"/>
          <c:y val="0"/>
        </c:manualLayout>
      </c:layout>
      <c:spPr>
        <a:noFill/>
        <a:ln w="3175">
          <a:noFill/>
        </a:ln>
      </c:spPr>
    </c:title>
    <c:plotArea>
      <c:layout>
        <c:manualLayout>
          <c:xMode val="edge"/>
          <c:yMode val="edge"/>
          <c:x val="0.02975"/>
          <c:y val="0.201"/>
          <c:w val="0.9405"/>
          <c:h val="0.593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(#REF!,#REF!)</c:f>
              <c:numCache>
                <c:ptCount val="1"/>
                <c:pt idx="0">
                  <c:v>1</c:v>
                </c:pt>
              </c:numCache>
            </c:numRef>
          </c:cat>
          <c:val>
            <c:numRef>
              <c:f>(#REF!,#REF!)</c:f>
              <c:numCache>
                <c:ptCount val="1"/>
                <c:pt idx="0">
                  <c:v>1</c:v>
                </c:pt>
              </c:numCache>
            </c:numRef>
          </c:val>
        </c:ser>
        <c:axId val="22066986"/>
        <c:axId val="64385147"/>
      </c:barChart>
      <c:catAx>
        <c:axId val="22066986"/>
        <c:scaling>
          <c:orientation val="minMax"/>
        </c:scaling>
        <c:axPos val="b"/>
        <c:delete val="0"/>
        <c:numFmt formatCode="General" sourceLinked="1"/>
        <c:majorTickMark val="out"/>
        <c:minorTickMark val="none"/>
        <c:tickLblPos val="nextTo"/>
        <c:spPr>
          <a:ln w="3175">
            <a:solidFill>
              <a:srgbClr val="000000"/>
            </a:solidFill>
          </a:ln>
        </c:spPr>
        <c:crossAx val="64385147"/>
        <c:crosses val="autoZero"/>
        <c:auto val="1"/>
        <c:lblOffset val="100"/>
        <c:tickLblSkip val="1"/>
        <c:noMultiLvlLbl val="0"/>
      </c:catAx>
      <c:valAx>
        <c:axId val="643851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0669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Plazas en procesos sustantivos y de apoyo</a:t>
            </a:r>
          </a:p>
        </c:rich>
      </c:tx>
      <c:layout>
        <c:manualLayout>
          <c:xMode val="factor"/>
          <c:yMode val="factor"/>
          <c:x val="0.0025"/>
          <c:y val="-0.04675"/>
        </c:manualLayout>
      </c:layout>
      <c:spPr>
        <a:noFill/>
        <a:ln w="3175">
          <a:noFill/>
        </a:ln>
      </c:spPr>
    </c:title>
    <c:plotArea>
      <c:layout>
        <c:manualLayout>
          <c:xMode val="edge"/>
          <c:yMode val="edge"/>
          <c:x val="0.0245"/>
          <c:y val="0.2115"/>
          <c:w val="0.951"/>
          <c:h val="0.66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2595412"/>
        <c:axId val="47814389"/>
      </c:barChart>
      <c:catAx>
        <c:axId val="425954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814389"/>
        <c:crosses val="autoZero"/>
        <c:auto val="1"/>
        <c:lblOffset val="100"/>
        <c:tickLblSkip val="1"/>
        <c:noMultiLvlLbl val="0"/>
      </c:catAx>
      <c:valAx>
        <c:axId val="478143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5954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Plazas según estructura programática</a:t>
            </a:r>
          </a:p>
        </c:rich>
      </c:tx>
      <c:layout>
        <c:manualLayout>
          <c:xMode val="factor"/>
          <c:yMode val="factor"/>
          <c:x val="-0.0045"/>
          <c:y val="0"/>
        </c:manualLayout>
      </c:layout>
      <c:spPr>
        <a:noFill/>
        <a:ln w="3175">
          <a:noFill/>
        </a:ln>
      </c:spPr>
    </c:title>
    <c:plotArea>
      <c:layout>
        <c:manualLayout>
          <c:xMode val="edge"/>
          <c:yMode val="edge"/>
          <c:x val="0.0225"/>
          <c:y val="0.20325"/>
          <c:w val="0.955"/>
          <c:h val="0.53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7676318"/>
        <c:axId val="47760271"/>
      </c:barChart>
      <c:catAx>
        <c:axId val="276763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760271"/>
        <c:crosses val="autoZero"/>
        <c:auto val="1"/>
        <c:lblOffset val="100"/>
        <c:tickLblSkip val="1"/>
        <c:noMultiLvlLbl val="0"/>
      </c:catAx>
      <c:valAx>
        <c:axId val="477602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6763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38100</xdr:rowOff>
    </xdr:from>
    <xdr:to>
      <xdr:col>3</xdr:col>
      <xdr:colOff>171450</xdr:colOff>
      <xdr:row>42</xdr:row>
      <xdr:rowOff>19050</xdr:rowOff>
    </xdr:to>
    <xdr:graphicFrame>
      <xdr:nvGraphicFramePr>
        <xdr:cNvPr id="1" name="Gráfico 17"/>
        <xdr:cNvGraphicFramePr/>
      </xdr:nvGraphicFramePr>
      <xdr:xfrm>
        <a:off x="28575" y="5676900"/>
        <a:ext cx="3286125" cy="1924050"/>
      </xdr:xfrm>
      <a:graphic>
        <a:graphicData uri="http://schemas.openxmlformats.org/drawingml/2006/chart">
          <c:chart xmlns:c="http://schemas.openxmlformats.org/drawingml/2006/chart" r:id="rId1"/>
        </a:graphicData>
      </a:graphic>
    </xdr:graphicFrame>
    <xdr:clientData/>
  </xdr:twoCellAnchor>
  <xdr:twoCellAnchor>
    <xdr:from>
      <xdr:col>4</xdr:col>
      <xdr:colOff>152400</xdr:colOff>
      <xdr:row>30</xdr:row>
      <xdr:rowOff>47625</xdr:rowOff>
    </xdr:from>
    <xdr:to>
      <xdr:col>13</xdr:col>
      <xdr:colOff>247650</xdr:colOff>
      <xdr:row>42</xdr:row>
      <xdr:rowOff>28575</xdr:rowOff>
    </xdr:to>
    <xdr:graphicFrame>
      <xdr:nvGraphicFramePr>
        <xdr:cNvPr id="2" name="Gráfico 18"/>
        <xdr:cNvGraphicFramePr/>
      </xdr:nvGraphicFramePr>
      <xdr:xfrm>
        <a:off x="3619500" y="5686425"/>
        <a:ext cx="3971925" cy="1924050"/>
      </xdr:xfrm>
      <a:graphic>
        <a:graphicData uri="http://schemas.openxmlformats.org/drawingml/2006/chart">
          <c:chart xmlns:c="http://schemas.openxmlformats.org/drawingml/2006/chart" r:id="rId2"/>
        </a:graphicData>
      </a:graphic>
    </xdr:graphicFrame>
    <xdr:clientData/>
  </xdr:twoCellAnchor>
  <xdr:twoCellAnchor>
    <xdr:from>
      <xdr:col>1</xdr:col>
      <xdr:colOff>419100</xdr:colOff>
      <xdr:row>43</xdr:row>
      <xdr:rowOff>9525</xdr:rowOff>
    </xdr:from>
    <xdr:to>
      <xdr:col>10</xdr:col>
      <xdr:colOff>200025</xdr:colOff>
      <xdr:row>55</xdr:row>
      <xdr:rowOff>114300</xdr:rowOff>
    </xdr:to>
    <xdr:graphicFrame>
      <xdr:nvGraphicFramePr>
        <xdr:cNvPr id="3" name="Gráfico 19"/>
        <xdr:cNvGraphicFramePr/>
      </xdr:nvGraphicFramePr>
      <xdr:xfrm>
        <a:off x="1800225" y="7753350"/>
        <a:ext cx="4314825" cy="20478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paldo%20Ana%20Maria\PRESUPUESTO%202017\ordinario\ESTIMACION%20REGRESION%20LINEAL%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20Ana%20Maria\PRESUPUESTO%202017\ordinario\EXPRESION%20FINANCIERA%20PRESUP%2020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paldo%20Ana%20Maria\PRESUPUESTO%202016\original\modelo_calculo_recursos_especific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paldo%20Ana%20Maria\PRESUPUESTO%202016\original\EXPRESION%20FINANCIERA%20PRESUP%20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a.alvarado\Documents\GASTOS%20FIJOS\2016\gastos2016.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paldo%20Ana%20Maria\PRESUPUESTO%202018\ordinario\HACIENDA%20DEF\PROGRAMA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spaldo%20Ana%20Maria\PRESUPUESTO%202018\ordinario\HACIENDA%20DEF\EXPRESION%20FINANCIERA%20PRESUP%20201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spaldo%20Ana%20Maria\PRESUPUESTO%202018\ordinario\HACIENDA%20DEF\ESTIMACION%20REGRESION%20LINEAL%20201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spaldo%20Ana%20Maria\PRESUPUESTO%202018\ordinario\HACIENDA%20DEF\RESUM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IMACION"/>
      <sheetName val="JUSTIFICACION"/>
    </sheetNames>
    <sheetDataSet>
      <sheetData sheetId="0">
        <row r="114">
          <cell r="G114">
            <v>188354040</v>
          </cell>
        </row>
        <row r="120">
          <cell r="G120">
            <v>276750000</v>
          </cell>
        </row>
      </sheetData>
      <sheetData sheetId="1">
        <row r="24">
          <cell r="H24">
            <v>4450000000</v>
          </cell>
        </row>
        <row r="32">
          <cell r="H32">
            <v>0</v>
          </cell>
        </row>
        <row r="42">
          <cell r="H42">
            <v>115000000</v>
          </cell>
        </row>
        <row r="53">
          <cell r="H53">
            <v>1200000</v>
          </cell>
        </row>
        <row r="62">
          <cell r="H62">
            <v>800000000</v>
          </cell>
        </row>
        <row r="73">
          <cell r="H73">
            <v>20000000</v>
          </cell>
        </row>
        <row r="83">
          <cell r="H83">
            <v>1500000</v>
          </cell>
        </row>
        <row r="94">
          <cell r="H94">
            <v>3500000000</v>
          </cell>
        </row>
        <row r="106">
          <cell r="H106">
            <v>325000000</v>
          </cell>
        </row>
        <row r="115">
          <cell r="H115">
            <v>70000000</v>
          </cell>
        </row>
        <row r="126">
          <cell r="H126">
            <v>2250000000</v>
          </cell>
        </row>
        <row r="136">
          <cell r="H136">
            <v>176000000</v>
          </cell>
        </row>
        <row r="146">
          <cell r="H146">
            <v>0</v>
          </cell>
        </row>
        <row r="155">
          <cell r="H155">
            <v>1700000</v>
          </cell>
        </row>
        <row r="165">
          <cell r="H165">
            <v>250000000</v>
          </cell>
        </row>
        <row r="168">
          <cell r="G168">
            <v>450000000</v>
          </cell>
        </row>
        <row r="185">
          <cell r="H185">
            <v>36500000</v>
          </cell>
        </row>
        <row r="196">
          <cell r="H196">
            <v>0</v>
          </cell>
        </row>
        <row r="207">
          <cell r="H207">
            <v>2565000000</v>
          </cell>
        </row>
        <row r="216">
          <cell r="H216">
            <v>336000000</v>
          </cell>
        </row>
        <row r="226">
          <cell r="H226">
            <v>148000000</v>
          </cell>
        </row>
        <row r="237">
          <cell r="H237">
            <v>25000000</v>
          </cell>
        </row>
        <row r="246">
          <cell r="H246">
            <v>12000000</v>
          </cell>
        </row>
        <row r="257">
          <cell r="H257">
            <v>96000000</v>
          </cell>
        </row>
        <row r="267">
          <cell r="H267">
            <v>20000000</v>
          </cell>
        </row>
        <row r="278">
          <cell r="H278">
            <v>425000000</v>
          </cell>
        </row>
        <row r="289">
          <cell r="H289">
            <v>145000000</v>
          </cell>
        </row>
        <row r="292">
          <cell r="G292">
            <v>100000000</v>
          </cell>
        </row>
        <row r="312">
          <cell r="H312">
            <v>85000000</v>
          </cell>
        </row>
        <row r="335">
          <cell r="H335">
            <v>400000000</v>
          </cell>
        </row>
        <row r="344">
          <cell r="H344">
            <v>20000000</v>
          </cell>
        </row>
        <row r="354">
          <cell r="H354">
            <v>38205593</v>
          </cell>
        </row>
        <row r="364">
          <cell r="H364">
            <v>500000000</v>
          </cell>
        </row>
        <row r="375">
          <cell r="H375">
            <v>2100000</v>
          </cell>
        </row>
        <row r="386">
          <cell r="H386">
            <v>315000000</v>
          </cell>
        </row>
        <row r="397">
          <cell r="H397">
            <v>3000000</v>
          </cell>
        </row>
        <row r="410">
          <cell r="H410">
            <v>520000000</v>
          </cell>
        </row>
        <row r="420">
          <cell r="H420">
            <v>14634295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lasific. Económica de Ingresos"/>
      <sheetName val="Detalle General de Egresos"/>
      <sheetName val="ProgramaI"/>
      <sheetName val="Programa II"/>
      <sheetName val="Programa III"/>
      <sheetName val="Egresos Programa I General"/>
      <sheetName val="Egresos Programa II General"/>
      <sheetName val="Egresos Programa III General"/>
      <sheetName val="INGRESOS LIBRES DETALLE Nº17"/>
      <sheetName val="RELACION INGRESO GASTO DET.15"/>
      <sheetName val="Origen y Aplicación"/>
      <sheetName val="INGRESOS FIN ESPECIFICO DET.13"/>
      <sheetName val="RELACION ING-GASTO SERV"/>
      <sheetName val="DEUDA INTERNA"/>
      <sheetName val="JUSTIFICACION"/>
    </sheetNames>
    <sheetDataSet>
      <sheetData sheetId="3">
        <row r="33">
          <cell r="E33">
            <v>0</v>
          </cell>
        </row>
      </sheetData>
      <sheetData sheetId="4">
        <row r="14">
          <cell r="E1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PECIF."/>
      <sheetName val="OTROS CALC."/>
    </sheetNames>
    <sheetDataSet>
      <sheetData sheetId="1">
        <row r="10">
          <cell r="B10">
            <v>6422103003.360001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lasific. Económica de Ingresos"/>
      <sheetName val="Detalle General de Egresos"/>
      <sheetName val="ProgramaI"/>
      <sheetName val="Programa II"/>
      <sheetName val="Programa III"/>
      <sheetName val="Egresos Programa I General"/>
      <sheetName val="Egresos Programa II General"/>
      <sheetName val="Egresos Programa III General"/>
      <sheetName val="INGRESOS LIBRES DETALLE Nº17"/>
      <sheetName val="RELACION INGRESO GASTO DET.15"/>
      <sheetName val="Origen y Aplicación"/>
      <sheetName val="INGRESOS FIN ESPECIFICO DET.13"/>
      <sheetName val="RELACION ING-GASTO SERV"/>
      <sheetName val="DEUDA INTERNA"/>
    </sheetNames>
    <sheetDataSet>
      <sheetData sheetId="1">
        <row r="7">
          <cell r="E7">
            <v>23085833126.000755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STOS FIJOS"/>
      <sheetName val="deuda"/>
      <sheetName val="Hoja4"/>
      <sheetName val="Hoja5"/>
    </sheetNames>
    <sheetDataSet>
      <sheetData sheetId="1">
        <row r="11">
          <cell r="B11">
            <v>30658712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sheetName val="PRG1"/>
      <sheetName val="Auditoría"/>
      <sheetName val="PRG2"/>
      <sheetName val="PROG3"/>
      <sheetName val="PRG2-1"/>
      <sheetName val="PRG2-2"/>
      <sheetName val="PRG2-5"/>
      <sheetName val="PRG2-6"/>
      <sheetName val="PRG2-7"/>
      <sheetName val="PRG2-9"/>
      <sheetName val="PRG2-10"/>
      <sheetName val="PRG2-11"/>
      <sheetName val="PRG2-13"/>
      <sheetName val="PRG2-18"/>
      <sheetName val="PRG2-23"/>
      <sheetName val="PRG2-25"/>
      <sheetName val="PRG2-27"/>
      <sheetName val="PRG2-28"/>
      <sheetName val="PRG2-29"/>
      <sheetName val="PRG2-30"/>
      <sheetName val="PRG2-31"/>
      <sheetName val="PRG3-"/>
      <sheetName val="Hoja1"/>
      <sheetName val="III-02-01"/>
      <sheetName val="III-06-01"/>
      <sheetName val="III-06-02"/>
    </sheetNames>
    <sheetDataSet>
      <sheetData sheetId="1">
        <row r="16">
          <cell r="F16">
            <v>1431696604.8</v>
          </cell>
        </row>
        <row r="17">
          <cell r="F17">
            <v>0</v>
          </cell>
        </row>
        <row r="18">
          <cell r="F18">
            <v>203048904</v>
          </cell>
        </row>
        <row r="19">
          <cell r="F19">
            <v>65000000</v>
          </cell>
        </row>
        <row r="21">
          <cell r="F21">
            <v>60000000</v>
          </cell>
        </row>
        <row r="22">
          <cell r="F22">
            <v>12000000</v>
          </cell>
        </row>
        <row r="23">
          <cell r="F23">
            <v>21895650</v>
          </cell>
        </row>
        <row r="24">
          <cell r="F24">
            <v>534470050.11</v>
          </cell>
        </row>
        <row r="26">
          <cell r="F26">
            <v>715224168.25</v>
          </cell>
        </row>
        <row r="27">
          <cell r="F27">
            <v>353149565.12</v>
          </cell>
        </row>
        <row r="28">
          <cell r="F28">
            <v>265429443.06881416</v>
          </cell>
        </row>
        <row r="29">
          <cell r="F29">
            <v>217461837.32000002</v>
          </cell>
        </row>
        <row r="30">
          <cell r="F30">
            <v>105689328</v>
          </cell>
        </row>
        <row r="32">
          <cell r="F32">
            <v>294627860.31782496</v>
          </cell>
        </row>
        <row r="33">
          <cell r="F33">
            <v>15925830.287449999</v>
          </cell>
        </row>
        <row r="35">
          <cell r="F35">
            <v>162124952.326241</v>
          </cell>
        </row>
        <row r="36">
          <cell r="F36">
            <v>47777490.862349994</v>
          </cell>
        </row>
        <row r="37">
          <cell r="F37">
            <v>95554981.72469999</v>
          </cell>
        </row>
        <row r="38">
          <cell r="F38">
            <v>0</v>
          </cell>
        </row>
        <row r="39">
          <cell r="F39">
            <v>142077115.94950002</v>
          </cell>
        </row>
        <row r="42">
          <cell r="F42">
            <v>0</v>
          </cell>
        </row>
        <row r="43">
          <cell r="F43">
            <v>0</v>
          </cell>
        </row>
        <row r="47">
          <cell r="F47">
            <v>414216000</v>
          </cell>
        </row>
        <row r="48">
          <cell r="F48">
            <v>0</v>
          </cell>
        </row>
        <row r="49">
          <cell r="F49">
            <v>1100000</v>
          </cell>
        </row>
        <row r="50">
          <cell r="F50">
            <v>0</v>
          </cell>
        </row>
        <row r="51">
          <cell r="F51">
            <v>32000000</v>
          </cell>
        </row>
        <row r="53">
          <cell r="F53">
            <v>0</v>
          </cell>
        </row>
        <row r="54">
          <cell r="F54">
            <v>108900000</v>
          </cell>
        </row>
        <row r="55">
          <cell r="F55">
            <v>21175</v>
          </cell>
        </row>
        <row r="56">
          <cell r="F56">
            <v>53400000</v>
          </cell>
        </row>
        <row r="57">
          <cell r="F57">
            <v>0</v>
          </cell>
        </row>
        <row r="59">
          <cell r="F59">
            <v>29850000</v>
          </cell>
        </row>
        <row r="60">
          <cell r="F60">
            <v>25550000</v>
          </cell>
        </row>
        <row r="61">
          <cell r="F61">
            <v>25438211.830000002</v>
          </cell>
        </row>
        <row r="62">
          <cell r="F62">
            <v>330000</v>
          </cell>
        </row>
        <row r="63">
          <cell r="F63">
            <v>0</v>
          </cell>
        </row>
        <row r="64">
          <cell r="F64">
            <v>302400384</v>
          </cell>
        </row>
        <row r="65">
          <cell r="F65">
            <v>10413000</v>
          </cell>
        </row>
        <row r="67">
          <cell r="F67">
            <v>0</v>
          </cell>
        </row>
        <row r="68">
          <cell r="F68">
            <v>45550000</v>
          </cell>
        </row>
        <row r="69">
          <cell r="F69">
            <v>0</v>
          </cell>
        </row>
        <row r="70">
          <cell r="F70">
            <v>44000000</v>
          </cell>
        </row>
        <row r="71">
          <cell r="F71">
            <v>0</v>
          </cell>
        </row>
        <row r="72">
          <cell r="F72">
            <v>184295000</v>
          </cell>
        </row>
        <row r="73">
          <cell r="F73">
            <v>14615000</v>
          </cell>
        </row>
        <row r="75">
          <cell r="F75">
            <v>0</v>
          </cell>
        </row>
        <row r="76">
          <cell r="F76">
            <v>6080000</v>
          </cell>
        </row>
        <row r="77">
          <cell r="F77">
            <v>0</v>
          </cell>
        </row>
        <row r="78">
          <cell r="F78">
            <v>0</v>
          </cell>
        </row>
        <row r="80">
          <cell r="F80">
            <v>134747896.86842498</v>
          </cell>
        </row>
        <row r="82">
          <cell r="F82">
            <v>19589200</v>
          </cell>
        </row>
        <row r="83">
          <cell r="F83">
            <v>26495000</v>
          </cell>
        </row>
        <row r="84">
          <cell r="F84">
            <v>7000000</v>
          </cell>
        </row>
        <row r="86">
          <cell r="F86">
            <v>17000400</v>
          </cell>
        </row>
        <row r="87">
          <cell r="F87">
            <v>0</v>
          </cell>
        </row>
        <row r="88">
          <cell r="F88">
            <v>0</v>
          </cell>
        </row>
        <row r="89">
          <cell r="F89">
            <v>3315000</v>
          </cell>
        </row>
        <row r="90">
          <cell r="F90">
            <v>8585000</v>
          </cell>
        </row>
        <row r="91">
          <cell r="F91">
            <v>1775000</v>
          </cell>
        </row>
        <row r="92">
          <cell r="F92">
            <v>28641970</v>
          </cell>
        </row>
        <row r="93">
          <cell r="F93">
            <v>4550000</v>
          </cell>
        </row>
        <row r="94">
          <cell r="F94">
            <v>520000</v>
          </cell>
        </row>
        <row r="96">
          <cell r="F96">
            <v>0</v>
          </cell>
        </row>
        <row r="98">
          <cell r="F98">
            <v>0</v>
          </cell>
        </row>
        <row r="99">
          <cell r="F99">
            <v>1650000</v>
          </cell>
        </row>
        <row r="100">
          <cell r="F100">
            <v>0</v>
          </cell>
        </row>
        <row r="104">
          <cell r="F104">
            <v>11150000</v>
          </cell>
        </row>
        <row r="105">
          <cell r="F105">
            <v>2334000</v>
          </cell>
        </row>
        <row r="106">
          <cell r="F106">
            <v>14919218.889999999</v>
          </cell>
        </row>
        <row r="107">
          <cell r="F107">
            <v>395000</v>
          </cell>
        </row>
        <row r="109">
          <cell r="F109">
            <v>0</v>
          </cell>
        </row>
        <row r="110">
          <cell r="F110">
            <v>0</v>
          </cell>
        </row>
        <row r="112">
          <cell r="F112">
            <v>2566000</v>
          </cell>
        </row>
        <row r="113">
          <cell r="F113">
            <v>440000</v>
          </cell>
        </row>
        <row r="114">
          <cell r="F114">
            <v>550000</v>
          </cell>
        </row>
        <row r="115">
          <cell r="F115">
            <v>4706000</v>
          </cell>
        </row>
        <row r="116">
          <cell r="F116">
            <v>495000</v>
          </cell>
        </row>
        <row r="117">
          <cell r="F117">
            <v>660000</v>
          </cell>
        </row>
        <row r="118">
          <cell r="F118">
            <v>1870000</v>
          </cell>
        </row>
        <row r="120">
          <cell r="F120">
            <v>2368000</v>
          </cell>
        </row>
        <row r="121">
          <cell r="F121">
            <v>2500000</v>
          </cell>
        </row>
        <row r="123">
          <cell r="F123">
            <v>18845043.71</v>
          </cell>
        </row>
        <row r="124">
          <cell r="F124">
            <v>1800000</v>
          </cell>
        </row>
        <row r="125">
          <cell r="F125">
            <v>14318494.339999998</v>
          </cell>
        </row>
        <row r="126">
          <cell r="F126">
            <v>5347100</v>
          </cell>
        </row>
        <row r="127">
          <cell r="F127">
            <v>17885587.14</v>
          </cell>
        </row>
        <row r="128">
          <cell r="F128">
            <v>3580000</v>
          </cell>
        </row>
        <row r="129">
          <cell r="F129">
            <v>1610000</v>
          </cell>
        </row>
        <row r="130">
          <cell r="F130">
            <v>897000</v>
          </cell>
        </row>
        <row r="134">
          <cell r="F134">
            <v>0</v>
          </cell>
        </row>
        <row r="135">
          <cell r="F135">
            <v>0</v>
          </cell>
        </row>
        <row r="139">
          <cell r="F139">
            <v>528000</v>
          </cell>
        </row>
        <row r="140">
          <cell r="F140">
            <v>0</v>
          </cell>
        </row>
        <row r="141">
          <cell r="F141">
            <v>12980000</v>
          </cell>
        </row>
        <row r="142">
          <cell r="F142">
            <v>25409280.963</v>
          </cell>
        </row>
        <row r="143">
          <cell r="F143">
            <v>72739683.31</v>
          </cell>
        </row>
        <row r="144">
          <cell r="F144">
            <v>0</v>
          </cell>
        </row>
        <row r="145">
          <cell r="F145">
            <v>0</v>
          </cell>
        </row>
        <row r="146">
          <cell r="F146">
            <v>5953300</v>
          </cell>
        </row>
        <row r="148">
          <cell r="F148">
            <v>2800000</v>
          </cell>
        </row>
        <row r="149">
          <cell r="F149">
            <v>0</v>
          </cell>
        </row>
        <row r="150">
          <cell r="F150">
            <v>0</v>
          </cell>
        </row>
        <row r="151">
          <cell r="F151">
            <v>0</v>
          </cell>
        </row>
        <row r="152">
          <cell r="F152">
            <v>0</v>
          </cell>
        </row>
        <row r="154">
          <cell r="F154">
            <v>0</v>
          </cell>
        </row>
        <row r="155">
          <cell r="F155">
            <v>0</v>
          </cell>
        </row>
        <row r="156">
          <cell r="F156">
            <v>0</v>
          </cell>
        </row>
        <row r="158">
          <cell r="F158">
            <v>22000000</v>
          </cell>
        </row>
        <row r="159">
          <cell r="F159">
            <v>0</v>
          </cell>
        </row>
        <row r="163">
          <cell r="F163">
            <v>63000000</v>
          </cell>
        </row>
        <row r="164">
          <cell r="F164">
            <v>255795000</v>
          </cell>
        </row>
        <row r="165">
          <cell r="F165">
            <v>763755530.8851</v>
          </cell>
        </row>
        <row r="166">
          <cell r="F166">
            <v>963837065.35166</v>
          </cell>
        </row>
        <row r="167">
          <cell r="F167">
            <v>0</v>
          </cell>
        </row>
        <row r="168">
          <cell r="F168">
            <v>0</v>
          </cell>
        </row>
        <row r="169">
          <cell r="F169">
            <v>0</v>
          </cell>
        </row>
        <row r="171">
          <cell r="F171">
            <v>0</v>
          </cell>
        </row>
        <row r="172">
          <cell r="F172">
            <v>0</v>
          </cell>
        </row>
        <row r="173">
          <cell r="F173">
            <v>27926363.71</v>
          </cell>
        </row>
        <row r="174">
          <cell r="F174">
            <v>0</v>
          </cell>
        </row>
        <row r="176">
          <cell r="F176">
            <v>129244495.32</v>
          </cell>
        </row>
        <row r="177">
          <cell r="F177">
            <v>0</v>
          </cell>
        </row>
        <row r="178">
          <cell r="F178">
            <v>3046358.13</v>
          </cell>
        </row>
        <row r="179">
          <cell r="F179">
            <v>253862.16204728995</v>
          </cell>
        </row>
        <row r="180">
          <cell r="F180">
            <v>0</v>
          </cell>
        </row>
        <row r="181">
          <cell r="F181">
            <v>65000000</v>
          </cell>
        </row>
        <row r="183">
          <cell r="F183">
            <v>0</v>
          </cell>
        </row>
        <row r="184">
          <cell r="F184">
            <v>0</v>
          </cell>
        </row>
        <row r="185">
          <cell r="F185">
            <v>0</v>
          </cell>
        </row>
        <row r="186">
          <cell r="F186">
            <v>0</v>
          </cell>
        </row>
        <row r="188">
          <cell r="F188">
            <v>0</v>
          </cell>
        </row>
        <row r="190">
          <cell r="F190">
            <v>105000000</v>
          </cell>
        </row>
        <row r="191">
          <cell r="F191">
            <v>500000000</v>
          </cell>
        </row>
        <row r="195">
          <cell r="F195">
            <v>0</v>
          </cell>
        </row>
        <row r="196">
          <cell r="F196">
            <v>0</v>
          </cell>
        </row>
        <row r="197">
          <cell r="F197">
            <v>0</v>
          </cell>
        </row>
        <row r="198">
          <cell r="F198">
            <v>0</v>
          </cell>
        </row>
        <row r="199">
          <cell r="F199">
            <v>0</v>
          </cell>
        </row>
        <row r="200">
          <cell r="F200">
            <v>0</v>
          </cell>
        </row>
        <row r="202">
          <cell r="F202">
            <v>0</v>
          </cell>
        </row>
        <row r="204">
          <cell r="F204">
            <v>0</v>
          </cell>
        </row>
        <row r="205">
          <cell r="F205">
            <v>0</v>
          </cell>
        </row>
        <row r="206">
          <cell r="F206">
            <v>0</v>
          </cell>
        </row>
        <row r="207">
          <cell r="F207">
            <v>0</v>
          </cell>
        </row>
        <row r="211">
          <cell r="F211">
            <v>0</v>
          </cell>
        </row>
        <row r="212">
          <cell r="F212">
            <v>0</v>
          </cell>
        </row>
        <row r="217">
          <cell r="F217">
            <v>0</v>
          </cell>
        </row>
        <row r="220">
          <cell r="F220">
            <v>0</v>
          </cell>
        </row>
        <row r="221">
          <cell r="F221">
            <v>0</v>
          </cell>
        </row>
      </sheetData>
      <sheetData sheetId="2">
        <row r="16">
          <cell r="F16">
            <v>79585800</v>
          </cell>
        </row>
        <row r="17">
          <cell r="F17">
            <v>0</v>
          </cell>
        </row>
        <row r="18">
          <cell r="F18">
            <v>0</v>
          </cell>
        </row>
        <row r="19">
          <cell r="F19">
            <v>2420000</v>
          </cell>
        </row>
        <row r="21">
          <cell r="F21">
            <v>5000000</v>
          </cell>
        </row>
        <row r="22">
          <cell r="F22">
            <v>1000000</v>
          </cell>
        </row>
        <row r="23">
          <cell r="F23">
            <v>0</v>
          </cell>
        </row>
        <row r="24">
          <cell r="F24">
            <v>0</v>
          </cell>
        </row>
        <row r="26">
          <cell r="F26">
            <v>54134349</v>
          </cell>
        </row>
        <row r="27">
          <cell r="F27">
            <v>51972770</v>
          </cell>
        </row>
        <row r="28">
          <cell r="F28">
            <v>18292752.047865786</v>
          </cell>
        </row>
        <row r="29">
          <cell r="F29">
            <v>16112407.63</v>
          </cell>
        </row>
        <row r="30">
          <cell r="F30">
            <v>9288576</v>
          </cell>
        </row>
        <row r="32">
          <cell r="F32">
            <v>20305035.993274998</v>
          </cell>
        </row>
        <row r="33">
          <cell r="F33">
            <v>1097569.51315</v>
          </cell>
        </row>
        <row r="35">
          <cell r="F35">
            <v>11173257.643867</v>
          </cell>
        </row>
        <row r="36">
          <cell r="F36">
            <v>3292708.5394499996</v>
          </cell>
        </row>
        <row r="37">
          <cell r="F37">
            <v>6585417.078899999</v>
          </cell>
        </row>
        <row r="39">
          <cell r="F39">
            <v>10975695.1315</v>
          </cell>
        </row>
        <row r="42">
          <cell r="F42">
            <v>0</v>
          </cell>
        </row>
        <row r="43">
          <cell r="F43">
            <v>0</v>
          </cell>
        </row>
        <row r="47">
          <cell r="F47">
            <v>0</v>
          </cell>
        </row>
        <row r="48">
          <cell r="F48">
            <v>0</v>
          </cell>
        </row>
        <row r="49">
          <cell r="F49">
            <v>0</v>
          </cell>
        </row>
        <row r="50">
          <cell r="F50">
            <v>0</v>
          </cell>
        </row>
        <row r="51">
          <cell r="F51">
            <v>0</v>
          </cell>
        </row>
        <row r="53">
          <cell r="F53">
            <v>0</v>
          </cell>
        </row>
        <row r="54">
          <cell r="F54">
            <v>0</v>
          </cell>
        </row>
        <row r="55">
          <cell r="F55">
            <v>0</v>
          </cell>
        </row>
        <row r="56">
          <cell r="F56">
            <v>0</v>
          </cell>
        </row>
        <row r="57">
          <cell r="F57">
            <v>0</v>
          </cell>
        </row>
        <row r="59">
          <cell r="F59">
            <v>300000</v>
          </cell>
        </row>
        <row r="60">
          <cell r="F60">
            <v>0</v>
          </cell>
        </row>
        <row r="61">
          <cell r="F61">
            <v>295000</v>
          </cell>
        </row>
        <row r="62">
          <cell r="F62">
            <v>0</v>
          </cell>
        </row>
        <row r="63">
          <cell r="F63">
            <v>0</v>
          </cell>
        </row>
        <row r="64">
          <cell r="F64">
            <v>0</v>
          </cell>
        </row>
        <row r="65">
          <cell r="F65">
            <v>0</v>
          </cell>
        </row>
        <row r="67">
          <cell r="F67">
            <v>0</v>
          </cell>
        </row>
        <row r="68">
          <cell r="F68">
            <v>0</v>
          </cell>
        </row>
        <row r="69">
          <cell r="F69">
            <v>0</v>
          </cell>
        </row>
        <row r="70">
          <cell r="F70">
            <v>0</v>
          </cell>
        </row>
        <row r="71">
          <cell r="F71">
            <v>0</v>
          </cell>
        </row>
        <row r="72">
          <cell r="F72">
            <v>0</v>
          </cell>
        </row>
        <row r="73">
          <cell r="F73">
            <v>6000000</v>
          </cell>
        </row>
        <row r="75">
          <cell r="F75">
            <v>0</v>
          </cell>
        </row>
        <row r="76">
          <cell r="F76">
            <v>200000</v>
          </cell>
        </row>
        <row r="77">
          <cell r="F77">
            <v>0</v>
          </cell>
        </row>
        <row r="78">
          <cell r="F78">
            <v>0</v>
          </cell>
        </row>
        <row r="80">
          <cell r="F80">
            <v>7134201.835475001</v>
          </cell>
        </row>
        <row r="82">
          <cell r="F82">
            <v>2000000</v>
          </cell>
        </row>
        <row r="83">
          <cell r="F83">
            <v>0</v>
          </cell>
        </row>
        <row r="84">
          <cell r="F84">
            <v>0</v>
          </cell>
        </row>
        <row r="86">
          <cell r="F86">
            <v>0</v>
          </cell>
        </row>
        <row r="87">
          <cell r="F87">
            <v>0</v>
          </cell>
        </row>
        <row r="88">
          <cell r="F88">
            <v>0</v>
          </cell>
        </row>
        <row r="89">
          <cell r="F89">
            <v>0</v>
          </cell>
        </row>
        <row r="90">
          <cell r="F90">
            <v>0</v>
          </cell>
        </row>
        <row r="91">
          <cell r="F91">
            <v>0</v>
          </cell>
        </row>
        <row r="92">
          <cell r="F92">
            <v>180000</v>
          </cell>
        </row>
        <row r="93">
          <cell r="F93">
            <v>200000</v>
          </cell>
        </row>
        <row r="94">
          <cell r="F94">
            <v>0</v>
          </cell>
        </row>
        <row r="96">
          <cell r="F96">
            <v>0</v>
          </cell>
        </row>
        <row r="98">
          <cell r="F98">
            <v>0</v>
          </cell>
        </row>
        <row r="99">
          <cell r="F99">
            <v>0</v>
          </cell>
        </row>
        <row r="100">
          <cell r="F100">
            <v>0</v>
          </cell>
        </row>
        <row r="104">
          <cell r="F104">
            <v>0</v>
          </cell>
        </row>
        <row r="105">
          <cell r="F105">
            <v>100000</v>
          </cell>
        </row>
        <row r="106">
          <cell r="F106">
            <v>0</v>
          </cell>
        </row>
        <row r="107">
          <cell r="F107">
            <v>0</v>
          </cell>
        </row>
        <row r="109">
          <cell r="F109">
            <v>0</v>
          </cell>
        </row>
        <row r="110">
          <cell r="F110">
            <v>0</v>
          </cell>
        </row>
        <row r="112">
          <cell r="F112">
            <v>0</v>
          </cell>
        </row>
        <row r="113">
          <cell r="F113">
            <v>0</v>
          </cell>
        </row>
        <row r="114">
          <cell r="F114">
            <v>0</v>
          </cell>
        </row>
        <row r="115">
          <cell r="F115">
            <v>0</v>
          </cell>
        </row>
        <row r="116">
          <cell r="F116">
            <v>0</v>
          </cell>
        </row>
        <row r="117">
          <cell r="F117">
            <v>0</v>
          </cell>
        </row>
        <row r="118">
          <cell r="F118">
            <v>0</v>
          </cell>
        </row>
        <row r="120">
          <cell r="F120">
            <v>0</v>
          </cell>
        </row>
        <row r="121">
          <cell r="F121">
            <v>0</v>
          </cell>
        </row>
        <row r="123">
          <cell r="F123">
            <v>2929700</v>
          </cell>
        </row>
        <row r="124">
          <cell r="F124">
            <v>0</v>
          </cell>
        </row>
        <row r="125">
          <cell r="F125">
            <v>267100</v>
          </cell>
        </row>
        <row r="126">
          <cell r="F126">
            <v>0</v>
          </cell>
        </row>
        <row r="127">
          <cell r="F127">
            <v>178200</v>
          </cell>
        </row>
        <row r="128">
          <cell r="F128">
            <v>0</v>
          </cell>
        </row>
        <row r="129">
          <cell r="F129">
            <v>0</v>
          </cell>
        </row>
        <row r="130">
          <cell r="F130">
            <v>0</v>
          </cell>
        </row>
        <row r="134">
          <cell r="F134">
            <v>0</v>
          </cell>
        </row>
        <row r="135">
          <cell r="F135">
            <v>0</v>
          </cell>
        </row>
        <row r="139">
          <cell r="F139">
            <v>0</v>
          </cell>
        </row>
        <row r="140">
          <cell r="F140">
            <v>0</v>
          </cell>
        </row>
        <row r="141">
          <cell r="F141">
            <v>0</v>
          </cell>
        </row>
        <row r="142">
          <cell r="F142">
            <v>790000</v>
          </cell>
        </row>
        <row r="143">
          <cell r="F143">
            <v>3555000</v>
          </cell>
        </row>
        <row r="144">
          <cell r="F144">
            <v>0</v>
          </cell>
        </row>
        <row r="145">
          <cell r="F145">
            <v>0</v>
          </cell>
        </row>
        <row r="146">
          <cell r="F146">
            <v>340000</v>
          </cell>
        </row>
        <row r="148">
          <cell r="F148">
            <v>0</v>
          </cell>
        </row>
        <row r="149">
          <cell r="F149">
            <v>0</v>
          </cell>
        </row>
        <row r="150">
          <cell r="F150">
            <v>0</v>
          </cell>
        </row>
        <row r="151">
          <cell r="F151">
            <v>0</v>
          </cell>
        </row>
        <row r="152">
          <cell r="F152">
            <v>0</v>
          </cell>
        </row>
        <row r="154">
          <cell r="F154">
            <v>0</v>
          </cell>
        </row>
        <row r="155">
          <cell r="F155">
            <v>0</v>
          </cell>
        </row>
        <row r="156">
          <cell r="F156">
            <v>0</v>
          </cell>
        </row>
        <row r="158">
          <cell r="F158">
            <v>0</v>
          </cell>
        </row>
        <row r="159">
          <cell r="F159">
            <v>0</v>
          </cell>
        </row>
        <row r="163">
          <cell r="F163">
            <v>0</v>
          </cell>
        </row>
        <row r="164">
          <cell r="F164">
            <v>0</v>
          </cell>
        </row>
        <row r="165">
          <cell r="F165">
            <v>0</v>
          </cell>
        </row>
        <row r="166">
          <cell r="F166">
            <v>0</v>
          </cell>
        </row>
        <row r="167">
          <cell r="F167">
            <v>0</v>
          </cell>
        </row>
        <row r="168">
          <cell r="F168">
            <v>0</v>
          </cell>
        </row>
        <row r="169">
          <cell r="F169">
            <v>0</v>
          </cell>
        </row>
        <row r="171">
          <cell r="F171">
            <v>0</v>
          </cell>
        </row>
        <row r="172">
          <cell r="F172">
            <v>0</v>
          </cell>
        </row>
        <row r="173">
          <cell r="F173">
            <v>0</v>
          </cell>
        </row>
        <row r="174">
          <cell r="F174">
            <v>0</v>
          </cell>
        </row>
        <row r="176">
          <cell r="F176">
            <v>10036120.56</v>
          </cell>
        </row>
        <row r="177">
          <cell r="F177">
            <v>0</v>
          </cell>
        </row>
        <row r="178">
          <cell r="F178">
            <v>0</v>
          </cell>
        </row>
        <row r="179">
          <cell r="F179">
            <v>0</v>
          </cell>
        </row>
        <row r="180">
          <cell r="F180">
            <v>0</v>
          </cell>
        </row>
        <row r="181">
          <cell r="F181">
            <v>5000000</v>
          </cell>
        </row>
        <row r="183">
          <cell r="F183">
            <v>0</v>
          </cell>
        </row>
        <row r="184">
          <cell r="F184">
            <v>0</v>
          </cell>
        </row>
        <row r="185">
          <cell r="F185">
            <v>0</v>
          </cell>
        </row>
        <row r="186">
          <cell r="F186">
            <v>0</v>
          </cell>
        </row>
        <row r="188">
          <cell r="F188">
            <v>0</v>
          </cell>
        </row>
        <row r="190">
          <cell r="F190">
            <v>0</v>
          </cell>
        </row>
        <row r="191">
          <cell r="F191">
            <v>0</v>
          </cell>
        </row>
        <row r="195">
          <cell r="F195">
            <v>0</v>
          </cell>
        </row>
        <row r="196">
          <cell r="F196">
            <v>0</v>
          </cell>
        </row>
        <row r="197">
          <cell r="F197">
            <v>0</v>
          </cell>
        </row>
        <row r="198">
          <cell r="F198">
            <v>0</v>
          </cell>
        </row>
        <row r="199">
          <cell r="F199">
            <v>0</v>
          </cell>
        </row>
        <row r="200">
          <cell r="F200">
            <v>0</v>
          </cell>
        </row>
        <row r="202">
          <cell r="F202">
            <v>0</v>
          </cell>
        </row>
        <row r="204">
          <cell r="F204">
            <v>0</v>
          </cell>
        </row>
        <row r="205">
          <cell r="F205">
            <v>0</v>
          </cell>
        </row>
        <row r="206">
          <cell r="F206">
            <v>0</v>
          </cell>
        </row>
        <row r="207">
          <cell r="F207">
            <v>0</v>
          </cell>
        </row>
        <row r="211">
          <cell r="F211">
            <v>0</v>
          </cell>
        </row>
        <row r="212">
          <cell r="F212">
            <v>0</v>
          </cell>
        </row>
        <row r="217">
          <cell r="F217">
            <v>0</v>
          </cell>
        </row>
        <row r="220">
          <cell r="F220">
            <v>0</v>
          </cell>
        </row>
        <row r="221">
          <cell r="F221">
            <v>0</v>
          </cell>
        </row>
        <row r="222">
          <cell r="H222">
            <v>330741660.9734828</v>
          </cell>
        </row>
      </sheetData>
      <sheetData sheetId="3">
        <row r="16">
          <cell r="F16">
            <v>1625281800</v>
          </cell>
        </row>
        <row r="17">
          <cell r="F17">
            <v>0</v>
          </cell>
        </row>
        <row r="18">
          <cell r="F18">
            <v>0</v>
          </cell>
        </row>
        <row r="19">
          <cell r="F19">
            <v>78650000</v>
          </cell>
        </row>
        <row r="21">
          <cell r="F21">
            <v>93257750</v>
          </cell>
        </row>
        <row r="22">
          <cell r="F22">
            <v>11097600</v>
          </cell>
        </row>
        <row r="23">
          <cell r="F23">
            <v>20038015.8</v>
          </cell>
        </row>
        <row r="24">
          <cell r="F24">
            <v>0</v>
          </cell>
        </row>
        <row r="26">
          <cell r="F26">
            <v>675345172.5</v>
          </cell>
        </row>
        <row r="27">
          <cell r="F27">
            <v>154998320</v>
          </cell>
        </row>
        <row r="28">
          <cell r="F28">
            <v>247366298.27418235</v>
          </cell>
        </row>
        <row r="29">
          <cell r="F29">
            <v>217385462.61999997</v>
          </cell>
        </row>
        <row r="30">
          <cell r="F30">
            <v>92353332</v>
          </cell>
        </row>
        <row r="32">
          <cell r="F32">
            <v>274577689.3951</v>
          </cell>
        </row>
        <row r="33">
          <cell r="F33">
            <v>14842037.2646</v>
          </cell>
        </row>
        <row r="35">
          <cell r="F35">
            <v>151091939.353628</v>
          </cell>
        </row>
        <row r="36">
          <cell r="F36">
            <v>44526111.7938</v>
          </cell>
        </row>
        <row r="37">
          <cell r="F37">
            <v>89052223.5876</v>
          </cell>
        </row>
        <row r="38">
          <cell r="F38">
            <v>0</v>
          </cell>
        </row>
        <row r="39">
          <cell r="F39">
            <v>148420372.64600003</v>
          </cell>
        </row>
        <row r="42">
          <cell r="F42">
            <v>0</v>
          </cell>
        </row>
        <row r="43">
          <cell r="F43">
            <v>0</v>
          </cell>
        </row>
        <row r="47">
          <cell r="F47">
            <v>23400000</v>
          </cell>
        </row>
        <row r="48">
          <cell r="F48">
            <v>6010000</v>
          </cell>
        </row>
        <row r="49">
          <cell r="F49">
            <v>20000000</v>
          </cell>
        </row>
        <row r="50">
          <cell r="F50">
            <v>5500000</v>
          </cell>
        </row>
        <row r="51">
          <cell r="F51">
            <v>39000000</v>
          </cell>
        </row>
        <row r="53">
          <cell r="F53">
            <v>1500000</v>
          </cell>
        </row>
        <row r="54">
          <cell r="F54">
            <v>291093157.13</v>
          </cell>
        </row>
        <row r="55">
          <cell r="F55">
            <v>0</v>
          </cell>
        </row>
        <row r="56">
          <cell r="F56">
            <v>19000000</v>
          </cell>
        </row>
        <row r="57">
          <cell r="F57">
            <v>10000</v>
          </cell>
        </row>
        <row r="59">
          <cell r="F59">
            <v>4555000</v>
          </cell>
        </row>
        <row r="60">
          <cell r="F60">
            <v>700000</v>
          </cell>
        </row>
        <row r="61">
          <cell r="F61">
            <v>11624704.559999999</v>
          </cell>
        </row>
        <row r="62">
          <cell r="F62">
            <v>10000</v>
          </cell>
        </row>
        <row r="63">
          <cell r="F63">
            <v>0</v>
          </cell>
        </row>
        <row r="64">
          <cell r="F64">
            <v>0</v>
          </cell>
        </row>
        <row r="65">
          <cell r="F65">
            <v>0</v>
          </cell>
        </row>
        <row r="67">
          <cell r="F67">
            <v>17545000</v>
          </cell>
        </row>
        <row r="68">
          <cell r="F68">
            <v>2010000</v>
          </cell>
        </row>
        <row r="69">
          <cell r="F69">
            <v>74510000</v>
          </cell>
        </row>
        <row r="70">
          <cell r="F70">
            <v>55510000</v>
          </cell>
        </row>
        <row r="71">
          <cell r="F71">
            <v>7510000</v>
          </cell>
        </row>
        <row r="72">
          <cell r="F72">
            <v>186203563.51999998</v>
          </cell>
        </row>
        <row r="73">
          <cell r="F73">
            <v>4297804629.34</v>
          </cell>
        </row>
        <row r="75">
          <cell r="F75">
            <v>200000</v>
          </cell>
        </row>
        <row r="76">
          <cell r="F76">
            <v>8000000</v>
          </cell>
        </row>
        <row r="77">
          <cell r="F77">
            <v>0</v>
          </cell>
        </row>
        <row r="78">
          <cell r="F78">
            <v>0</v>
          </cell>
        </row>
        <row r="80">
          <cell r="F80">
            <v>143173242.21989998</v>
          </cell>
        </row>
        <row r="82">
          <cell r="F82">
            <v>42665003.5</v>
          </cell>
        </row>
        <row r="83">
          <cell r="F83">
            <v>14300000</v>
          </cell>
        </row>
        <row r="84">
          <cell r="F84">
            <v>0</v>
          </cell>
        </row>
        <row r="86">
          <cell r="F86">
            <v>9010000</v>
          </cell>
        </row>
        <row r="87">
          <cell r="F87">
            <v>10000</v>
          </cell>
        </row>
        <row r="88">
          <cell r="F88">
            <v>10000</v>
          </cell>
        </row>
        <row r="89">
          <cell r="F89">
            <v>122740000</v>
          </cell>
        </row>
        <row r="90">
          <cell r="F90">
            <v>63600000</v>
          </cell>
        </row>
        <row r="91">
          <cell r="F91">
            <v>2210000</v>
          </cell>
        </row>
        <row r="92">
          <cell r="F92">
            <v>5710000</v>
          </cell>
        </row>
        <row r="93">
          <cell r="F93">
            <v>10285000</v>
          </cell>
        </row>
        <row r="94">
          <cell r="F94">
            <v>3810000</v>
          </cell>
        </row>
        <row r="96">
          <cell r="F96">
            <v>0</v>
          </cell>
        </row>
        <row r="98">
          <cell r="F98">
            <v>40000000</v>
          </cell>
        </row>
        <row r="99">
          <cell r="F99">
            <v>1000000</v>
          </cell>
        </row>
        <row r="100">
          <cell r="F100">
            <v>0</v>
          </cell>
        </row>
        <row r="104">
          <cell r="F104">
            <v>35875000</v>
          </cell>
        </row>
        <row r="105">
          <cell r="F105">
            <v>5489958.98</v>
          </cell>
        </row>
        <row r="106">
          <cell r="F106">
            <v>4669996.5</v>
          </cell>
        </row>
        <row r="107">
          <cell r="F107">
            <v>505000</v>
          </cell>
        </row>
        <row r="109">
          <cell r="F109">
            <v>10000</v>
          </cell>
        </row>
        <row r="110">
          <cell r="F110">
            <v>200000</v>
          </cell>
        </row>
        <row r="112">
          <cell r="F112">
            <v>45660000</v>
          </cell>
        </row>
        <row r="113">
          <cell r="F113">
            <v>77110000</v>
          </cell>
        </row>
        <row r="114">
          <cell r="F114">
            <v>3430000</v>
          </cell>
        </row>
        <row r="115">
          <cell r="F115">
            <v>11780000</v>
          </cell>
        </row>
        <row r="116">
          <cell r="F116">
            <v>10000</v>
          </cell>
        </row>
        <row r="117">
          <cell r="F117">
            <v>18860000</v>
          </cell>
        </row>
        <row r="118">
          <cell r="F118">
            <v>2010000</v>
          </cell>
        </row>
        <row r="120">
          <cell r="F120">
            <v>8500000</v>
          </cell>
        </row>
        <row r="121">
          <cell r="F121">
            <v>65115130.62</v>
          </cell>
        </row>
        <row r="123">
          <cell r="F123">
            <v>7027000</v>
          </cell>
        </row>
        <row r="124">
          <cell r="F124">
            <v>1100000</v>
          </cell>
        </row>
        <row r="125">
          <cell r="F125">
            <v>14230000</v>
          </cell>
        </row>
        <row r="126">
          <cell r="F126">
            <v>36131770</v>
          </cell>
        </row>
        <row r="127">
          <cell r="F127">
            <v>6410000</v>
          </cell>
        </row>
        <row r="128">
          <cell r="F128">
            <v>15620000</v>
          </cell>
        </row>
        <row r="129">
          <cell r="F129">
            <v>772000</v>
          </cell>
        </row>
        <row r="130">
          <cell r="F130">
            <v>510000</v>
          </cell>
        </row>
        <row r="134">
          <cell r="F134">
            <v>0</v>
          </cell>
        </row>
        <row r="135">
          <cell r="F135">
            <v>550500000</v>
          </cell>
        </row>
        <row r="139">
          <cell r="F139">
            <v>16727205.16</v>
          </cell>
        </row>
        <row r="140">
          <cell r="F140">
            <v>76610000</v>
          </cell>
        </row>
        <row r="141">
          <cell r="F141">
            <v>5710000</v>
          </cell>
        </row>
        <row r="142">
          <cell r="F142">
            <v>8580000</v>
          </cell>
        </row>
        <row r="143">
          <cell r="F143">
            <v>16110000</v>
          </cell>
        </row>
        <row r="144">
          <cell r="F144">
            <v>0</v>
          </cell>
        </row>
        <row r="145">
          <cell r="F145">
            <v>11010000</v>
          </cell>
        </row>
        <row r="146">
          <cell r="F146">
            <v>251655598.32</v>
          </cell>
        </row>
        <row r="148">
          <cell r="F148">
            <v>210000</v>
          </cell>
        </row>
        <row r="149">
          <cell r="F149">
            <v>10000</v>
          </cell>
        </row>
        <row r="150">
          <cell r="F150">
            <v>10000</v>
          </cell>
        </row>
        <row r="151">
          <cell r="F151">
            <v>205010000</v>
          </cell>
        </row>
        <row r="152">
          <cell r="F152">
            <v>275010000</v>
          </cell>
        </row>
        <row r="154">
          <cell r="F154">
            <v>10000</v>
          </cell>
        </row>
        <row r="155">
          <cell r="F155">
            <v>10000</v>
          </cell>
        </row>
        <row r="156">
          <cell r="F156">
            <v>10000</v>
          </cell>
        </row>
        <row r="158">
          <cell r="F158">
            <v>5610000</v>
          </cell>
        </row>
        <row r="159">
          <cell r="F159">
            <v>10000</v>
          </cell>
        </row>
        <row r="163">
          <cell r="F163">
            <v>0</v>
          </cell>
        </row>
        <row r="164">
          <cell r="F164">
            <v>0</v>
          </cell>
        </row>
        <row r="165">
          <cell r="F165">
            <v>0</v>
          </cell>
        </row>
        <row r="166">
          <cell r="F166">
            <v>0</v>
          </cell>
        </row>
        <row r="167">
          <cell r="F167">
            <v>0</v>
          </cell>
        </row>
        <row r="168">
          <cell r="F168">
            <v>0</v>
          </cell>
        </row>
        <row r="169">
          <cell r="F169">
            <v>0</v>
          </cell>
        </row>
        <row r="171">
          <cell r="F171">
            <v>0</v>
          </cell>
        </row>
        <row r="172">
          <cell r="F172">
            <v>0</v>
          </cell>
        </row>
        <row r="173">
          <cell r="F173">
            <v>0</v>
          </cell>
        </row>
        <row r="174">
          <cell r="F174">
            <v>0</v>
          </cell>
        </row>
        <row r="176">
          <cell r="F176">
            <v>91253050.27000001</v>
          </cell>
        </row>
        <row r="177">
          <cell r="F177">
            <v>0</v>
          </cell>
        </row>
        <row r="178">
          <cell r="F178">
            <v>0</v>
          </cell>
        </row>
        <row r="179">
          <cell r="F179">
            <v>0</v>
          </cell>
        </row>
        <row r="180">
          <cell r="F180">
            <v>0</v>
          </cell>
        </row>
        <row r="181">
          <cell r="F181">
            <v>84291000</v>
          </cell>
        </row>
        <row r="183">
          <cell r="F183">
            <v>0</v>
          </cell>
        </row>
        <row r="184">
          <cell r="F184">
            <v>0</v>
          </cell>
        </row>
        <row r="185">
          <cell r="F185">
            <v>0</v>
          </cell>
        </row>
        <row r="186">
          <cell r="F186">
            <v>0</v>
          </cell>
        </row>
        <row r="188">
          <cell r="F188">
            <v>0</v>
          </cell>
        </row>
        <row r="190">
          <cell r="F190">
            <v>9000000</v>
          </cell>
        </row>
        <row r="191">
          <cell r="F191">
            <v>0</v>
          </cell>
        </row>
        <row r="195">
          <cell r="F195">
            <v>0</v>
          </cell>
        </row>
        <row r="196">
          <cell r="F196">
            <v>0</v>
          </cell>
        </row>
        <row r="197">
          <cell r="F197">
            <v>0</v>
          </cell>
        </row>
        <row r="198">
          <cell r="F198">
            <v>0</v>
          </cell>
        </row>
        <row r="199">
          <cell r="F199">
            <v>0</v>
          </cell>
        </row>
        <row r="200">
          <cell r="F200">
            <v>0</v>
          </cell>
        </row>
        <row r="202">
          <cell r="F202">
            <v>0</v>
          </cell>
        </row>
        <row r="204">
          <cell r="F204">
            <v>0</v>
          </cell>
        </row>
        <row r="205">
          <cell r="F205">
            <v>0</v>
          </cell>
        </row>
        <row r="206">
          <cell r="F206">
            <v>0</v>
          </cell>
        </row>
        <row r="207">
          <cell r="F207">
            <v>0</v>
          </cell>
        </row>
        <row r="211">
          <cell r="F211">
            <v>0</v>
          </cell>
        </row>
        <row r="212">
          <cell r="F212">
            <v>285000000</v>
          </cell>
        </row>
        <row r="217">
          <cell r="F217">
            <v>0</v>
          </cell>
        </row>
        <row r="220">
          <cell r="F220">
            <v>0</v>
          </cell>
        </row>
        <row r="221">
          <cell r="F221">
            <v>0</v>
          </cell>
        </row>
      </sheetData>
      <sheetData sheetId="4">
        <row r="16">
          <cell r="F16">
            <v>634554600</v>
          </cell>
        </row>
        <row r="17">
          <cell r="F17">
            <v>0</v>
          </cell>
        </row>
        <row r="18">
          <cell r="F18">
            <v>0</v>
          </cell>
        </row>
        <row r="19">
          <cell r="F19">
            <v>21000000</v>
          </cell>
        </row>
        <row r="21">
          <cell r="F21">
            <v>5620000</v>
          </cell>
        </row>
        <row r="22">
          <cell r="F22">
            <v>4000000</v>
          </cell>
        </row>
        <row r="23">
          <cell r="F23">
            <v>14382450</v>
          </cell>
        </row>
        <row r="24">
          <cell r="F24">
            <v>0</v>
          </cell>
        </row>
        <row r="26">
          <cell r="F26">
            <v>263539978.5</v>
          </cell>
        </row>
        <row r="27">
          <cell r="F27">
            <v>102814020</v>
          </cell>
        </row>
        <row r="28">
          <cell r="F28">
            <v>97107041.72777936</v>
          </cell>
        </row>
        <row r="29">
          <cell r="F29">
            <v>86896681.38999999</v>
          </cell>
        </row>
        <row r="30">
          <cell r="F30">
            <v>32481432</v>
          </cell>
        </row>
        <row r="32">
          <cell r="F32">
            <v>107789247.474825</v>
          </cell>
        </row>
        <row r="33">
          <cell r="F33">
            <v>5826445.80945</v>
          </cell>
        </row>
        <row r="35">
          <cell r="F35">
            <v>59313218.340201005</v>
          </cell>
        </row>
        <row r="36">
          <cell r="F36">
            <v>17479337.428349998</v>
          </cell>
        </row>
        <row r="37">
          <cell r="F37">
            <v>34958674.856699996</v>
          </cell>
        </row>
        <row r="38">
          <cell r="F38">
            <v>0</v>
          </cell>
        </row>
        <row r="39">
          <cell r="F39">
            <v>58264458.094500005</v>
          </cell>
        </row>
        <row r="42">
          <cell r="F42">
            <v>0</v>
          </cell>
        </row>
        <row r="43">
          <cell r="F43" t="str">
            <v> </v>
          </cell>
        </row>
        <row r="47">
          <cell r="F47">
            <v>0</v>
          </cell>
        </row>
        <row r="48">
          <cell r="F48">
            <v>65000000</v>
          </cell>
        </row>
        <row r="49">
          <cell r="F49">
            <v>10000</v>
          </cell>
        </row>
        <row r="50">
          <cell r="F50">
            <v>0</v>
          </cell>
        </row>
        <row r="51">
          <cell r="F51">
            <v>10000</v>
          </cell>
        </row>
        <row r="53">
          <cell r="F53">
            <v>0</v>
          </cell>
        </row>
        <row r="54">
          <cell r="F54">
            <v>0</v>
          </cell>
        </row>
        <row r="55">
          <cell r="F55">
            <v>0</v>
          </cell>
        </row>
        <row r="56">
          <cell r="F56">
            <v>0</v>
          </cell>
        </row>
        <row r="57">
          <cell r="F57">
            <v>0</v>
          </cell>
        </row>
        <row r="59">
          <cell r="F59">
            <v>1900000</v>
          </cell>
        </row>
        <row r="60">
          <cell r="F60">
            <v>0</v>
          </cell>
        </row>
        <row r="61">
          <cell r="F61">
            <v>4000000</v>
          </cell>
        </row>
        <row r="62">
          <cell r="F62">
            <v>10000000</v>
          </cell>
        </row>
        <row r="63">
          <cell r="F63">
            <v>0</v>
          </cell>
        </row>
        <row r="64">
          <cell r="F64">
            <v>0</v>
          </cell>
        </row>
        <row r="65">
          <cell r="F65">
            <v>0</v>
          </cell>
        </row>
        <row r="67">
          <cell r="F67">
            <v>0</v>
          </cell>
        </row>
        <row r="68">
          <cell r="F68">
            <v>0</v>
          </cell>
        </row>
        <row r="69">
          <cell r="F69">
            <v>26000000</v>
          </cell>
        </row>
        <row r="70">
          <cell r="F70">
            <v>20000000</v>
          </cell>
        </row>
        <row r="71">
          <cell r="F71">
            <v>10010000</v>
          </cell>
        </row>
        <row r="72">
          <cell r="F72">
            <v>19200000</v>
          </cell>
        </row>
        <row r="73">
          <cell r="F73">
            <v>115553553.66</v>
          </cell>
        </row>
        <row r="75">
          <cell r="F75">
            <v>0</v>
          </cell>
        </row>
        <row r="76">
          <cell r="F76">
            <v>0</v>
          </cell>
        </row>
        <row r="77">
          <cell r="F77">
            <v>0</v>
          </cell>
        </row>
        <row r="78">
          <cell r="F78">
            <v>0</v>
          </cell>
        </row>
        <row r="80">
          <cell r="F80">
            <v>71771897.761425</v>
          </cell>
        </row>
        <row r="82">
          <cell r="F82">
            <v>6400000</v>
          </cell>
        </row>
        <row r="83">
          <cell r="F83">
            <v>200000</v>
          </cell>
        </row>
        <row r="84">
          <cell r="F84">
            <v>0</v>
          </cell>
        </row>
        <row r="86">
          <cell r="F86">
            <v>0</v>
          </cell>
        </row>
        <row r="87">
          <cell r="F87">
            <v>0</v>
          </cell>
        </row>
        <row r="88">
          <cell r="F88">
            <v>0</v>
          </cell>
        </row>
        <row r="89">
          <cell r="F89">
            <v>40000000</v>
          </cell>
        </row>
        <row r="90">
          <cell r="F90">
            <v>18000000</v>
          </cell>
        </row>
        <row r="91">
          <cell r="F91">
            <v>0</v>
          </cell>
        </row>
        <row r="92">
          <cell r="F92">
            <v>0</v>
          </cell>
        </row>
        <row r="93">
          <cell r="F93">
            <v>1661000</v>
          </cell>
        </row>
        <row r="94">
          <cell r="F94">
            <v>0</v>
          </cell>
        </row>
        <row r="96">
          <cell r="F96">
            <v>0</v>
          </cell>
        </row>
        <row r="98">
          <cell r="F98">
            <v>0</v>
          </cell>
        </row>
        <row r="99">
          <cell r="F99">
            <v>0</v>
          </cell>
        </row>
        <row r="100">
          <cell r="F100">
            <v>0</v>
          </cell>
        </row>
        <row r="104">
          <cell r="F104">
            <v>59000000</v>
          </cell>
        </row>
        <row r="105">
          <cell r="F105">
            <v>4100000</v>
          </cell>
        </row>
        <row r="106">
          <cell r="F106">
            <v>19099990</v>
          </cell>
        </row>
        <row r="107">
          <cell r="F107">
            <v>29000000</v>
          </cell>
        </row>
        <row r="109">
          <cell r="F109">
            <v>34000000</v>
          </cell>
        </row>
        <row r="110">
          <cell r="F110">
            <v>0</v>
          </cell>
        </row>
        <row r="112">
          <cell r="F112">
            <v>37000000</v>
          </cell>
        </row>
        <row r="113">
          <cell r="F113">
            <v>290600000</v>
          </cell>
        </row>
        <row r="114">
          <cell r="F114">
            <v>13300000</v>
          </cell>
        </row>
        <row r="115">
          <cell r="F115">
            <v>5604500</v>
          </cell>
        </row>
        <row r="116">
          <cell r="F116">
            <v>100000</v>
          </cell>
        </row>
        <row r="117">
          <cell r="F117">
            <v>70060370</v>
          </cell>
        </row>
        <row r="118">
          <cell r="F118">
            <v>5800000</v>
          </cell>
        </row>
        <row r="120">
          <cell r="F120">
            <v>16500000</v>
          </cell>
        </row>
        <row r="121">
          <cell r="F121">
            <v>2209000</v>
          </cell>
        </row>
        <row r="123">
          <cell r="F123">
            <v>4705607.9399999995</v>
          </cell>
        </row>
        <row r="124">
          <cell r="F124">
            <v>0</v>
          </cell>
        </row>
        <row r="125">
          <cell r="F125">
            <v>4290610</v>
          </cell>
        </row>
        <row r="126">
          <cell r="F126">
            <v>8300000</v>
          </cell>
        </row>
        <row r="127">
          <cell r="F127">
            <v>8012000</v>
          </cell>
        </row>
        <row r="128">
          <cell r="F128">
            <v>7000000</v>
          </cell>
        </row>
        <row r="129">
          <cell r="F129">
            <v>100000</v>
          </cell>
        </row>
        <row r="130">
          <cell r="F130">
            <v>550000</v>
          </cell>
        </row>
        <row r="134">
          <cell r="F134">
            <v>0</v>
          </cell>
        </row>
        <row r="135">
          <cell r="F135">
            <v>0</v>
          </cell>
        </row>
        <row r="139">
          <cell r="F139">
            <v>27508378</v>
          </cell>
        </row>
        <row r="140">
          <cell r="F140">
            <v>44050000</v>
          </cell>
        </row>
        <row r="141">
          <cell r="F141">
            <v>610000</v>
          </cell>
        </row>
        <row r="142">
          <cell r="F142">
            <v>9590000</v>
          </cell>
        </row>
        <row r="143">
          <cell r="F143">
            <v>112010000</v>
          </cell>
        </row>
        <row r="144">
          <cell r="F144">
            <v>0</v>
          </cell>
        </row>
        <row r="145">
          <cell r="F145">
            <v>10000</v>
          </cell>
        </row>
        <row r="146">
          <cell r="F146">
            <v>15216652</v>
          </cell>
        </row>
        <row r="148">
          <cell r="F148">
            <v>220098354.53</v>
          </cell>
        </row>
        <row r="149">
          <cell r="F149">
            <v>1726288331.1100001</v>
          </cell>
        </row>
        <row r="150">
          <cell r="F150">
            <v>10000</v>
          </cell>
        </row>
        <row r="151">
          <cell r="F151">
            <v>668550000</v>
          </cell>
        </row>
        <row r="152">
          <cell r="F152">
            <v>172747438.61</v>
          </cell>
        </row>
        <row r="154">
          <cell r="F154">
            <v>150010000</v>
          </cell>
        </row>
        <row r="155">
          <cell r="F155">
            <v>10000</v>
          </cell>
        </row>
        <row r="156">
          <cell r="F156">
            <v>10000</v>
          </cell>
        </row>
        <row r="158">
          <cell r="F158">
            <v>10000</v>
          </cell>
        </row>
        <row r="159">
          <cell r="F159">
            <v>10000</v>
          </cell>
        </row>
        <row r="163">
          <cell r="F163">
            <v>0</v>
          </cell>
        </row>
        <row r="164">
          <cell r="F164">
            <v>0</v>
          </cell>
        </row>
        <row r="165">
          <cell r="F165">
            <v>0</v>
          </cell>
        </row>
        <row r="166">
          <cell r="F166">
            <v>0</v>
          </cell>
        </row>
        <row r="167">
          <cell r="F167">
            <v>0</v>
          </cell>
        </row>
        <row r="168">
          <cell r="F168">
            <v>0</v>
          </cell>
        </row>
        <row r="169">
          <cell r="F169">
            <v>0</v>
          </cell>
        </row>
        <row r="171">
          <cell r="F171">
            <v>0</v>
          </cell>
        </row>
        <row r="172">
          <cell r="F172">
            <v>0</v>
          </cell>
        </row>
        <row r="173">
          <cell r="F173">
            <v>0</v>
          </cell>
        </row>
        <row r="174">
          <cell r="F174">
            <v>0</v>
          </cell>
        </row>
        <row r="176">
          <cell r="F176">
            <v>49245350.010000005</v>
          </cell>
        </row>
        <row r="177">
          <cell r="F177">
            <v>0</v>
          </cell>
        </row>
        <row r="178">
          <cell r="F178">
            <v>0</v>
          </cell>
        </row>
        <row r="179">
          <cell r="F179">
            <v>0</v>
          </cell>
        </row>
        <row r="180">
          <cell r="F180">
            <v>0</v>
          </cell>
        </row>
        <row r="181">
          <cell r="F181">
            <v>19850000</v>
          </cell>
        </row>
        <row r="183">
          <cell r="F183">
            <v>0</v>
          </cell>
        </row>
        <row r="184">
          <cell r="F184">
            <v>0</v>
          </cell>
        </row>
        <row r="185">
          <cell r="F185">
            <v>0</v>
          </cell>
        </row>
        <row r="186">
          <cell r="F186">
            <v>0</v>
          </cell>
        </row>
        <row r="188">
          <cell r="F188">
            <v>0</v>
          </cell>
        </row>
        <row r="190">
          <cell r="F190">
            <v>2000000</v>
          </cell>
        </row>
        <row r="191">
          <cell r="F191">
            <v>0</v>
          </cell>
        </row>
        <row r="195">
          <cell r="F195">
            <v>0</v>
          </cell>
        </row>
        <row r="196">
          <cell r="F196">
            <v>0</v>
          </cell>
        </row>
        <row r="197">
          <cell r="F197">
            <v>383890710.26</v>
          </cell>
        </row>
        <row r="198">
          <cell r="F198">
            <v>0</v>
          </cell>
        </row>
        <row r="199">
          <cell r="F199">
            <v>0</v>
          </cell>
        </row>
        <row r="200">
          <cell r="F200">
            <v>0</v>
          </cell>
        </row>
        <row r="202">
          <cell r="F202">
            <v>0</v>
          </cell>
        </row>
        <row r="204">
          <cell r="F204">
            <v>1483960050.37</v>
          </cell>
        </row>
        <row r="205">
          <cell r="F205">
            <v>0</v>
          </cell>
        </row>
        <row r="206">
          <cell r="F206">
            <v>0</v>
          </cell>
        </row>
        <row r="207">
          <cell r="F207">
            <v>0</v>
          </cell>
        </row>
        <row r="211">
          <cell r="F211">
            <v>0</v>
          </cell>
        </row>
        <row r="212">
          <cell r="F212">
            <v>0</v>
          </cell>
        </row>
        <row r="217">
          <cell r="F217">
            <v>0</v>
          </cell>
        </row>
        <row r="220">
          <cell r="F220">
            <v>3449400.86</v>
          </cell>
        </row>
        <row r="221">
          <cell r="F221">
            <v>0</v>
          </cell>
        </row>
      </sheetData>
      <sheetData sheetId="22">
        <row r="125">
          <cell r="E125">
            <v>7664210780.733231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lasific. Económica de Ingresos"/>
      <sheetName val="JUSTIFICACION"/>
      <sheetName val="Detalle General de Egresos"/>
      <sheetName val="ProgramaI"/>
      <sheetName val="Programa II"/>
      <sheetName val="Programa III"/>
      <sheetName val="Egresos Programa I General"/>
      <sheetName val="Egresos Programa II General"/>
      <sheetName val="Egresos Programa III General"/>
      <sheetName val="INGRESOS LIBRES DETALLE Nº17"/>
      <sheetName val="RELACION INGRESO GASTO DET.15"/>
      <sheetName val="INGRESOS FIN ESPECIFICO DET.13"/>
      <sheetName val="Origen y Aplicación"/>
      <sheetName val="RELACION ING-GASTO SERV"/>
      <sheetName val="DEUDA INTERNA"/>
    </sheetNames>
    <sheetDataSet>
      <sheetData sheetId="0">
        <row r="16">
          <cell r="A16" t="str">
            <v>1.1.2.1.01.00.0.0.000</v>
          </cell>
          <cell r="C16">
            <v>6300000000</v>
          </cell>
        </row>
        <row r="17">
          <cell r="A17" t="str">
            <v>1.1.2.2.02.00.0.0.000</v>
          </cell>
          <cell r="C17">
            <v>0</v>
          </cell>
        </row>
        <row r="23">
          <cell r="A23" t="str">
            <v>1.1.3.2.01.02.0.0.001</v>
          </cell>
          <cell r="C23">
            <v>135000000</v>
          </cell>
        </row>
        <row r="24">
          <cell r="C24">
            <v>4500000</v>
          </cell>
        </row>
        <row r="25">
          <cell r="A25" t="str">
            <v>1.1.3.2.01.04.0.0.000</v>
          </cell>
        </row>
        <row r="26">
          <cell r="A26" t="str">
            <v>1.1.3.2.01.05.0.0.000</v>
          </cell>
          <cell r="C26">
            <v>600000000</v>
          </cell>
        </row>
        <row r="29">
          <cell r="A29" t="str">
            <v>1.1.3.2.02.09.0.0.000</v>
          </cell>
        </row>
        <row r="33">
          <cell r="A33" t="str">
            <v>1.1.3.3.01.01.0.0.000</v>
          </cell>
          <cell r="C33">
            <v>750000</v>
          </cell>
        </row>
        <row r="34">
          <cell r="A34" t="str">
            <v>1.1.3.3.01.02.0.0.000</v>
          </cell>
          <cell r="C34">
            <v>4700000000</v>
          </cell>
        </row>
        <row r="40">
          <cell r="A40" t="str">
            <v>1.1.9.1.01.00.0.0.000</v>
          </cell>
          <cell r="C40">
            <v>625000000</v>
          </cell>
        </row>
        <row r="41">
          <cell r="A41" t="str">
            <v>1.1.9.1.02.00.0.0.000</v>
          </cell>
          <cell r="C41">
            <v>91500000</v>
          </cell>
        </row>
        <row r="50">
          <cell r="A50" t="str">
            <v>1.3.1.1.05.00.0.0.000</v>
          </cell>
          <cell r="C50">
            <v>3650000000</v>
          </cell>
        </row>
        <row r="56">
          <cell r="A56" t="str">
            <v>1.3.1.2.04.01.1.0.000</v>
          </cell>
          <cell r="C56">
            <v>277000000</v>
          </cell>
        </row>
        <row r="57">
          <cell r="A57" t="str">
            <v>1.3.1.2.04.01.2.0.000</v>
          </cell>
          <cell r="C57">
            <v>0</v>
          </cell>
        </row>
        <row r="58">
          <cell r="A58" t="str">
            <v>1.3.1.2.04.09.0.0.000</v>
          </cell>
          <cell r="C58">
            <v>500000</v>
          </cell>
        </row>
        <row r="61">
          <cell r="A61" t="str">
            <v>1.3.1.2.05.01.1.0.000</v>
          </cell>
          <cell r="C61">
            <v>720000000</v>
          </cell>
        </row>
        <row r="62">
          <cell r="C62">
            <v>866495000</v>
          </cell>
        </row>
        <row r="63">
          <cell r="C63">
            <v>190000000</v>
          </cell>
        </row>
        <row r="64">
          <cell r="A64" t="str">
            <v>1.3.1.2.05.02.1.0.000</v>
          </cell>
        </row>
        <row r="67">
          <cell r="A67" t="str">
            <v>1.3.1.2.05.04.1.0.000</v>
          </cell>
          <cell r="C67">
            <v>4100000000</v>
          </cell>
        </row>
        <row r="68">
          <cell r="A68" t="str">
            <v>1.3.1.2.05.04.2.0.000</v>
          </cell>
          <cell r="C68">
            <v>660000000</v>
          </cell>
        </row>
        <row r="69">
          <cell r="A69" t="str">
            <v>1.3.1.2.05.04.4.0.000</v>
          </cell>
          <cell r="C69">
            <v>290000000</v>
          </cell>
        </row>
        <row r="70">
          <cell r="A70" t="str">
            <v>1.3.1.2.05.04.5.0.000</v>
          </cell>
          <cell r="C70">
            <v>28400000</v>
          </cell>
        </row>
        <row r="71">
          <cell r="A71" t="str">
            <v>1.3.1.2.05.09.9.0.000</v>
          </cell>
          <cell r="B71" t="str">
            <v>Venta de otros servicios comunitarios</v>
          </cell>
          <cell r="C71">
            <v>194784000</v>
          </cell>
        </row>
        <row r="73">
          <cell r="A73" t="str">
            <v>1.3.1.2.09.09.0.0.000</v>
          </cell>
          <cell r="C73">
            <v>10000000</v>
          </cell>
        </row>
        <row r="78">
          <cell r="A78" t="str">
            <v>1.3.1.3.01.01.1.0.000</v>
          </cell>
          <cell r="C78">
            <v>145000000</v>
          </cell>
        </row>
        <row r="81">
          <cell r="A81" t="str">
            <v>1.3.1.3.02.03.1.0.000</v>
          </cell>
          <cell r="C81">
            <v>12000000</v>
          </cell>
        </row>
        <row r="88">
          <cell r="A88" t="str">
            <v>1.3.2.3.01.06.0.0.000</v>
          </cell>
          <cell r="C88">
            <v>850000000</v>
          </cell>
        </row>
        <row r="95">
          <cell r="A95" t="str">
            <v>1.3.3.1.01.01.0.0.000</v>
          </cell>
          <cell r="C95">
            <v>277500000</v>
          </cell>
        </row>
        <row r="97">
          <cell r="A97" t="str">
            <v>1.3.3.1.02.01.0.0.000</v>
          </cell>
          <cell r="C97">
            <v>200000000</v>
          </cell>
        </row>
        <row r="98">
          <cell r="A98" t="str">
            <v>1.3.3.1.09.00.0.0.000</v>
          </cell>
          <cell r="C98">
            <v>192100000</v>
          </cell>
        </row>
        <row r="103">
          <cell r="A103" t="str">
            <v>1.3.4.1.00.00.0.0.000</v>
          </cell>
          <cell r="C103">
            <v>700000000</v>
          </cell>
        </row>
        <row r="110">
          <cell r="A110" t="str">
            <v>1.4.1.2.01.00.0.0.000</v>
          </cell>
          <cell r="C110">
            <v>64800000</v>
          </cell>
        </row>
        <row r="111">
          <cell r="A111" t="str">
            <v>1.4.1.2.02,00.0.0.000</v>
          </cell>
          <cell r="B111" t="str">
            <v>Programas comites cantonales de la Persona Joven</v>
          </cell>
          <cell r="C111">
            <v>6500000</v>
          </cell>
        </row>
        <row r="113">
          <cell r="A113" t="str">
            <v>1.4.1.3.01.00.0.0.000</v>
          </cell>
          <cell r="C113">
            <v>65855157.04</v>
          </cell>
        </row>
        <row r="121">
          <cell r="A121" t="str">
            <v>2.1.2.1.01.00.0.0.000</v>
          </cell>
          <cell r="C121">
            <v>0</v>
          </cell>
        </row>
        <row r="126">
          <cell r="A126" t="str">
            <v>2.2.1.1.00.00.0.0.000</v>
          </cell>
          <cell r="C126">
            <v>4000000</v>
          </cell>
        </row>
        <row r="133">
          <cell r="A133" t="str">
            <v>2.4.1.1.01.00.0.0.000</v>
          </cell>
          <cell r="C133">
            <v>1155409803.79</v>
          </cell>
        </row>
        <row r="134">
          <cell r="A134" t="str">
            <v>2.4.1.1.02.00.0.0.000</v>
          </cell>
          <cell r="B134" t="str">
            <v>Ley 8316 Fondo de Alcantarillados</v>
          </cell>
          <cell r="C134">
            <v>620800000</v>
          </cell>
        </row>
        <row r="137">
          <cell r="A137" t="str">
            <v>2.4.1.2.01.00.0.0.001</v>
          </cell>
          <cell r="B137" t="str">
            <v>Fondo de Desarrollo Social y Asignaciones Familiares</v>
          </cell>
          <cell r="C137">
            <v>0</v>
          </cell>
        </row>
        <row r="141">
          <cell r="A141" t="str">
            <v>2.4.1.3.01.00.0.0.001</v>
          </cell>
          <cell r="C141">
            <v>18622019.98</v>
          </cell>
        </row>
        <row r="147">
          <cell r="A147" t="str">
            <v>2,4.3,1,00,00,0,0,001</v>
          </cell>
          <cell r="B147" t="str">
            <v>Aporte de Cooperación Alemana</v>
          </cell>
          <cell r="C147">
            <v>0</v>
          </cell>
        </row>
        <row r="153">
          <cell r="A153" t="str">
            <v>3.1.1.6.01.00.0.0.000</v>
          </cell>
          <cell r="B153" t="str">
            <v>Banco Popular </v>
          </cell>
          <cell r="C153">
            <v>0</v>
          </cell>
        </row>
        <row r="156">
          <cell r="A156" t="str">
            <v>3.3.1.0.00.00.0.0.000</v>
          </cell>
          <cell r="B156" t="str">
            <v>Superavit Libre</v>
          </cell>
          <cell r="C156">
            <v>1234000000</v>
          </cell>
        </row>
        <row r="161">
          <cell r="D161">
            <v>29140515980.81</v>
          </cell>
        </row>
      </sheetData>
      <sheetData sheetId="1">
        <row r="17">
          <cell r="H17">
            <v>6300000000</v>
          </cell>
        </row>
        <row r="25">
          <cell r="H25">
            <v>135000000</v>
          </cell>
        </row>
        <row r="32">
          <cell r="H32">
            <v>4500000</v>
          </cell>
        </row>
        <row r="39">
          <cell r="H39">
            <v>600000000</v>
          </cell>
        </row>
        <row r="46">
          <cell r="H46">
            <v>150000000</v>
          </cell>
        </row>
        <row r="53">
          <cell r="H53">
            <v>750000</v>
          </cell>
        </row>
        <row r="60">
          <cell r="H60">
            <v>4700000000</v>
          </cell>
        </row>
        <row r="67">
          <cell r="H67">
            <v>625000000</v>
          </cell>
        </row>
        <row r="74">
          <cell r="H74">
            <v>91500000</v>
          </cell>
        </row>
        <row r="81">
          <cell r="H81">
            <v>3650000000</v>
          </cell>
        </row>
        <row r="88">
          <cell r="H88">
            <v>277000000</v>
          </cell>
        </row>
        <row r="95">
          <cell r="H95">
            <v>500000</v>
          </cell>
        </row>
        <row r="102">
          <cell r="H102">
            <v>720000000</v>
          </cell>
        </row>
        <row r="109">
          <cell r="H109">
            <v>866495000</v>
          </cell>
        </row>
        <row r="116">
          <cell r="H116">
            <v>190000000</v>
          </cell>
        </row>
        <row r="130">
          <cell r="H130">
            <v>4100000000</v>
          </cell>
        </row>
        <row r="137">
          <cell r="H137">
            <v>660000000</v>
          </cell>
        </row>
        <row r="144">
          <cell r="H144">
            <v>290000000</v>
          </cell>
        </row>
        <row r="151">
          <cell r="H151">
            <v>28400000</v>
          </cell>
        </row>
        <row r="158">
          <cell r="H158">
            <v>194784000</v>
          </cell>
        </row>
        <row r="166">
          <cell r="H166">
            <v>10000000</v>
          </cell>
        </row>
        <row r="173">
          <cell r="H173">
            <v>145000000</v>
          </cell>
        </row>
        <row r="180">
          <cell r="H180">
            <v>12000000</v>
          </cell>
        </row>
        <row r="189">
          <cell r="H189">
            <v>850000000</v>
          </cell>
        </row>
        <row r="196">
          <cell r="H196">
            <v>277500000</v>
          </cell>
        </row>
        <row r="202">
          <cell r="H202">
            <v>200000000</v>
          </cell>
        </row>
        <row r="209">
          <cell r="H209">
            <v>192100000</v>
          </cell>
        </row>
        <row r="216">
          <cell r="H216">
            <v>700000000</v>
          </cell>
        </row>
        <row r="223">
          <cell r="H223">
            <v>64800000</v>
          </cell>
        </row>
        <row r="230">
          <cell r="H230">
            <v>6500000</v>
          </cell>
        </row>
        <row r="237">
          <cell r="H237">
            <v>65855157.04</v>
          </cell>
        </row>
        <row r="244">
          <cell r="H244">
            <v>4000000</v>
          </cell>
        </row>
        <row r="251">
          <cell r="H251">
            <v>1155409803.79</v>
          </cell>
        </row>
        <row r="258">
          <cell r="H258">
            <v>620800000</v>
          </cell>
        </row>
        <row r="265">
          <cell r="H265">
            <v>18622019.98</v>
          </cell>
        </row>
        <row r="272">
          <cell r="H272">
            <v>0</v>
          </cell>
        </row>
        <row r="274">
          <cell r="G274">
            <v>0</v>
          </cell>
        </row>
      </sheetData>
      <sheetData sheetId="2">
        <row r="7">
          <cell r="E7">
            <v>29140515980.80864</v>
          </cell>
        </row>
      </sheetData>
      <sheetData sheetId="3">
        <row r="8">
          <cell r="E8">
            <v>5034390120.714888</v>
          </cell>
        </row>
        <row r="10">
          <cell r="E10">
            <v>1568337439.5338998</v>
          </cell>
        </row>
        <row r="12">
          <cell r="E12">
            <v>112711444.08</v>
          </cell>
        </row>
        <row r="14">
          <cell r="E14">
            <v>0</v>
          </cell>
        </row>
        <row r="16">
          <cell r="E16">
            <v>147095264.273</v>
          </cell>
        </row>
        <row r="18">
          <cell r="E18">
            <v>2891894796.1188073</v>
          </cell>
        </row>
        <row r="22">
          <cell r="B22" t="str">
            <v>Organo Normalización Técnica M.de Hacienda </v>
          </cell>
        </row>
        <row r="24">
          <cell r="B24" t="str">
            <v>Aporte Junta Admva.Registro Nac. Ley 7509y 7729</v>
          </cell>
        </row>
        <row r="25">
          <cell r="B25" t="str">
            <v>CONAGEBIO (10% de la Ley 7788)</v>
          </cell>
          <cell r="E25">
            <v>9150000</v>
          </cell>
        </row>
        <row r="26">
          <cell r="B26" t="str">
            <v>Fondo para Parques Nacionales</v>
          </cell>
          <cell r="E26">
            <v>57645000</v>
          </cell>
        </row>
        <row r="28">
          <cell r="B28" t="str">
            <v>Aporte a IFAM, Ley Nº 7509 </v>
          </cell>
        </row>
        <row r="29">
          <cell r="B29" t="str">
            <v>Juntas de Educación, Ley 7509 y 7729</v>
          </cell>
        </row>
        <row r="30">
          <cell r="B30" t="str">
            <v>Consejo Nacionala de Personas con Discapacidad</v>
          </cell>
          <cell r="E30">
            <v>133755530.8851</v>
          </cell>
        </row>
        <row r="32">
          <cell r="B32" t="str">
            <v>Comité Cantonal Deportes y Recreación </v>
          </cell>
          <cell r="E32">
            <v>822533185.3106</v>
          </cell>
        </row>
        <row r="33">
          <cell r="E33">
            <v>80253318.53106</v>
          </cell>
        </row>
        <row r="34">
          <cell r="B34" t="str">
            <v>Unión Nacional de Gobiernos Locales</v>
          </cell>
          <cell r="E34">
            <v>61050561.51</v>
          </cell>
        </row>
        <row r="47">
          <cell r="B47" t="str">
            <v>Reintegros o devoluciones</v>
          </cell>
          <cell r="E47">
            <v>500000000</v>
          </cell>
        </row>
      </sheetData>
      <sheetData sheetId="4">
        <row r="8">
          <cell r="E8">
            <v>3938284125.2349105</v>
          </cell>
        </row>
        <row r="10">
          <cell r="E10">
            <v>5530219300.2699</v>
          </cell>
        </row>
        <row r="12">
          <cell r="E12">
            <v>361025856.1</v>
          </cell>
        </row>
        <row r="14">
          <cell r="E14">
            <v>550500000</v>
          </cell>
        </row>
        <row r="16">
          <cell r="E16">
            <v>872302803.48</v>
          </cell>
        </row>
        <row r="18">
          <cell r="E18">
            <v>184544050.27</v>
          </cell>
        </row>
        <row r="31">
          <cell r="E31">
            <v>285000000</v>
          </cell>
        </row>
      </sheetData>
      <sheetData sheetId="5">
        <row r="8">
          <cell r="E8">
            <v>1546027585.6218052</v>
          </cell>
        </row>
        <row r="10">
          <cell r="E10">
            <v>409716451.421425</v>
          </cell>
        </row>
        <row r="12">
          <cell r="E12">
            <v>619332077.94</v>
          </cell>
        </row>
        <row r="16">
          <cell r="E16">
            <v>3146739154.2500005</v>
          </cell>
        </row>
        <row r="18">
          <cell r="E18">
            <v>71095350.01</v>
          </cell>
        </row>
        <row r="27">
          <cell r="E27">
            <v>1867850760.6299999</v>
          </cell>
        </row>
        <row r="29">
          <cell r="B29" t="str">
            <v>Transferencias de Capital al Gobierno Central</v>
          </cell>
        </row>
        <row r="33">
          <cell r="B33" t="str">
            <v>IFAM Ley 7509</v>
          </cell>
        </row>
        <row r="36">
          <cell r="B36" t="str">
            <v>Fondo de Desarrollo Municipal Ley 7509</v>
          </cell>
        </row>
        <row r="43">
          <cell r="E43">
            <v>3449400.86</v>
          </cell>
        </row>
      </sheetData>
      <sheetData sheetId="6">
        <row r="8">
          <cell r="E8">
            <v>6734889543.237351</v>
          </cell>
        </row>
        <row r="10">
          <cell r="E10">
            <v>330741660.9734828</v>
          </cell>
        </row>
        <row r="12">
          <cell r="E12">
            <v>142410264.273</v>
          </cell>
        </row>
        <row r="16">
          <cell r="E16">
            <v>9754429064.720594</v>
          </cell>
        </row>
      </sheetData>
      <sheetData sheetId="7">
        <row r="11">
          <cell r="B11" t="str">
            <v>Aseo de Vías y Sitios Públicos</v>
          </cell>
          <cell r="C11">
            <v>620258700.00261</v>
          </cell>
        </row>
        <row r="13">
          <cell r="B13" t="str">
            <v>Recolección de Basuras</v>
          </cell>
          <cell r="C13">
            <v>3667146446.337099</v>
          </cell>
        </row>
        <row r="15">
          <cell r="B15" t="str">
            <v>Parques Obras de Ornato</v>
          </cell>
          <cell r="C15">
            <v>231999999.99926797</v>
          </cell>
        </row>
        <row r="17">
          <cell r="C17">
            <v>2668001892.0649877</v>
          </cell>
        </row>
        <row r="19">
          <cell r="B19" t="str">
            <v>Mercados, Plazas y Ferias</v>
          </cell>
          <cell r="C19">
            <v>303517463.7038135</v>
          </cell>
        </row>
        <row r="21">
          <cell r="B21" t="str">
            <v>Educativos, Culturales y Deportivos</v>
          </cell>
        </row>
        <row r="23">
          <cell r="B23" t="str">
            <v>Servicios Sociales Complementarios</v>
          </cell>
        </row>
        <row r="25">
          <cell r="B25" t="str">
            <v>Estacionamientos y Terminales</v>
          </cell>
          <cell r="C25">
            <v>228499999.99810413</v>
          </cell>
        </row>
        <row r="27">
          <cell r="B27" t="str">
            <v>Alcantarillados Sanitarios</v>
          </cell>
          <cell r="C27">
            <v>660599999.9993863</v>
          </cell>
        </row>
        <row r="29">
          <cell r="B29" t="str">
            <v>Reparaciones Menores de Maquinaria y Equipo</v>
          </cell>
        </row>
        <row r="31">
          <cell r="B31" t="str">
            <v>Seguridad y Vigilancia en la Comunidad</v>
          </cell>
        </row>
        <row r="33">
          <cell r="B33" t="str">
            <v>Protección del Medio Ambiente</v>
          </cell>
        </row>
        <row r="37">
          <cell r="B37" t="str">
            <v>Atención Emergencias Cantonales</v>
          </cell>
        </row>
        <row r="39">
          <cell r="B39" t="str">
            <v>Por incumplimiento de Deberes de los Propietarios BI</v>
          </cell>
          <cell r="C39">
            <v>132423586.39635022</v>
          </cell>
        </row>
        <row r="41">
          <cell r="B41" t="str">
            <v>Alcantarillado Pluvial</v>
          </cell>
          <cell r="C41">
            <v>1142095500.0018082</v>
          </cell>
        </row>
        <row r="43">
          <cell r="B43" t="str">
            <v>Aporte en Especie para Servicios Y Proyectos Comunitarios</v>
          </cell>
        </row>
        <row r="44">
          <cell r="C44">
            <v>11721876135.354809</v>
          </cell>
        </row>
      </sheetData>
      <sheetData sheetId="8">
        <row r="13">
          <cell r="B13" t="str">
            <v>Contrucción de Cancha Multiusos en Calle Arriba San Rafael</v>
          </cell>
          <cell r="C13">
            <v>12000000</v>
          </cell>
        </row>
        <row r="14">
          <cell r="B14" t="str">
            <v>Mejoramiento de Infraestructura CENCINAI el Erizo</v>
          </cell>
          <cell r="C14">
            <v>15000000</v>
          </cell>
        </row>
        <row r="15">
          <cell r="B15" t="str">
            <v>Mejoras CENCINAI  la Garita</v>
          </cell>
          <cell r="C15">
            <v>10000000</v>
          </cell>
        </row>
        <row r="16">
          <cell r="B16" t="str">
            <v>Mejoramiento de Infraestructura CENCINAI de la Guácima</v>
          </cell>
          <cell r="C16">
            <v>15000000</v>
          </cell>
        </row>
        <row r="17">
          <cell r="B17" t="str">
            <v>Mejoras en la infraestructura del CENCINAI de Villa Bonita</v>
          </cell>
          <cell r="C17">
            <v>24844177.26</v>
          </cell>
        </row>
        <row r="18">
          <cell r="B18" t="str">
            <v> Mejoras Infraestructura CENCINAI de Ciruelas San Antonio</v>
          </cell>
          <cell r="C18">
            <v>24844177.27</v>
          </cell>
        </row>
        <row r="19">
          <cell r="B19" t="str">
            <v>Mejoras en el Cementerio de San Rafael </v>
          </cell>
          <cell r="C19">
            <v>10000000</v>
          </cell>
        </row>
        <row r="20">
          <cell r="B20" t="str">
            <v>Construcción salón multiuso Urbanización La Paz</v>
          </cell>
          <cell r="C20">
            <v>10000000</v>
          </cell>
        </row>
        <row r="21">
          <cell r="B21" t="str">
            <v> Construcción de gimnasio multiuso de Occidente</v>
          </cell>
          <cell r="C21">
            <v>15000000</v>
          </cell>
        </row>
        <row r="22">
          <cell r="B22" t="str">
            <v>Salón Multiuso en Urbanización La Perla del Distrito de San Rafael</v>
          </cell>
          <cell r="C22">
            <v>15000000</v>
          </cell>
        </row>
        <row r="23">
          <cell r="B23" t="str">
            <v>Construcción Salón Comunal Urbanización Las Abras Distrito de San Rafael</v>
          </cell>
          <cell r="C23">
            <v>20000000</v>
          </cell>
        </row>
        <row r="24">
          <cell r="B24" t="str">
            <v>Construcción Salón multiuso Urbanización San Gerardo, Distrito de San Rafael</v>
          </cell>
          <cell r="C24">
            <v>20000000</v>
          </cell>
        </row>
        <row r="25">
          <cell r="B25" t="str">
            <v>Construcción Centro de Cuidados Paliativos de San Rafael de Alajuela</v>
          </cell>
          <cell r="C25">
            <v>20000000</v>
          </cell>
        </row>
        <row r="41">
          <cell r="C41">
            <v>811186286.4902471</v>
          </cell>
        </row>
        <row r="42">
          <cell r="B42" t="str">
            <v>Mantenimeiento Rutinario de la Red Vial Cantonal</v>
          </cell>
          <cell r="C42">
            <v>0</v>
          </cell>
        </row>
        <row r="43">
          <cell r="C43">
            <v>1598278331.1100001</v>
          </cell>
        </row>
        <row r="44">
          <cell r="B44" t="str">
            <v>Construcción de Aceras peatonales Canoas</v>
          </cell>
          <cell r="C44">
            <v>100000000</v>
          </cell>
        </row>
        <row r="45">
          <cell r="B45" t="str">
            <v>Asfaltado de Urbanización San Gerardo En San Rafael</v>
          </cell>
          <cell r="C45">
            <v>0</v>
          </cell>
        </row>
        <row r="46">
          <cell r="B46" t="str">
            <v>Carpeta Asfaltica en Urbanización las Melisas</v>
          </cell>
          <cell r="C46">
            <v>0</v>
          </cell>
        </row>
        <row r="69">
          <cell r="B69" t="str">
            <v>Ley 8316 Mejoramiento Pluvial Calle Los Perfumes</v>
          </cell>
          <cell r="C69">
            <v>100550000</v>
          </cell>
        </row>
        <row r="70">
          <cell r="B70" t="str">
            <v>Cambio Previstas Calle Loría y Tuetal Norte</v>
          </cell>
          <cell r="C70">
            <v>141000000</v>
          </cell>
        </row>
        <row r="71">
          <cell r="B71" t="str">
            <v>Cambio de Red de Distribución Providencia</v>
          </cell>
          <cell r="C71">
            <v>60000000</v>
          </cell>
        </row>
        <row r="72">
          <cell r="B72" t="str">
            <v>Cambio de Red de Distribución Piedras Negras </v>
          </cell>
          <cell r="C72">
            <v>60000000</v>
          </cell>
        </row>
        <row r="73">
          <cell r="B73" t="str">
            <v>Cambio de Tubería Descarga Pozos</v>
          </cell>
          <cell r="C73">
            <v>15000000</v>
          </cell>
        </row>
        <row r="74">
          <cell r="B74" t="str">
            <v>Caseta de Desinfección Tanque Guadalupe</v>
          </cell>
          <cell r="C74">
            <v>55000000</v>
          </cell>
        </row>
        <row r="75">
          <cell r="B75" t="str">
            <v>Casta Desinfección Tanque Itiquis</v>
          </cell>
          <cell r="C75">
            <v>60000000</v>
          </cell>
        </row>
        <row r="76">
          <cell r="B76" t="str">
            <v>Plan Reforestación</v>
          </cell>
          <cell r="C76">
            <v>50000000</v>
          </cell>
        </row>
        <row r="77">
          <cell r="B77" t="str">
            <v>Protección de Nciemntes</v>
          </cell>
          <cell r="C77">
            <v>63000000</v>
          </cell>
        </row>
        <row r="78">
          <cell r="B78" t="str">
            <v>Mejoras Sistema Tuetal Norte Sur y Calle Loria</v>
          </cell>
          <cell r="C78">
            <v>101000000</v>
          </cell>
        </row>
        <row r="79">
          <cell r="B79" t="str">
            <v>Plan Operación Mantenimiento y Des.Sistema de Acueducto 2018-2022</v>
          </cell>
          <cell r="C79">
            <v>186998107.94</v>
          </cell>
        </row>
        <row r="80">
          <cell r="B80" t="str">
            <v>Plan Operación Matenimiento y Desarrollo del Sistema de Recolección y Tratamiemto de Aguas Residuales</v>
          </cell>
          <cell r="C80">
            <v>145400000</v>
          </cell>
        </row>
        <row r="97">
          <cell r="B97" t="str">
            <v>Dierección Técnica y Estudio</v>
          </cell>
          <cell r="C97">
            <v>1466188106.6706908</v>
          </cell>
        </row>
        <row r="98">
          <cell r="C98">
            <v>144220440.23229253</v>
          </cell>
        </row>
        <row r="99">
          <cell r="B99" t="str">
            <v>Plan de Dearrollo Informático</v>
          </cell>
          <cell r="C99">
            <v>100000000</v>
          </cell>
        </row>
        <row r="100">
          <cell r="B100" t="str">
            <v>Implementación del Plan Municipal para la Gestión Integral de Residuos Sólidos</v>
          </cell>
          <cell r="C100">
            <v>22853553.66</v>
          </cell>
        </row>
        <row r="101">
          <cell r="B101" t="str">
            <v>Alajuela Ciudad Segura</v>
          </cell>
          <cell r="C101">
            <v>37000000</v>
          </cell>
        </row>
        <row r="102">
          <cell r="B102" t="str">
            <v>Plan Mercadeo Turistico de Alajuela</v>
          </cell>
          <cell r="C102">
            <v>30000000</v>
          </cell>
        </row>
        <row r="103">
          <cell r="B103" t="str">
            <v>Instalación de juegos infantiles de Urbanización la Melisas</v>
          </cell>
          <cell r="C103">
            <v>10000000</v>
          </cell>
        </row>
        <row r="104">
          <cell r="B104" t="str">
            <v>Jardinería en los Parques de los  Distrito Alajuela</v>
          </cell>
          <cell r="C104">
            <v>29000000</v>
          </cell>
        </row>
        <row r="105">
          <cell r="B105" t="str">
            <v>Mejoras Parque Multiusos Urbanizción Las Palmas</v>
          </cell>
          <cell r="C105">
            <v>10000000</v>
          </cell>
        </row>
        <row r="106">
          <cell r="B106" t="str">
            <v>Mejora áreas recreativas Urbanización Silvia Eugenia</v>
          </cell>
          <cell r="C106">
            <v>20000000</v>
          </cell>
        </row>
        <row r="107">
          <cell r="B107" t="str">
            <v>Compra de Terreno para Salón Comunal Río Segundo</v>
          </cell>
          <cell r="C107">
            <v>100000000</v>
          </cell>
        </row>
        <row r="108">
          <cell r="B108" t="str">
            <v>Equipamiento parque infantil urbanización Sacramento</v>
          </cell>
          <cell r="C108">
            <v>10000000</v>
          </cell>
        </row>
        <row r="109">
          <cell r="B109" t="str">
            <v> Mejoras en la cancha multiuso de la Urbanización María Auxiliadora, Distrito de San Rafael</v>
          </cell>
          <cell r="C109">
            <v>10000000</v>
          </cell>
        </row>
        <row r="110">
          <cell r="B110" t="str">
            <v> Mejoramiento plaza de deportes INVU Las Cañas de Desamparado</v>
          </cell>
          <cell r="C110">
            <v>22000000</v>
          </cell>
        </row>
        <row r="111">
          <cell r="B111" t="str">
            <v>Mejoras infraestructura en cancha de futbol de la Urbanización Gregorio José Ramírez, Montecillos</v>
          </cell>
          <cell r="C111">
            <v>22547438.61</v>
          </cell>
        </row>
        <row r="112">
          <cell r="B112" t="str">
            <v>III-06-16</v>
          </cell>
          <cell r="C112">
            <v>0</v>
          </cell>
        </row>
        <row r="113">
          <cell r="B113" t="str">
            <v>III-06-17</v>
          </cell>
          <cell r="C113">
            <v>0</v>
          </cell>
        </row>
        <row r="114">
          <cell r="B114" t="str">
            <v>III-06-18</v>
          </cell>
        </row>
      </sheetData>
      <sheetData sheetId="9">
        <row r="12">
          <cell r="E12">
            <v>26258700</v>
          </cell>
        </row>
        <row r="16">
          <cell r="E16">
            <v>42967463.7</v>
          </cell>
        </row>
        <row r="17">
          <cell r="E17">
            <v>178150979.39</v>
          </cell>
        </row>
        <row r="18">
          <cell r="E18">
            <v>630555686</v>
          </cell>
        </row>
        <row r="19">
          <cell r="E19">
            <v>98000000</v>
          </cell>
        </row>
        <row r="20">
          <cell r="E20">
            <v>0</v>
          </cell>
        </row>
        <row r="21">
          <cell r="E21">
            <v>49015913.66</v>
          </cell>
        </row>
        <row r="22">
          <cell r="E22">
            <v>650024137.5600001</v>
          </cell>
        </row>
        <row r="23">
          <cell r="E23">
            <v>149001040.47</v>
          </cell>
        </row>
        <row r="25">
          <cell r="E25">
            <v>56538935.46</v>
          </cell>
        </row>
        <row r="26">
          <cell r="E26">
            <v>76863586.4</v>
          </cell>
        </row>
        <row r="65">
          <cell r="H65">
            <v>19000000</v>
          </cell>
        </row>
        <row r="128">
          <cell r="H128">
            <v>150000000</v>
          </cell>
        </row>
        <row r="136">
          <cell r="H136">
            <v>3684450584.21</v>
          </cell>
        </row>
        <row r="217">
          <cell r="H217">
            <v>16218887802.734798</v>
          </cell>
        </row>
      </sheetData>
      <sheetData sheetId="10">
        <row r="15">
          <cell r="I15">
            <v>630000000</v>
          </cell>
        </row>
        <row r="18">
          <cell r="I18">
            <v>189000000</v>
          </cell>
        </row>
        <row r="21">
          <cell r="I21">
            <v>63000000</v>
          </cell>
        </row>
        <row r="539">
          <cell r="I539">
            <v>12921628178.075201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STIMACION"/>
      <sheetName val="JUSTIFICACION"/>
    </sheetNames>
    <sheetDataSet>
      <sheetData sheetId="1">
        <row r="146">
          <cell r="H146">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og I"/>
      <sheetName val="AUDITORIA"/>
      <sheetName val="Prog II"/>
      <sheetName val="II-7"/>
      <sheetName val="II-09"/>
      <sheetName val="II-10"/>
      <sheetName val="II-11"/>
      <sheetName val="II-23"/>
      <sheetName val="II-25"/>
      <sheetName val="II-30"/>
      <sheetName val="Prog III"/>
      <sheetName val="Edificio"/>
      <sheetName val="Vias de Comunicación"/>
      <sheetName val="III-02-01"/>
      <sheetName val="III-02-02"/>
      <sheetName val="III-02-03"/>
      <sheetName val="Instalaciones "/>
      <sheetName val="Otros Proyectos"/>
      <sheetName val="III-06-01"/>
      <sheetName val="Remuneraciones"/>
    </sheetNames>
    <sheetDataSet>
      <sheetData sheetId="13">
        <row r="180">
          <cell r="D180">
            <v>125000000</v>
          </cell>
        </row>
      </sheetData>
      <sheetData sheetId="19">
        <row r="38">
          <cell r="AA38">
            <v>86025582.8204738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63"/>
  <sheetViews>
    <sheetView view="pageBreakPreview" zoomScale="60" zoomScaleNormal="75" zoomScalePageLayoutView="0" workbookViewId="0" topLeftCell="A70">
      <selection activeCell="C29" sqref="C29"/>
    </sheetView>
  </sheetViews>
  <sheetFormatPr defaultColWidth="11.421875" defaultRowHeight="12.75"/>
  <cols>
    <col min="1" max="1" width="26.28125" style="0" bestFit="1" customWidth="1"/>
    <col min="2" max="2" width="52.7109375" style="0" customWidth="1"/>
    <col min="3" max="3" width="23.7109375" style="0" bestFit="1" customWidth="1"/>
    <col min="4" max="4" width="24.00390625" style="0" bestFit="1" customWidth="1"/>
    <col min="5" max="5" width="9.8515625" style="0" bestFit="1" customWidth="1"/>
  </cols>
  <sheetData>
    <row r="1" spans="1:5" ht="12.75">
      <c r="A1" s="504" t="s">
        <v>0</v>
      </c>
      <c r="B1" s="505"/>
      <c r="C1" s="505"/>
      <c r="D1" s="505"/>
      <c r="E1" s="506"/>
    </row>
    <row r="2" spans="1:6" ht="12.75">
      <c r="A2" s="507" t="s">
        <v>1</v>
      </c>
      <c r="B2" s="508"/>
      <c r="C2" s="508"/>
      <c r="D2" s="508"/>
      <c r="E2" s="509"/>
      <c r="F2" s="204"/>
    </row>
    <row r="3" spans="1:6" ht="12.75">
      <c r="A3" s="507" t="s">
        <v>552</v>
      </c>
      <c r="B3" s="508"/>
      <c r="C3" s="508"/>
      <c r="D3" s="508"/>
      <c r="E3" s="510"/>
      <c r="F3" s="204"/>
    </row>
    <row r="4" spans="1:6" ht="12.75">
      <c r="A4" s="507"/>
      <c r="B4" s="511"/>
      <c r="C4" s="511"/>
      <c r="D4" s="511"/>
      <c r="E4" s="509"/>
      <c r="F4" s="204"/>
    </row>
    <row r="5" spans="1:6" ht="12.75">
      <c r="A5" s="507" t="s">
        <v>2</v>
      </c>
      <c r="B5" s="508"/>
      <c r="C5" s="508"/>
      <c r="D5" s="508"/>
      <c r="E5" s="510"/>
      <c r="F5" s="204"/>
    </row>
    <row r="6" spans="1:5" ht="13.5" thickBot="1">
      <c r="A6" s="324"/>
      <c r="B6" s="320"/>
      <c r="C6" s="320"/>
      <c r="D6" s="320"/>
      <c r="E6" s="325"/>
    </row>
    <row r="7" spans="1:5" ht="13.5" thickBot="1">
      <c r="A7" s="326" t="s">
        <v>3</v>
      </c>
      <c r="B7" s="48" t="s">
        <v>4</v>
      </c>
      <c r="C7" s="48" t="s">
        <v>5</v>
      </c>
      <c r="D7" s="48" t="s">
        <v>6</v>
      </c>
      <c r="E7" s="50" t="s">
        <v>7</v>
      </c>
    </row>
    <row r="8" spans="1:5" ht="12.75">
      <c r="A8" s="31"/>
      <c r="B8" s="32"/>
      <c r="C8" s="32"/>
      <c r="D8" s="32"/>
      <c r="E8" s="33"/>
    </row>
    <row r="9" spans="1:5" ht="12.75">
      <c r="A9" s="5" t="s">
        <v>8</v>
      </c>
      <c r="B9" s="6" t="s">
        <v>9</v>
      </c>
      <c r="C9" s="7"/>
      <c r="D9" s="8">
        <f>SUM(D11+D44+D111)</f>
        <v>16865105593</v>
      </c>
      <c r="E9" s="9">
        <f>SUM(D9*100)/$D$163</f>
        <v>90.27489675591536</v>
      </c>
    </row>
    <row r="10" spans="1:5" ht="12.75">
      <c r="A10" s="1"/>
      <c r="B10" s="2" t="s">
        <v>10</v>
      </c>
      <c r="C10" s="2"/>
      <c r="D10" s="2"/>
      <c r="E10" s="4"/>
    </row>
    <row r="11" spans="1:5" ht="12.75">
      <c r="A11" s="5" t="s">
        <v>11</v>
      </c>
      <c r="B11" s="6" t="s">
        <v>12</v>
      </c>
      <c r="C11" s="7"/>
      <c r="D11" s="8">
        <f>SUM(D13+D37+D19)</f>
        <v>9282700000</v>
      </c>
      <c r="E11" s="9">
        <f>SUM(D11*100)/$D$163</f>
        <v>49.688084044012875</v>
      </c>
    </row>
    <row r="12" spans="1:5" ht="12.75">
      <c r="A12" s="1"/>
      <c r="B12" s="2"/>
      <c r="C12" s="2"/>
      <c r="D12" s="2"/>
      <c r="E12" s="4"/>
    </row>
    <row r="13" spans="1:5" ht="12.75">
      <c r="A13" s="5" t="s">
        <v>13</v>
      </c>
      <c r="B13" s="7" t="s">
        <v>14</v>
      </c>
      <c r="C13" s="7"/>
      <c r="D13" s="8">
        <f>+C15</f>
        <v>4450000000</v>
      </c>
      <c r="E13" s="9">
        <f>SUM(D13*100)/$D$163</f>
        <v>23.819791008635125</v>
      </c>
    </row>
    <row r="14" spans="1:5" ht="12.75">
      <c r="A14" s="1"/>
      <c r="B14" s="2"/>
      <c r="C14" s="2"/>
      <c r="D14" s="2"/>
      <c r="E14" s="4"/>
    </row>
    <row r="15" spans="1:5" s="194" customFormat="1" ht="12" customHeight="1">
      <c r="A15" s="10" t="s">
        <v>15</v>
      </c>
      <c r="B15" s="11" t="s">
        <v>16</v>
      </c>
      <c r="C15" s="12">
        <f>+C16+C17</f>
        <v>4450000000</v>
      </c>
      <c r="D15" s="13"/>
      <c r="E15" s="14">
        <f>SUM(C15*100)/$D$163</f>
        <v>23.819791008635125</v>
      </c>
    </row>
    <row r="16" spans="1:5" s="205" customFormat="1" ht="12.75">
      <c r="A16" s="15" t="s">
        <v>17</v>
      </c>
      <c r="B16" s="16" t="s">
        <v>18</v>
      </c>
      <c r="C16" s="17">
        <f>+'[1]JUSTIFICACION'!$H$24</f>
        <v>4450000000</v>
      </c>
      <c r="D16" s="16"/>
      <c r="E16" s="18">
        <f>SUM(C16*100)/$D$163</f>
        <v>23.819791008635125</v>
      </c>
    </row>
    <row r="17" spans="1:5" s="205" customFormat="1" ht="12.75" hidden="1">
      <c r="A17" s="15" t="s">
        <v>19</v>
      </c>
      <c r="B17" s="16" t="s">
        <v>20</v>
      </c>
      <c r="C17" s="17">
        <f>+'[1]JUSTIFICACION'!$H$32</f>
        <v>0</v>
      </c>
      <c r="D17" s="16"/>
      <c r="E17" s="18">
        <f>SUM(C17*100)/$D$163</f>
        <v>0</v>
      </c>
    </row>
    <row r="18" spans="1:5" ht="12.75">
      <c r="A18" s="1"/>
      <c r="B18" s="2"/>
      <c r="C18" s="2"/>
      <c r="D18" s="2"/>
      <c r="E18" s="4"/>
    </row>
    <row r="19" spans="1:5" ht="12.75">
      <c r="A19" s="5" t="s">
        <v>21</v>
      </c>
      <c r="B19" s="7" t="s">
        <v>22</v>
      </c>
      <c r="C19" s="7"/>
      <c r="D19" s="8">
        <f>+C21+C31</f>
        <v>4437700000</v>
      </c>
      <c r="E19" s="9">
        <f>SUM(D19*100)/$D$163</f>
        <v>23.753952035734855</v>
      </c>
    </row>
    <row r="20" spans="1:5" ht="12.75">
      <c r="A20" s="1"/>
      <c r="B20" s="2"/>
      <c r="C20" s="2"/>
      <c r="D20" s="2"/>
      <c r="E20" s="4"/>
    </row>
    <row r="21" spans="1:5" ht="35.25" customHeight="1">
      <c r="A21" s="10" t="s">
        <v>23</v>
      </c>
      <c r="B21" s="11" t="s">
        <v>24</v>
      </c>
      <c r="C21" s="19">
        <f>+C22+C28</f>
        <v>936200000</v>
      </c>
      <c r="D21" s="2"/>
      <c r="E21" s="14">
        <f aca="true" t="shared" si="0" ref="E21:E26">SUM(C21*100)/$D$163</f>
        <v>5.011255807254877</v>
      </c>
    </row>
    <row r="22" spans="1:5" ht="25.5">
      <c r="A22" s="10" t="s">
        <v>25</v>
      </c>
      <c r="B22" s="11" t="s">
        <v>26</v>
      </c>
      <c r="C22" s="19">
        <f>+C23+C24+C26</f>
        <v>916200000</v>
      </c>
      <c r="D22" s="2"/>
      <c r="E22" s="14">
        <f t="shared" si="0"/>
        <v>4.9042005667666295</v>
      </c>
    </row>
    <row r="23" spans="1:5" ht="25.5">
      <c r="A23" s="10" t="s">
        <v>27</v>
      </c>
      <c r="B23" s="20" t="s">
        <v>28</v>
      </c>
      <c r="C23" s="21">
        <f>+'[1]JUSTIFICACION'!$H$42</f>
        <v>115000000</v>
      </c>
      <c r="D23" s="2"/>
      <c r="E23" s="22">
        <f t="shared" si="0"/>
        <v>0.6155676328074247</v>
      </c>
    </row>
    <row r="24" spans="1:5" ht="10.5" customHeight="1">
      <c r="A24" s="10" t="s">
        <v>29</v>
      </c>
      <c r="B24" s="20" t="s">
        <v>30</v>
      </c>
      <c r="C24" s="21">
        <f>+C25</f>
        <v>1200000</v>
      </c>
      <c r="D24" s="2"/>
      <c r="E24" s="22">
        <f t="shared" si="0"/>
        <v>0.0064233144292948656</v>
      </c>
    </row>
    <row r="25" spans="1:5" s="205" customFormat="1" ht="12.75">
      <c r="A25" s="15" t="s">
        <v>29</v>
      </c>
      <c r="B25" s="16" t="s">
        <v>31</v>
      </c>
      <c r="C25" s="17">
        <f>+'[1]JUSTIFICACION'!$H$53</f>
        <v>1200000</v>
      </c>
      <c r="D25" s="16"/>
      <c r="E25" s="18">
        <f t="shared" si="0"/>
        <v>0.0064233144292948656</v>
      </c>
    </row>
    <row r="26" spans="1:5" ht="12.75">
      <c r="A26" s="10" t="s">
        <v>32</v>
      </c>
      <c r="B26" s="2" t="s">
        <v>33</v>
      </c>
      <c r="C26" s="21">
        <f>+'[1]JUSTIFICACION'!$H$62</f>
        <v>800000000</v>
      </c>
      <c r="D26" s="2"/>
      <c r="E26" s="22">
        <f t="shared" si="0"/>
        <v>4.28220961952991</v>
      </c>
    </row>
    <row r="27" spans="1:5" ht="12.75">
      <c r="A27" s="1"/>
      <c r="B27" s="2"/>
      <c r="C27" s="2"/>
      <c r="D27" s="2"/>
      <c r="E27" s="4"/>
    </row>
    <row r="28" spans="1:5" ht="25.5">
      <c r="A28" s="10" t="s">
        <v>34</v>
      </c>
      <c r="B28" s="11" t="s">
        <v>35</v>
      </c>
      <c r="C28" s="12">
        <f>+C29</f>
        <v>20000000</v>
      </c>
      <c r="D28" s="2"/>
      <c r="E28" s="14">
        <f>SUM(C28*100)/$D$163</f>
        <v>0.10705524048824776</v>
      </c>
    </row>
    <row r="29" spans="1:5" ht="25.5">
      <c r="A29" s="10" t="s">
        <v>36</v>
      </c>
      <c r="B29" s="20" t="s">
        <v>37</v>
      </c>
      <c r="C29" s="21">
        <f>+'[1]JUSTIFICACION'!$H$73</f>
        <v>20000000</v>
      </c>
      <c r="D29" s="2"/>
      <c r="E29" s="22">
        <f>SUM(C29*100)/$D$163</f>
        <v>0.10705524048824776</v>
      </c>
    </row>
    <row r="30" spans="1:5" ht="12.75">
      <c r="A30" s="10"/>
      <c r="B30" s="20"/>
      <c r="C30" s="21"/>
      <c r="D30" s="2"/>
      <c r="E30" s="22"/>
    </row>
    <row r="31" spans="1:5" ht="35.25" customHeight="1">
      <c r="A31" s="10" t="s">
        <v>38</v>
      </c>
      <c r="B31" s="11" t="s">
        <v>39</v>
      </c>
      <c r="C31" s="19">
        <f>+C32</f>
        <v>3501500000</v>
      </c>
      <c r="D31" s="2"/>
      <c r="E31" s="14">
        <f>SUM(C31*100)/$D$163</f>
        <v>18.742696228479975</v>
      </c>
    </row>
    <row r="32" spans="1:5" ht="35.25" customHeight="1">
      <c r="A32" s="10" t="s">
        <v>40</v>
      </c>
      <c r="B32" s="11" t="s">
        <v>453</v>
      </c>
      <c r="C32" s="19">
        <f>+C33+C34</f>
        <v>3501500000</v>
      </c>
      <c r="D32" s="2"/>
      <c r="E32" s="14">
        <f>SUM(C32*100)/$D$163</f>
        <v>18.742696228479975</v>
      </c>
    </row>
    <row r="33" spans="1:5" s="205" customFormat="1" ht="12.75">
      <c r="A33" s="15" t="s">
        <v>41</v>
      </c>
      <c r="B33" s="23" t="s">
        <v>42</v>
      </c>
      <c r="C33" s="17">
        <f>+'[1]JUSTIFICACION'!$H$83</f>
        <v>1500000</v>
      </c>
      <c r="D33" s="16"/>
      <c r="E33" s="18">
        <f>SUM(C33*100)/$D$163</f>
        <v>0.008029143036618582</v>
      </c>
    </row>
    <row r="34" spans="1:5" s="205" customFormat="1" ht="12.75">
      <c r="A34" s="15" t="s">
        <v>43</v>
      </c>
      <c r="B34" s="16" t="s">
        <v>44</v>
      </c>
      <c r="C34" s="17">
        <f>+'[1]JUSTIFICACION'!$H$94</f>
        <v>3500000000</v>
      </c>
      <c r="D34" s="16"/>
      <c r="E34" s="18">
        <f>SUM(C34*100)/$D$163</f>
        <v>18.73466708544336</v>
      </c>
    </row>
    <row r="35" spans="1:5" ht="12.75">
      <c r="A35" s="1"/>
      <c r="B35" s="2"/>
      <c r="C35" s="2"/>
      <c r="D35" s="2"/>
      <c r="E35" s="4"/>
    </row>
    <row r="36" spans="1:5" ht="12.75">
      <c r="A36" s="1"/>
      <c r="B36" s="2"/>
      <c r="C36" s="2"/>
      <c r="D36" s="2"/>
      <c r="E36" s="4"/>
    </row>
    <row r="37" spans="1:5" ht="12.75">
      <c r="A37" s="5" t="s">
        <v>45</v>
      </c>
      <c r="B37" s="7" t="s">
        <v>46</v>
      </c>
      <c r="C37" s="7"/>
      <c r="D37" s="8">
        <f>+C39</f>
        <v>395000000</v>
      </c>
      <c r="E37" s="9">
        <f>SUM(D37*100)/$D$163</f>
        <v>2.1143409996428932</v>
      </c>
    </row>
    <row r="38" spans="1:5" ht="12.75">
      <c r="A38" s="1"/>
      <c r="B38" s="2"/>
      <c r="C38" s="2"/>
      <c r="D38" s="2"/>
      <c r="E38" s="4"/>
    </row>
    <row r="39" spans="1:5" s="194" customFormat="1" ht="12.75">
      <c r="A39" s="10" t="s">
        <v>47</v>
      </c>
      <c r="B39" s="13" t="s">
        <v>48</v>
      </c>
      <c r="C39" s="12">
        <f>SUM(C40:C41)</f>
        <v>395000000</v>
      </c>
      <c r="D39" s="13"/>
      <c r="E39" s="14">
        <f>SUM(C39*100)/$D$163</f>
        <v>2.1143409996428932</v>
      </c>
    </row>
    <row r="40" spans="1:5" s="205" customFormat="1" ht="12.75">
      <c r="A40" s="10" t="s">
        <v>49</v>
      </c>
      <c r="B40" s="16" t="s">
        <v>50</v>
      </c>
      <c r="C40" s="17">
        <f>+'[1]JUSTIFICACION'!$H$106</f>
        <v>325000000</v>
      </c>
      <c r="D40" s="16"/>
      <c r="E40" s="18">
        <f>SUM(C40*100)/$D$163</f>
        <v>1.739647657934026</v>
      </c>
    </row>
    <row r="41" spans="1:5" s="205" customFormat="1" ht="12.75">
      <c r="A41" s="10" t="s">
        <v>51</v>
      </c>
      <c r="B41" s="16" t="s">
        <v>52</v>
      </c>
      <c r="C41" s="17">
        <f>+'[1]JUSTIFICACION'!$H$115</f>
        <v>70000000</v>
      </c>
      <c r="D41" s="16"/>
      <c r="E41" s="18">
        <f>SUM(C41*100)/$D$163</f>
        <v>0.37469334170886714</v>
      </c>
    </row>
    <row r="42" spans="1:5" ht="12.75">
      <c r="A42" s="1"/>
      <c r="B42" s="2"/>
      <c r="C42" s="2"/>
      <c r="D42" s="2"/>
      <c r="E42" s="4"/>
    </row>
    <row r="43" spans="1:5" ht="12.75">
      <c r="A43" s="1"/>
      <c r="B43" s="2"/>
      <c r="C43" s="2"/>
      <c r="D43" s="2"/>
      <c r="E43" s="4"/>
    </row>
    <row r="44" spans="1:5" ht="12.75">
      <c r="A44" s="5" t="s">
        <v>53</v>
      </c>
      <c r="B44" s="6" t="s">
        <v>54</v>
      </c>
      <c r="C44" s="7"/>
      <c r="D44" s="8">
        <f>+D46+D89+D96+D107</f>
        <v>7521200000</v>
      </c>
      <c r="E44" s="9">
        <f>SUM(D44*100)/$D$163</f>
        <v>40.25919373801045</v>
      </c>
    </row>
    <row r="45" spans="1:5" ht="12.75">
      <c r="A45" s="1"/>
      <c r="B45" s="2"/>
      <c r="C45" s="2"/>
      <c r="D45" s="2"/>
      <c r="E45" s="4"/>
    </row>
    <row r="46" spans="1:5" ht="12.75">
      <c r="A46" s="5" t="s">
        <v>55</v>
      </c>
      <c r="B46" s="7" t="s">
        <v>56</v>
      </c>
      <c r="C46" s="7"/>
      <c r="D46" s="8">
        <f>+D48+D52+D74</f>
        <v>6366200000</v>
      </c>
      <c r="E46" s="9">
        <f>SUM(D46*100)/$D$163</f>
        <v>34.07675359981415</v>
      </c>
    </row>
    <row r="47" spans="1:5" ht="12.75">
      <c r="A47" s="1"/>
      <c r="B47" s="2"/>
      <c r="C47" s="2"/>
      <c r="D47" s="2"/>
      <c r="E47" s="4"/>
    </row>
    <row r="48" spans="1:5" ht="12.75">
      <c r="A48" s="5" t="s">
        <v>57</v>
      </c>
      <c r="B48" s="7" t="s">
        <v>58</v>
      </c>
      <c r="C48" s="7"/>
      <c r="D48" s="8">
        <f>SUM(C50)</f>
        <v>2250000000</v>
      </c>
      <c r="E48" s="9">
        <f>SUM(D48*100)/$D$163</f>
        <v>12.043714554927874</v>
      </c>
    </row>
    <row r="49" spans="1:5" ht="12.75">
      <c r="A49" s="1"/>
      <c r="B49" s="2"/>
      <c r="C49" s="2"/>
      <c r="D49" s="2"/>
      <c r="E49" s="4"/>
    </row>
    <row r="50" spans="1:5" ht="12.75">
      <c r="A50" s="10" t="s">
        <v>59</v>
      </c>
      <c r="B50" s="13" t="s">
        <v>60</v>
      </c>
      <c r="C50" s="12">
        <f>+'[1]JUSTIFICACION'!$H$126</f>
        <v>2250000000</v>
      </c>
      <c r="D50" s="2"/>
      <c r="E50" s="14">
        <f>SUM(C50*100)/$D$163</f>
        <v>12.043714554927874</v>
      </c>
    </row>
    <row r="51" spans="1:5" ht="12.75">
      <c r="A51" s="1"/>
      <c r="B51" s="2"/>
      <c r="C51" s="2"/>
      <c r="D51" s="2"/>
      <c r="E51" s="4"/>
    </row>
    <row r="52" spans="1:5" ht="12.75">
      <c r="A52" s="5" t="s">
        <v>61</v>
      </c>
      <c r="B52" s="7" t="s">
        <v>62</v>
      </c>
      <c r="C52" s="7"/>
      <c r="D52" s="8">
        <f>+C54+C59+C71</f>
        <v>4000200000</v>
      </c>
      <c r="E52" s="9">
        <f>SUM(D52*100)/$D$163</f>
        <v>21.412118650054435</v>
      </c>
    </row>
    <row r="53" spans="1:5" ht="12.75">
      <c r="A53" s="1"/>
      <c r="B53" s="2"/>
      <c r="C53" s="2"/>
      <c r="D53" s="2"/>
      <c r="E53" s="4"/>
    </row>
    <row r="54" spans="1:5" s="194" customFormat="1" ht="12.75">
      <c r="A54" s="10" t="s">
        <v>63</v>
      </c>
      <c r="B54" s="13" t="s">
        <v>64</v>
      </c>
      <c r="C54" s="19">
        <f>+C55+C58</f>
        <v>177700000</v>
      </c>
      <c r="D54" s="13"/>
      <c r="E54" s="14">
        <f aca="true" t="shared" si="1" ref="E54:E72">SUM(C54*100)/$D$163</f>
        <v>0.9511858117380814</v>
      </c>
    </row>
    <row r="55" spans="1:5" s="206" customFormat="1" ht="12.75">
      <c r="A55" s="10" t="s">
        <v>65</v>
      </c>
      <c r="B55" s="24" t="s">
        <v>66</v>
      </c>
      <c r="C55" s="25">
        <f>+C56+C57</f>
        <v>176000000</v>
      </c>
      <c r="D55" s="24"/>
      <c r="E55" s="26">
        <f t="shared" si="1"/>
        <v>0.9420861162965803</v>
      </c>
    </row>
    <row r="56" spans="1:5" s="205" customFormat="1" ht="12.75">
      <c r="A56" s="15" t="s">
        <v>67</v>
      </c>
      <c r="B56" s="16" t="s">
        <v>68</v>
      </c>
      <c r="C56" s="17">
        <f>+'[1]JUSTIFICACION'!$H$136</f>
        <v>176000000</v>
      </c>
      <c r="D56" s="16"/>
      <c r="E56" s="18">
        <f t="shared" si="1"/>
        <v>0.9420861162965803</v>
      </c>
    </row>
    <row r="57" spans="1:5" s="205" customFormat="1" ht="12.75" hidden="1">
      <c r="A57" s="15" t="s">
        <v>69</v>
      </c>
      <c r="B57" s="16" t="s">
        <v>70</v>
      </c>
      <c r="C57" s="17">
        <f>+'[1]JUSTIFICACION'!$H$146</f>
        <v>0</v>
      </c>
      <c r="D57" s="16"/>
      <c r="E57" s="18">
        <f t="shared" si="1"/>
        <v>0</v>
      </c>
    </row>
    <row r="58" spans="1:5" s="206" customFormat="1" ht="12.75">
      <c r="A58" s="10" t="s">
        <v>71</v>
      </c>
      <c r="B58" s="24" t="s">
        <v>72</v>
      </c>
      <c r="C58" s="27">
        <f>+'[1]JUSTIFICACION'!$H$155</f>
        <v>1700000</v>
      </c>
      <c r="D58" s="24"/>
      <c r="E58" s="26">
        <f t="shared" si="1"/>
        <v>0.00909969544150106</v>
      </c>
    </row>
    <row r="59" spans="1:5" s="194" customFormat="1" ht="12.75">
      <c r="A59" s="10" t="s">
        <v>73</v>
      </c>
      <c r="B59" s="13" t="s">
        <v>74</v>
      </c>
      <c r="C59" s="12">
        <f>+C60+C63+C66</f>
        <v>3810500000</v>
      </c>
      <c r="D59" s="13"/>
      <c r="E59" s="14">
        <f t="shared" si="1"/>
        <v>20.396699694023404</v>
      </c>
    </row>
    <row r="60" spans="1:5" s="206" customFormat="1" ht="12.75">
      <c r="A60" s="10" t="s">
        <v>75</v>
      </c>
      <c r="B60" s="24" t="s">
        <v>76</v>
      </c>
      <c r="C60" s="27">
        <f>SUM(C61:C62)</f>
        <v>700000000</v>
      </c>
      <c r="D60" s="24"/>
      <c r="E60" s="26">
        <f t="shared" si="1"/>
        <v>3.7469334170886714</v>
      </c>
    </row>
    <row r="61" spans="1:5" s="205" customFormat="1" ht="12.75">
      <c r="A61" s="28" t="s">
        <v>77</v>
      </c>
      <c r="B61" s="16" t="s">
        <v>78</v>
      </c>
      <c r="C61" s="17">
        <f>+'[1]JUSTIFICACION'!$H$165</f>
        <v>250000000</v>
      </c>
      <c r="D61" s="16"/>
      <c r="E61" s="18">
        <f t="shared" si="1"/>
        <v>1.338190506103097</v>
      </c>
    </row>
    <row r="62" spans="1:5" s="205" customFormat="1" ht="12.75">
      <c r="A62" s="28" t="s">
        <v>498</v>
      </c>
      <c r="B62" s="16" t="s">
        <v>499</v>
      </c>
      <c r="C62" s="17">
        <f>+'[1]JUSTIFICACION'!$G$168</f>
        <v>450000000</v>
      </c>
      <c r="D62" s="16"/>
      <c r="E62" s="18"/>
    </row>
    <row r="63" spans="1:5" ht="11.25" customHeight="1">
      <c r="A63" s="10" t="s">
        <v>79</v>
      </c>
      <c r="B63" s="2" t="s">
        <v>80</v>
      </c>
      <c r="C63" s="21">
        <f>SUM(C64:C65)</f>
        <v>36500000</v>
      </c>
      <c r="D63" s="2"/>
      <c r="E63" s="22">
        <f t="shared" si="1"/>
        <v>0.19537581389105216</v>
      </c>
    </row>
    <row r="64" spans="1:5" s="205" customFormat="1" ht="12.75">
      <c r="A64" s="28" t="s">
        <v>81</v>
      </c>
      <c r="B64" s="16" t="s">
        <v>82</v>
      </c>
      <c r="C64" s="17">
        <f>+'[1]JUSTIFICACION'!$H$185</f>
        <v>36500000</v>
      </c>
      <c r="D64" s="16"/>
      <c r="E64" s="22">
        <f t="shared" si="1"/>
        <v>0.19537581389105216</v>
      </c>
    </row>
    <row r="65" spans="1:5" s="205" customFormat="1" ht="12.75" hidden="1">
      <c r="A65" s="28" t="s">
        <v>83</v>
      </c>
      <c r="B65" s="16" t="s">
        <v>84</v>
      </c>
      <c r="C65" s="17">
        <f>+'[1]JUSTIFICACION'!$H$196</f>
        <v>0</v>
      </c>
      <c r="D65" s="16"/>
      <c r="E65" s="22">
        <f t="shared" si="1"/>
        <v>0</v>
      </c>
    </row>
    <row r="66" spans="1:5" ht="12.75">
      <c r="A66" s="10" t="s">
        <v>85</v>
      </c>
      <c r="B66" s="29" t="s">
        <v>86</v>
      </c>
      <c r="C66" s="27">
        <f>SUM(C67:C70)</f>
        <v>3074000000</v>
      </c>
      <c r="D66" s="2"/>
      <c r="E66" s="26">
        <f t="shared" si="1"/>
        <v>16.45439046304368</v>
      </c>
    </row>
    <row r="67" spans="1:5" s="205" customFormat="1" ht="12.75">
      <c r="A67" s="28" t="s">
        <v>87</v>
      </c>
      <c r="B67" s="16" t="s">
        <v>88</v>
      </c>
      <c r="C67" s="17">
        <f>+'[1]JUSTIFICACION'!$H$207</f>
        <v>2565000000</v>
      </c>
      <c r="D67" s="16"/>
      <c r="E67" s="18">
        <f t="shared" si="1"/>
        <v>13.729834592617776</v>
      </c>
    </row>
    <row r="68" spans="1:5" s="205" customFormat="1" ht="12.75">
      <c r="A68" s="28" t="s">
        <v>89</v>
      </c>
      <c r="B68" s="16" t="s">
        <v>90</v>
      </c>
      <c r="C68" s="17">
        <f>+'[1]JUSTIFICACION'!$H$216</f>
        <v>336000000</v>
      </c>
      <c r="D68" s="16"/>
      <c r="E68" s="18">
        <f t="shared" si="1"/>
        <v>1.7985280402025623</v>
      </c>
    </row>
    <row r="69" spans="1:5" s="205" customFormat="1" ht="12.75">
      <c r="A69" s="28" t="s">
        <v>91</v>
      </c>
      <c r="B69" s="23" t="s">
        <v>92</v>
      </c>
      <c r="C69" s="17">
        <f>+'[1]JUSTIFICACION'!$H$226</f>
        <v>148000000</v>
      </c>
      <c r="D69" s="16"/>
      <c r="E69" s="18">
        <f t="shared" si="1"/>
        <v>0.7922087796130334</v>
      </c>
    </row>
    <row r="70" spans="1:5" ht="12.75">
      <c r="A70" s="28" t="s">
        <v>93</v>
      </c>
      <c r="B70" s="23" t="s">
        <v>94</v>
      </c>
      <c r="C70" s="17">
        <f>+'[1]JUSTIFICACION'!$H$237</f>
        <v>25000000</v>
      </c>
      <c r="D70" s="2"/>
      <c r="E70" s="22">
        <f>SUM(C70*100)/$D$163</f>
        <v>0.1338190506103097</v>
      </c>
    </row>
    <row r="71" spans="1:5" s="205" customFormat="1" ht="12.75">
      <c r="A71" s="10" t="s">
        <v>95</v>
      </c>
      <c r="B71" s="30" t="s">
        <v>96</v>
      </c>
      <c r="C71" s="12">
        <f>+C72</f>
        <v>12000000</v>
      </c>
      <c r="D71" s="16"/>
      <c r="E71" s="14">
        <f t="shared" si="1"/>
        <v>0.06423314429294866</v>
      </c>
    </row>
    <row r="72" spans="1:5" ht="12.75">
      <c r="A72" s="10" t="s">
        <v>97</v>
      </c>
      <c r="B72" s="2" t="s">
        <v>98</v>
      </c>
      <c r="C72" s="21">
        <f>+'[1]JUSTIFICACION'!$H$246</f>
        <v>12000000</v>
      </c>
      <c r="D72" s="2"/>
      <c r="E72" s="22">
        <f t="shared" si="1"/>
        <v>0.06423314429294866</v>
      </c>
    </row>
    <row r="73" spans="1:5" ht="12.75">
      <c r="A73" s="1"/>
      <c r="B73" s="2"/>
      <c r="C73" s="2"/>
      <c r="D73" s="2"/>
      <c r="E73" s="4"/>
    </row>
    <row r="74" spans="1:5" ht="12.75">
      <c r="A74" s="5" t="s">
        <v>100</v>
      </c>
      <c r="B74" s="7" t="s">
        <v>101</v>
      </c>
      <c r="C74" s="7"/>
      <c r="D74" s="8">
        <f>+C75+C78</f>
        <v>116000000</v>
      </c>
      <c r="E74" s="9">
        <f>SUM(D74*100)/$D$163</f>
        <v>0.620920394831837</v>
      </c>
    </row>
    <row r="75" spans="1:5" ht="24.75" customHeight="1">
      <c r="A75" s="10" t="s">
        <v>102</v>
      </c>
      <c r="B75" s="11" t="s">
        <v>103</v>
      </c>
      <c r="C75" s="12">
        <f>+C76</f>
        <v>96000000</v>
      </c>
      <c r="D75" s="2"/>
      <c r="E75" s="4"/>
    </row>
    <row r="76" spans="1:5" ht="25.5">
      <c r="A76" s="10" t="s">
        <v>104</v>
      </c>
      <c r="B76" s="37" t="s">
        <v>105</v>
      </c>
      <c r="C76" s="21">
        <f>+C77</f>
        <v>96000000</v>
      </c>
      <c r="D76" s="2"/>
      <c r="E76" s="26">
        <f>SUM(C76*100)/$D$163</f>
        <v>0.5138651543435893</v>
      </c>
    </row>
    <row r="77" spans="1:5" s="205" customFormat="1" ht="12.75">
      <c r="A77" s="28" t="s">
        <v>106</v>
      </c>
      <c r="B77" s="16" t="s">
        <v>107</v>
      </c>
      <c r="C77" s="17">
        <f>+'[1]JUSTIFICACION'!$H$257</f>
        <v>96000000</v>
      </c>
      <c r="D77" s="16"/>
      <c r="E77" s="18">
        <f>SUM(C77*100)/$D$163</f>
        <v>0.5138651543435893</v>
      </c>
    </row>
    <row r="78" spans="1:5" ht="27.75" customHeight="1" thickBot="1">
      <c r="A78" s="57" t="s">
        <v>108</v>
      </c>
      <c r="B78" s="327" t="s">
        <v>109</v>
      </c>
      <c r="C78" s="328">
        <f>+C86</f>
        <v>20000000</v>
      </c>
      <c r="D78" s="320"/>
      <c r="E78" s="329">
        <f>SUM(C78*100)/$D$163</f>
        <v>0.10705524048824776</v>
      </c>
    </row>
    <row r="79" spans="1:5" ht="12.75">
      <c r="A79" s="31"/>
      <c r="B79" s="32"/>
      <c r="C79" s="32"/>
      <c r="D79" s="32"/>
      <c r="E79" s="33"/>
    </row>
    <row r="80" spans="1:6" ht="12.75">
      <c r="A80" s="507" t="s">
        <v>0</v>
      </c>
      <c r="B80" s="508"/>
      <c r="C80" s="508"/>
      <c r="D80" s="508"/>
      <c r="E80" s="509"/>
      <c r="F80" s="204"/>
    </row>
    <row r="81" spans="1:6" ht="12.75">
      <c r="A81" s="507" t="s">
        <v>1</v>
      </c>
      <c r="B81" s="508"/>
      <c r="C81" s="508"/>
      <c r="D81" s="508"/>
      <c r="E81" s="509"/>
      <c r="F81" s="204"/>
    </row>
    <row r="82" spans="1:6" ht="12.75">
      <c r="A82" s="507" t="s">
        <v>553</v>
      </c>
      <c r="B82" s="508"/>
      <c r="C82" s="508"/>
      <c r="D82" s="508"/>
      <c r="E82" s="509"/>
      <c r="F82" s="204"/>
    </row>
    <row r="83" spans="1:6" ht="12.75">
      <c r="A83" s="507" t="s">
        <v>99</v>
      </c>
      <c r="B83" s="511"/>
      <c r="C83" s="511"/>
      <c r="D83" s="511"/>
      <c r="E83" s="509"/>
      <c r="F83" s="204"/>
    </row>
    <row r="84" spans="1:5" ht="12.75">
      <c r="A84" s="10"/>
      <c r="B84" s="13"/>
      <c r="C84" s="13"/>
      <c r="D84" s="13"/>
      <c r="E84" s="3"/>
    </row>
    <row r="85" spans="1:5" ht="13.5" thickBot="1">
      <c r="A85" s="34" t="s">
        <v>3</v>
      </c>
      <c r="B85" s="35" t="s">
        <v>4</v>
      </c>
      <c r="C85" s="35" t="s">
        <v>5</v>
      </c>
      <c r="D85" s="35" t="s">
        <v>6</v>
      </c>
      <c r="E85" s="36" t="s">
        <v>7</v>
      </c>
    </row>
    <row r="86" spans="1:5" s="205" customFormat="1" ht="29.25" customHeight="1" thickTop="1">
      <c r="A86" s="10" t="s">
        <v>110</v>
      </c>
      <c r="B86" s="37" t="s">
        <v>111</v>
      </c>
      <c r="C86" s="27">
        <f>+C87</f>
        <v>20000000</v>
      </c>
      <c r="D86" s="16"/>
      <c r="E86" s="22">
        <f>SUM(C86*100)/$D$163</f>
        <v>0.10705524048824776</v>
      </c>
    </row>
    <row r="87" spans="1:5" s="205" customFormat="1" ht="12.75">
      <c r="A87" s="28" t="s">
        <v>112</v>
      </c>
      <c r="B87" s="16" t="s">
        <v>113</v>
      </c>
      <c r="C87" s="17">
        <f>+'[1]JUSTIFICACION'!$H$267</f>
        <v>20000000</v>
      </c>
      <c r="D87" s="16"/>
      <c r="E87" s="18">
        <f>SUM(C87*100)/$D$163</f>
        <v>0.10705524048824776</v>
      </c>
    </row>
    <row r="88" spans="1:5" s="205" customFormat="1" ht="12.75">
      <c r="A88" s="28"/>
      <c r="B88" s="16"/>
      <c r="C88" s="17"/>
      <c r="D88" s="16"/>
      <c r="E88" s="18"/>
    </row>
    <row r="89" spans="1:5" ht="12.75">
      <c r="A89" s="5" t="s">
        <v>114</v>
      </c>
      <c r="B89" s="7" t="s">
        <v>115</v>
      </c>
      <c r="C89" s="7"/>
      <c r="D89" s="8">
        <f>+D91</f>
        <v>425000000</v>
      </c>
      <c r="E89" s="9">
        <f>SUM(D89*100)/$D$163</f>
        <v>2.274923860375265</v>
      </c>
    </row>
    <row r="90" spans="1:5" ht="12.75">
      <c r="A90" s="1"/>
      <c r="B90" s="2"/>
      <c r="C90" s="2"/>
      <c r="D90" s="2"/>
      <c r="E90" s="4"/>
    </row>
    <row r="91" spans="1:5" ht="11.25" customHeight="1">
      <c r="A91" s="5" t="s">
        <v>116</v>
      </c>
      <c r="B91" s="7" t="s">
        <v>117</v>
      </c>
      <c r="C91" s="7"/>
      <c r="D91" s="8">
        <f>+C93</f>
        <v>425000000</v>
      </c>
      <c r="E91" s="9">
        <f>SUM(D91*100)/$D$163</f>
        <v>2.274923860375265</v>
      </c>
    </row>
    <row r="92" spans="1:5" ht="12.75">
      <c r="A92" s="10"/>
      <c r="B92" s="37"/>
      <c r="C92" s="21"/>
      <c r="D92" s="2"/>
      <c r="E92" s="4"/>
    </row>
    <row r="93" spans="1:5" ht="12.75">
      <c r="A93" s="10" t="s">
        <v>118</v>
      </c>
      <c r="B93" s="37" t="s">
        <v>119</v>
      </c>
      <c r="C93" s="21">
        <f>+C94</f>
        <v>425000000</v>
      </c>
      <c r="D93" s="2"/>
      <c r="E93" s="22">
        <f>SUM(C93*100)/$D$163</f>
        <v>2.274923860375265</v>
      </c>
    </row>
    <row r="94" spans="1:5" ht="25.5">
      <c r="A94" s="10" t="s">
        <v>120</v>
      </c>
      <c r="B94" s="37" t="s">
        <v>121</v>
      </c>
      <c r="C94" s="21">
        <f>+'[1]JUSTIFICACION'!$H$278</f>
        <v>425000000</v>
      </c>
      <c r="D94" s="2"/>
      <c r="E94" s="22">
        <f>SUM(C94*100)/$D$163</f>
        <v>2.274923860375265</v>
      </c>
    </row>
    <row r="95" spans="1:5" ht="12.75">
      <c r="A95" s="1"/>
      <c r="B95" s="2"/>
      <c r="C95" s="2"/>
      <c r="D95" s="2"/>
      <c r="E95" s="4"/>
    </row>
    <row r="96" spans="1:5" ht="12.75">
      <c r="A96" s="5" t="s">
        <v>122</v>
      </c>
      <c r="B96" s="7" t="s">
        <v>123</v>
      </c>
      <c r="C96" s="7"/>
      <c r="D96" s="8">
        <f>+D98</f>
        <v>330000000</v>
      </c>
      <c r="E96" s="9">
        <f>SUM(D96*100)/$D$163</f>
        <v>1.766411468056088</v>
      </c>
    </row>
    <row r="97" spans="1:5" ht="12.75">
      <c r="A97" s="1"/>
      <c r="B97" s="2"/>
      <c r="C97" s="2"/>
      <c r="D97" s="2"/>
      <c r="E97" s="4"/>
    </row>
    <row r="98" spans="1:5" ht="12.75">
      <c r="A98" s="5" t="s">
        <v>124</v>
      </c>
      <c r="B98" s="7" t="s">
        <v>125</v>
      </c>
      <c r="C98" s="7"/>
      <c r="D98" s="8">
        <f>+C100+C102+C104</f>
        <v>330000000</v>
      </c>
      <c r="E98" s="9">
        <f>SUM(D98*100)/$D$163</f>
        <v>1.766411468056088</v>
      </c>
    </row>
    <row r="99" spans="1:5" ht="12.75">
      <c r="A99" s="1"/>
      <c r="B99" s="2"/>
      <c r="C99" s="2"/>
      <c r="D99" s="2"/>
      <c r="E99" s="4"/>
    </row>
    <row r="100" spans="1:5" ht="12.75">
      <c r="A100" s="10" t="s">
        <v>126</v>
      </c>
      <c r="B100" s="13" t="s">
        <v>127</v>
      </c>
      <c r="C100" s="12">
        <f>+C101</f>
        <v>145000000</v>
      </c>
      <c r="D100" s="2"/>
      <c r="E100" s="14">
        <f>SUM(C100*100)/$D$163</f>
        <v>0.7761504935397963</v>
      </c>
    </row>
    <row r="101" spans="1:5" s="205" customFormat="1" ht="12.75">
      <c r="A101" s="15" t="s">
        <v>128</v>
      </c>
      <c r="B101" s="16" t="s">
        <v>129</v>
      </c>
      <c r="C101" s="17">
        <f>+'[1]JUSTIFICACION'!$H$289</f>
        <v>145000000</v>
      </c>
      <c r="D101" s="16"/>
      <c r="E101" s="18">
        <f>SUM(C101*100)/$D$163</f>
        <v>0.7761504935397963</v>
      </c>
    </row>
    <row r="102" spans="1:5" ht="12.75">
      <c r="A102" s="10" t="s">
        <v>130</v>
      </c>
      <c r="B102" s="13" t="s">
        <v>131</v>
      </c>
      <c r="C102" s="12">
        <f>+C103</f>
        <v>100000000</v>
      </c>
      <c r="D102" s="2"/>
      <c r="E102" s="14">
        <f>SUM(C102*100)/$D$163</f>
        <v>0.5352762024412387</v>
      </c>
    </row>
    <row r="103" spans="1:5" s="205" customFormat="1" ht="12.75">
      <c r="A103" s="15" t="s">
        <v>132</v>
      </c>
      <c r="B103" s="16" t="s">
        <v>133</v>
      </c>
      <c r="C103" s="17">
        <f>+'[1]JUSTIFICACION'!$G$292</f>
        <v>100000000</v>
      </c>
      <c r="D103" s="16"/>
      <c r="E103" s="18">
        <f>SUM(C103*100)/$D$163</f>
        <v>0.5352762024412387</v>
      </c>
    </row>
    <row r="104" spans="1:5" ht="12.75">
      <c r="A104" s="10" t="s">
        <v>454</v>
      </c>
      <c r="B104" s="13" t="s">
        <v>455</v>
      </c>
      <c r="C104" s="12">
        <f>SUM(C105)</f>
        <v>85000000</v>
      </c>
      <c r="D104" s="2"/>
      <c r="E104" s="14">
        <f>SUM(C104*100)/$D$163</f>
        <v>0.454984772075053</v>
      </c>
    </row>
    <row r="105" spans="1:5" s="205" customFormat="1" ht="12.75">
      <c r="A105" s="15" t="s">
        <v>456</v>
      </c>
      <c r="B105" s="16" t="s">
        <v>457</v>
      </c>
      <c r="C105" s="17">
        <f>+'[1]JUSTIFICACION'!$H$312</f>
        <v>85000000</v>
      </c>
      <c r="D105" s="16"/>
      <c r="E105" s="207"/>
    </row>
    <row r="106" spans="1:5" ht="12.75">
      <c r="A106" s="10"/>
      <c r="B106" s="13"/>
      <c r="C106" s="12"/>
      <c r="D106" s="2"/>
      <c r="E106" s="22"/>
    </row>
    <row r="107" spans="1:5" ht="12.75">
      <c r="A107" s="5" t="s">
        <v>134</v>
      </c>
      <c r="B107" s="7" t="s">
        <v>135</v>
      </c>
      <c r="C107" s="7"/>
      <c r="D107" s="8">
        <f>+C109</f>
        <v>400000000</v>
      </c>
      <c r="E107" s="9">
        <f>SUM(D107*100)/$D$163</f>
        <v>2.141104809764955</v>
      </c>
    </row>
    <row r="108" spans="1:5" ht="12.75">
      <c r="A108" s="1"/>
      <c r="B108" s="2"/>
      <c r="C108" s="21"/>
      <c r="D108" s="2"/>
      <c r="E108" s="22"/>
    </row>
    <row r="109" spans="1:5" ht="12.75">
      <c r="A109" s="10" t="s">
        <v>136</v>
      </c>
      <c r="B109" s="13" t="s">
        <v>137</v>
      </c>
      <c r="C109" s="12">
        <f>+'[1]JUSTIFICACION'!$H$335</f>
        <v>400000000</v>
      </c>
      <c r="D109" s="2"/>
      <c r="E109" s="22">
        <f>SUM(C109*100)/$D$163</f>
        <v>2.141104809764955</v>
      </c>
    </row>
    <row r="110" spans="1:5" ht="12.75">
      <c r="A110" s="1"/>
      <c r="B110" s="2"/>
      <c r="C110" s="2"/>
      <c r="D110" s="2"/>
      <c r="E110" s="4"/>
    </row>
    <row r="111" spans="1:5" ht="12.75">
      <c r="A111" s="5" t="s">
        <v>138</v>
      </c>
      <c r="B111" s="6" t="s">
        <v>139</v>
      </c>
      <c r="C111" s="7"/>
      <c r="D111" s="8">
        <f>SUM(D113)</f>
        <v>61205593</v>
      </c>
      <c r="E111" s="9">
        <f>SUM(D111*100)/$D$163</f>
        <v>0.3276189738920407</v>
      </c>
    </row>
    <row r="112" spans="1:5" ht="12.75">
      <c r="A112" s="1"/>
      <c r="B112" s="2"/>
      <c r="C112" s="2"/>
      <c r="D112" s="2"/>
      <c r="E112" s="4"/>
    </row>
    <row r="113" spans="1:5" ht="12.75">
      <c r="A113" s="5" t="s">
        <v>140</v>
      </c>
      <c r="B113" s="7" t="s">
        <v>141</v>
      </c>
      <c r="C113" s="7"/>
      <c r="D113" s="8">
        <f>+C115+C118</f>
        <v>61205593</v>
      </c>
      <c r="E113" s="9">
        <f>SUM(D113*100)/$D$163</f>
        <v>0.3276189738920407</v>
      </c>
    </row>
    <row r="114" spans="1:5" ht="12.75">
      <c r="A114" s="1"/>
      <c r="B114" s="2"/>
      <c r="C114" s="2"/>
      <c r="D114" s="2"/>
      <c r="E114" s="4"/>
    </row>
    <row r="115" spans="1:5" ht="27.75" customHeight="1">
      <c r="A115" s="10" t="s">
        <v>142</v>
      </c>
      <c r="B115" s="11" t="s">
        <v>143</v>
      </c>
      <c r="C115" s="12">
        <f>SUM(C116:C117)</f>
        <v>23000000</v>
      </c>
      <c r="D115" s="2"/>
      <c r="E115" s="14">
        <f>SUM(C115*100)/$D$163</f>
        <v>0.12311352656148493</v>
      </c>
    </row>
    <row r="116" spans="1:5" s="205" customFormat="1" ht="14.25" customHeight="1">
      <c r="A116" s="28" t="s">
        <v>144</v>
      </c>
      <c r="B116" s="16" t="s">
        <v>145</v>
      </c>
      <c r="C116" s="17">
        <f>+'[1]JUSTIFICACION'!$H$344</f>
        <v>20000000</v>
      </c>
      <c r="D116" s="16" t="s">
        <v>146</v>
      </c>
      <c r="E116" s="18">
        <f>SUM(C116*100)/$D$163</f>
        <v>0.10705524048824776</v>
      </c>
    </row>
    <row r="117" spans="1:5" s="205" customFormat="1" ht="12.75">
      <c r="A117" s="28" t="s">
        <v>500</v>
      </c>
      <c r="B117" s="42" t="s">
        <v>459</v>
      </c>
      <c r="C117" s="43">
        <f>+'[1]JUSTIFICACION'!$H$397</f>
        <v>3000000</v>
      </c>
      <c r="D117" s="16"/>
      <c r="E117" s="18"/>
    </row>
    <row r="118" spans="1:5" ht="25.5">
      <c r="A118" s="10" t="s">
        <v>147</v>
      </c>
      <c r="B118" s="11" t="s">
        <v>458</v>
      </c>
      <c r="C118" s="12">
        <f>+C119</f>
        <v>38205593</v>
      </c>
      <c r="D118" s="2"/>
      <c r="E118" s="14">
        <f>SUM(C118*100)/$D$163</f>
        <v>0.20450544733055576</v>
      </c>
    </row>
    <row r="119" spans="1:5" ht="12.75">
      <c r="A119" s="28" t="s">
        <v>148</v>
      </c>
      <c r="B119" s="2" t="s">
        <v>149</v>
      </c>
      <c r="C119" s="21">
        <f>+'[1]JUSTIFICACION'!$H$354</f>
        <v>38205593</v>
      </c>
      <c r="D119" s="2"/>
      <c r="E119" s="22">
        <f>SUM(C119*100)/$D$163</f>
        <v>0.20450544733055576</v>
      </c>
    </row>
    <row r="120" spans="1:5" ht="12.75">
      <c r="A120" s="1"/>
      <c r="B120" s="2"/>
      <c r="C120" s="2"/>
      <c r="D120" s="2"/>
      <c r="E120" s="4"/>
    </row>
    <row r="121" spans="1:5" ht="12.75">
      <c r="A121" s="5" t="s">
        <v>150</v>
      </c>
      <c r="B121" s="6" t="s">
        <v>151</v>
      </c>
      <c r="C121" s="7"/>
      <c r="D121" s="8">
        <f>+D141+D131+D123</f>
        <v>1540088335</v>
      </c>
      <c r="E121" s="9">
        <f>SUM(D121*100)/$D$163</f>
        <v>8.243726353828505</v>
      </c>
    </row>
    <row r="122" spans="1:5" ht="12.75">
      <c r="A122" s="1"/>
      <c r="B122" s="2"/>
      <c r="C122" s="21"/>
      <c r="D122" s="2"/>
      <c r="E122" s="4"/>
    </row>
    <row r="123" spans="1:5" ht="12.75">
      <c r="A123" s="5" t="s">
        <v>152</v>
      </c>
      <c r="B123" s="7" t="s">
        <v>153</v>
      </c>
      <c r="C123" s="7"/>
      <c r="D123" s="8">
        <f>+D125</f>
        <v>500000000</v>
      </c>
      <c r="E123" s="9">
        <f>SUM(D123*100)/$D$163</f>
        <v>2.676381012206194</v>
      </c>
    </row>
    <row r="124" spans="1:5" ht="12.75">
      <c r="A124" s="1"/>
      <c r="B124" s="2"/>
      <c r="C124" s="2"/>
      <c r="D124" s="2"/>
      <c r="E124" s="4"/>
    </row>
    <row r="125" spans="1:5" ht="12.75">
      <c r="A125" s="5" t="s">
        <v>154</v>
      </c>
      <c r="B125" s="7" t="s">
        <v>155</v>
      </c>
      <c r="C125" s="7"/>
      <c r="D125" s="8">
        <f>+C126</f>
        <v>500000000</v>
      </c>
      <c r="E125" s="9">
        <f>SUM(D125*100)/$D$163</f>
        <v>2.676381012206194</v>
      </c>
    </row>
    <row r="126" spans="1:5" s="194" customFormat="1" ht="10.5" customHeight="1">
      <c r="A126" s="10" t="s">
        <v>156</v>
      </c>
      <c r="B126" s="13" t="s">
        <v>157</v>
      </c>
      <c r="C126" s="12">
        <f>+C127</f>
        <v>500000000</v>
      </c>
      <c r="D126" s="13"/>
      <c r="E126" s="14">
        <f>SUM(C126*100)/$D$163</f>
        <v>2.676381012206194</v>
      </c>
    </row>
    <row r="127" spans="1:5" s="205" customFormat="1" ht="12.75">
      <c r="A127" s="15" t="s">
        <v>158</v>
      </c>
      <c r="B127" s="16" t="s">
        <v>159</v>
      </c>
      <c r="C127" s="17">
        <f>+'[1]JUSTIFICACION'!$H$364</f>
        <v>500000000</v>
      </c>
      <c r="D127" s="16"/>
      <c r="E127" s="18">
        <f>SUM(C127*100)/$D$163</f>
        <v>2.676381012206194</v>
      </c>
    </row>
    <row r="128" spans="1:5" s="205" customFormat="1" ht="12.75">
      <c r="A128" s="15"/>
      <c r="B128" s="16"/>
      <c r="C128" s="17"/>
      <c r="D128" s="16"/>
      <c r="E128" s="18"/>
    </row>
    <row r="129" spans="1:5" ht="29.25" customHeight="1">
      <c r="A129" s="5" t="s">
        <v>160</v>
      </c>
      <c r="B129" s="38" t="s">
        <v>161</v>
      </c>
      <c r="C129" s="7"/>
      <c r="D129" s="8">
        <f>+D131</f>
        <v>2100000</v>
      </c>
      <c r="E129" s="9">
        <f>SUM(D129*100)/$D$163</f>
        <v>0.011240800251266015</v>
      </c>
    </row>
    <row r="130" spans="1:5" s="205" customFormat="1" ht="12.75">
      <c r="A130" s="15"/>
      <c r="B130" s="16"/>
      <c r="C130" s="17"/>
      <c r="D130" s="16"/>
      <c r="E130" s="18"/>
    </row>
    <row r="131" spans="1:5" ht="10.5" customHeight="1">
      <c r="A131" s="5" t="s">
        <v>162</v>
      </c>
      <c r="B131" s="39" t="s">
        <v>163</v>
      </c>
      <c r="C131" s="40" t="s">
        <v>146</v>
      </c>
      <c r="D131" s="8">
        <f>SUM(C132)</f>
        <v>2100000</v>
      </c>
      <c r="E131" s="9">
        <f>SUM(D131*100)/$D$163</f>
        <v>0.011240800251266015</v>
      </c>
    </row>
    <row r="132" spans="1:5" s="205" customFormat="1" ht="12.75">
      <c r="A132" s="28" t="s">
        <v>164</v>
      </c>
      <c r="B132" s="16" t="s">
        <v>165</v>
      </c>
      <c r="C132" s="17">
        <f>+'[1]JUSTIFICACION'!$H$375</f>
        <v>2100000</v>
      </c>
      <c r="D132" s="16"/>
      <c r="E132" s="18">
        <f>SUM(C132*100)/$D$163</f>
        <v>0.011240800251266015</v>
      </c>
    </row>
    <row r="133" spans="1:5" ht="12.75">
      <c r="A133" s="1"/>
      <c r="B133" s="2"/>
      <c r="C133" s="2"/>
      <c r="D133" s="2"/>
      <c r="E133" s="4"/>
    </row>
    <row r="134" spans="1:5" ht="21" customHeight="1">
      <c r="A134" s="1"/>
      <c r="B134" s="2"/>
      <c r="C134" s="2"/>
      <c r="D134" s="2"/>
      <c r="E134" s="4"/>
    </row>
    <row r="135" spans="1:6" ht="12.75">
      <c r="A135" s="507" t="s">
        <v>0</v>
      </c>
      <c r="B135" s="508"/>
      <c r="C135" s="508"/>
      <c r="D135" s="508"/>
      <c r="E135" s="509"/>
      <c r="F135" s="204"/>
    </row>
    <row r="136" spans="1:6" ht="12.75">
      <c r="A136" s="507" t="s">
        <v>1</v>
      </c>
      <c r="B136" s="508"/>
      <c r="C136" s="508"/>
      <c r="D136" s="508"/>
      <c r="E136" s="509"/>
      <c r="F136" s="204"/>
    </row>
    <row r="137" spans="1:6" ht="12.75">
      <c r="A137" s="507" t="s">
        <v>553</v>
      </c>
      <c r="B137" s="508"/>
      <c r="C137" s="508"/>
      <c r="D137" s="508"/>
      <c r="E137" s="509"/>
      <c r="F137" s="204"/>
    </row>
    <row r="138" spans="1:6" ht="12.75">
      <c r="A138" s="507" t="s">
        <v>99</v>
      </c>
      <c r="B138" s="511"/>
      <c r="C138" s="511"/>
      <c r="D138" s="511"/>
      <c r="E138" s="509"/>
      <c r="F138" s="204"/>
    </row>
    <row r="139" spans="1:5" ht="14.25" customHeight="1">
      <c r="A139" s="10"/>
      <c r="B139" s="13"/>
      <c r="C139" s="13"/>
      <c r="D139" s="13"/>
      <c r="E139" s="4"/>
    </row>
    <row r="140" spans="1:5" ht="11.25" customHeight="1">
      <c r="A140" s="132" t="s">
        <v>3</v>
      </c>
      <c r="B140" s="133" t="s">
        <v>4</v>
      </c>
      <c r="C140" s="133" t="s">
        <v>5</v>
      </c>
      <c r="D140" s="133" t="s">
        <v>6</v>
      </c>
      <c r="E140" s="272" t="s">
        <v>7</v>
      </c>
    </row>
    <row r="141" spans="1:5" ht="12.75">
      <c r="A141" s="5" t="s">
        <v>166</v>
      </c>
      <c r="B141" s="6" t="s">
        <v>167</v>
      </c>
      <c r="C141" s="7"/>
      <c r="D141" s="8">
        <f>SUM(D143)+D153</f>
        <v>1037988335</v>
      </c>
      <c r="E141" s="9">
        <f>SUM(D141*100)/$D$163</f>
        <v>5.556104541371044</v>
      </c>
    </row>
    <row r="142" spans="1:5" ht="12.75">
      <c r="A142" s="1"/>
      <c r="B142" s="2"/>
      <c r="C142" s="2"/>
      <c r="D142" s="2"/>
      <c r="E142" s="4"/>
    </row>
    <row r="143" spans="1:5" ht="12.75">
      <c r="A143" s="5" t="s">
        <v>554</v>
      </c>
      <c r="B143" s="7" t="s">
        <v>168</v>
      </c>
      <c r="C143" s="7"/>
      <c r="D143" s="8">
        <f>SUM(C145+C149)</f>
        <v>849634295</v>
      </c>
      <c r="E143" s="9">
        <f>SUM(D143*100)/$D$163</f>
        <v>4.547890188914392</v>
      </c>
    </row>
    <row r="144" spans="1:5" ht="12.75">
      <c r="A144" s="1"/>
      <c r="B144" s="2"/>
      <c r="C144" s="2"/>
      <c r="D144" s="2"/>
      <c r="E144" s="4"/>
    </row>
    <row r="145" spans="1:5" s="194" customFormat="1" ht="12.75">
      <c r="A145" s="10" t="s">
        <v>169</v>
      </c>
      <c r="B145" s="13" t="s">
        <v>170</v>
      </c>
      <c r="C145" s="41">
        <f>SUM(C146:C147)</f>
        <v>835000000</v>
      </c>
      <c r="D145" s="13"/>
      <c r="E145" s="14">
        <f>SUM(C145*100)/$D$163</f>
        <v>4.469556290384344</v>
      </c>
    </row>
    <row r="146" spans="1:5" s="205" customFormat="1" ht="12.75">
      <c r="A146" s="28" t="s">
        <v>171</v>
      </c>
      <c r="B146" s="42" t="s">
        <v>172</v>
      </c>
      <c r="C146" s="43">
        <f>+'[1]JUSTIFICACION'!$H$386</f>
        <v>315000000</v>
      </c>
      <c r="D146" s="44"/>
      <c r="E146" s="45">
        <f>SUM(C146*100)/$D$163</f>
        <v>1.6861200376899022</v>
      </c>
    </row>
    <row r="147" spans="1:5" s="205" customFormat="1" ht="12.75">
      <c r="A147" s="28" t="s">
        <v>501</v>
      </c>
      <c r="B147" s="42" t="s">
        <v>460</v>
      </c>
      <c r="C147" s="43">
        <f>+'[1]JUSTIFICACION'!$H$410</f>
        <v>520000000</v>
      </c>
      <c r="D147" s="44"/>
      <c r="E147" s="45"/>
    </row>
    <row r="148" spans="1:5" ht="12.75">
      <c r="A148" s="1"/>
      <c r="B148" s="2"/>
      <c r="C148" s="2"/>
      <c r="D148" s="2"/>
      <c r="E148" s="4"/>
    </row>
    <row r="149" spans="1:5" s="194" customFormat="1" ht="25.5">
      <c r="A149" s="10" t="s">
        <v>173</v>
      </c>
      <c r="B149" s="11" t="s">
        <v>174</v>
      </c>
      <c r="C149" s="41">
        <f>+C150</f>
        <v>14634295</v>
      </c>
      <c r="D149" s="13"/>
      <c r="E149" s="14">
        <f>SUM(C149*100)/$D$163</f>
        <v>0.07833389853004809</v>
      </c>
    </row>
    <row r="150" spans="1:5" s="205" customFormat="1" ht="12.75">
      <c r="A150" s="28" t="s">
        <v>175</v>
      </c>
      <c r="B150" s="16" t="s">
        <v>176</v>
      </c>
      <c r="C150" s="17">
        <f>+'[1]JUSTIFICACION'!$H$420</f>
        <v>14634295</v>
      </c>
      <c r="D150" s="16"/>
      <c r="E150" s="18">
        <f>SUM(C150*100)/$D$163</f>
        <v>0.07833389853004809</v>
      </c>
    </row>
    <row r="151" spans="1:5" ht="12.75">
      <c r="A151" s="1"/>
      <c r="B151" s="16" t="s">
        <v>177</v>
      </c>
      <c r="C151" s="2"/>
      <c r="D151" s="2"/>
      <c r="E151" s="4"/>
    </row>
    <row r="152" spans="1:5" ht="12.75">
      <c r="A152" s="1"/>
      <c r="B152" s="16"/>
      <c r="C152" s="2"/>
      <c r="D152" s="2"/>
      <c r="E152" s="4"/>
    </row>
    <row r="153" spans="1:5" ht="12.75">
      <c r="A153" s="5" t="s">
        <v>555</v>
      </c>
      <c r="B153" s="7" t="s">
        <v>556</v>
      </c>
      <c r="C153" s="7"/>
      <c r="D153" s="8">
        <f>+C154</f>
        <v>188354040</v>
      </c>
      <c r="E153" s="9"/>
    </row>
    <row r="154" spans="1:5" ht="12.75">
      <c r="A154" s="338" t="s">
        <v>557</v>
      </c>
      <c r="B154" s="16" t="s">
        <v>558</v>
      </c>
      <c r="C154" s="17">
        <f>+'[1]ESTIMACION'!$G$114</f>
        <v>188354040</v>
      </c>
      <c r="D154" s="2"/>
      <c r="E154" s="4"/>
    </row>
    <row r="155" spans="1:5" ht="12.75">
      <c r="A155" s="338"/>
      <c r="B155" s="339"/>
      <c r="C155" s="2"/>
      <c r="D155" s="2"/>
      <c r="E155" s="4"/>
    </row>
    <row r="156" spans="1:5" ht="12.75">
      <c r="A156" s="5" t="s">
        <v>559</v>
      </c>
      <c r="B156" s="7" t="s">
        <v>560</v>
      </c>
      <c r="C156" s="7"/>
      <c r="D156" s="8">
        <f>+D158</f>
        <v>276750000</v>
      </c>
      <c r="E156" s="9"/>
    </row>
    <row r="157" spans="1:5" ht="12.75">
      <c r="A157" s="1"/>
      <c r="B157" s="2"/>
      <c r="C157" s="2"/>
      <c r="D157" s="2"/>
      <c r="E157" s="4"/>
    </row>
    <row r="158" spans="1:5" ht="12.75">
      <c r="A158" s="5" t="s">
        <v>561</v>
      </c>
      <c r="B158" s="6" t="s">
        <v>562</v>
      </c>
      <c r="C158" s="7"/>
      <c r="D158" s="8">
        <f>+C159</f>
        <v>276750000</v>
      </c>
      <c r="E158" s="9"/>
    </row>
    <row r="159" spans="1:5" ht="12.75">
      <c r="A159" s="5" t="s">
        <v>563</v>
      </c>
      <c r="B159" s="7" t="s">
        <v>564</v>
      </c>
      <c r="C159" s="8">
        <f>+C160</f>
        <v>276750000</v>
      </c>
      <c r="D159" s="8"/>
      <c r="E159" s="9"/>
    </row>
    <row r="160" spans="1:5" ht="12.75">
      <c r="A160" s="338" t="s">
        <v>565</v>
      </c>
      <c r="B160" s="16" t="s">
        <v>566</v>
      </c>
      <c r="C160" s="17">
        <f>+'[1]ESTIMACION'!$G$120</f>
        <v>276750000</v>
      </c>
      <c r="D160" s="2"/>
      <c r="E160" s="4"/>
    </row>
    <row r="161" spans="1:5" ht="12.75">
      <c r="A161" s="1"/>
      <c r="B161" s="16"/>
      <c r="C161" s="2"/>
      <c r="D161" s="2"/>
      <c r="E161" s="4"/>
    </row>
    <row r="162" spans="1:5" ht="13.5" thickBot="1">
      <c r="A162" s="324"/>
      <c r="B162" s="320"/>
      <c r="C162" s="320"/>
      <c r="D162" s="320"/>
      <c r="E162" s="325"/>
    </row>
    <row r="163" spans="1:5" ht="13.5" thickBot="1">
      <c r="A163" s="330"/>
      <c r="B163" s="331" t="s">
        <v>178</v>
      </c>
      <c r="C163" s="331"/>
      <c r="D163" s="332">
        <f>SUM(D9+D121+D156)</f>
        <v>18681943928</v>
      </c>
      <c r="E163" s="46">
        <f>SUM(D163*100)/$D$163</f>
        <v>100</v>
      </c>
    </row>
  </sheetData>
  <sheetProtection/>
  <mergeCells count="13">
    <mergeCell ref="A138:E138"/>
    <mergeCell ref="A81:E81"/>
    <mergeCell ref="A82:E82"/>
    <mergeCell ref="A83:E83"/>
    <mergeCell ref="A135:E135"/>
    <mergeCell ref="A136:E136"/>
    <mergeCell ref="A137:E137"/>
    <mergeCell ref="A1:E1"/>
    <mergeCell ref="A2:E2"/>
    <mergeCell ref="A3:E3"/>
    <mergeCell ref="A4:E4"/>
    <mergeCell ref="A5:E5"/>
    <mergeCell ref="A80:E80"/>
  </mergeCells>
  <printOptions horizontalCentered="1" verticalCentered="1"/>
  <pageMargins left="0.75" right="0.75" top="1" bottom="1" header="0" footer="0"/>
  <pageSetup horizontalDpi="300" verticalDpi="300" orientation="portrait" scale="55" r:id="rId1"/>
  <rowBreaks count="1" manualBreakCount="1">
    <brk id="78" max="255" man="1"/>
  </rowBreaks>
</worksheet>
</file>

<file path=xl/worksheets/sheet2.xml><?xml version="1.0" encoding="utf-8"?>
<worksheet xmlns="http://schemas.openxmlformats.org/spreadsheetml/2006/main" xmlns:r="http://schemas.openxmlformats.org/officeDocument/2006/relationships">
  <dimension ref="A1:H166"/>
  <sheetViews>
    <sheetView view="pageBreakPreview" zoomScaleNormal="75" zoomScaleSheetLayoutView="100" zoomScalePageLayoutView="0" workbookViewId="0" topLeftCell="A123">
      <selection activeCell="A147" sqref="A145:IV147"/>
    </sheetView>
  </sheetViews>
  <sheetFormatPr defaultColWidth="11.421875" defaultRowHeight="12.75"/>
  <cols>
    <col min="1" max="1" width="26.28125" style="0" bestFit="1" customWidth="1"/>
    <col min="2" max="2" width="52.7109375" style="0" customWidth="1"/>
    <col min="3" max="3" width="23.7109375" style="0" bestFit="1" customWidth="1"/>
    <col min="4" max="4" width="24.00390625" style="0" bestFit="1" customWidth="1"/>
    <col min="5" max="5" width="9.8515625" style="0" bestFit="1" customWidth="1"/>
  </cols>
  <sheetData>
    <row r="1" spans="1:5" ht="12.75">
      <c r="A1" s="504" t="s">
        <v>0</v>
      </c>
      <c r="B1" s="505"/>
      <c r="C1" s="505"/>
      <c r="D1" s="505"/>
      <c r="E1" s="506"/>
    </row>
    <row r="2" spans="1:6" ht="12.75">
      <c r="A2" s="507" t="s">
        <v>1</v>
      </c>
      <c r="B2" s="508"/>
      <c r="C2" s="508"/>
      <c r="D2" s="508"/>
      <c r="E2" s="509"/>
      <c r="F2" s="204"/>
    </row>
    <row r="3" spans="1:6" ht="12.75">
      <c r="A3" s="507" t="s">
        <v>729</v>
      </c>
      <c r="B3" s="508"/>
      <c r="C3" s="508"/>
      <c r="D3" s="508"/>
      <c r="E3" s="510"/>
      <c r="F3" s="204"/>
    </row>
    <row r="4" spans="1:6" ht="12.75">
      <c r="A4" s="507"/>
      <c r="B4" s="511"/>
      <c r="C4" s="511"/>
      <c r="D4" s="511"/>
      <c r="E4" s="509"/>
      <c r="F4" s="204"/>
    </row>
    <row r="5" spans="1:6" ht="12.75">
      <c r="A5" s="507" t="s">
        <v>2</v>
      </c>
      <c r="B5" s="508"/>
      <c r="C5" s="508"/>
      <c r="D5" s="508"/>
      <c r="E5" s="510"/>
      <c r="F5" s="204"/>
    </row>
    <row r="6" spans="1:5" ht="13.5" thickBot="1">
      <c r="A6" s="324"/>
      <c r="B6" s="320"/>
      <c r="C6" s="320"/>
      <c r="D6" s="320"/>
      <c r="E6" s="325"/>
    </row>
    <row r="7" spans="1:5" ht="13.5" thickBot="1">
      <c r="A7" s="326" t="s">
        <v>3</v>
      </c>
      <c r="B7" s="48" t="s">
        <v>4</v>
      </c>
      <c r="C7" s="48" t="s">
        <v>5</v>
      </c>
      <c r="D7" s="48" t="s">
        <v>6</v>
      </c>
      <c r="E7" s="50" t="s">
        <v>7</v>
      </c>
    </row>
    <row r="8" spans="1:5" ht="12.75">
      <c r="A8" s="31"/>
      <c r="B8" s="32"/>
      <c r="C8" s="32"/>
      <c r="D8" s="32"/>
      <c r="E8" s="33"/>
    </row>
    <row r="9" spans="1:5" ht="12.75">
      <c r="A9" s="5" t="s">
        <v>8</v>
      </c>
      <c r="B9" s="6" t="s">
        <v>9</v>
      </c>
      <c r="C9" s="7"/>
      <c r="D9" s="8">
        <f>SUM(D11+D44+D105)</f>
        <v>26107684157.04</v>
      </c>
      <c r="E9" s="9">
        <f>SUM(D9*100)/$D$161</f>
        <v>89.59238804910927</v>
      </c>
    </row>
    <row r="10" spans="1:5" ht="12.75">
      <c r="A10" s="1"/>
      <c r="B10" s="2" t="s">
        <v>10</v>
      </c>
      <c r="C10" s="2"/>
      <c r="D10" s="2"/>
      <c r="E10" s="4"/>
    </row>
    <row r="11" spans="1:5" ht="12.75">
      <c r="A11" s="5" t="s">
        <v>11</v>
      </c>
      <c r="B11" s="6" t="s">
        <v>12</v>
      </c>
      <c r="C11" s="7"/>
      <c r="D11" s="8">
        <f>SUM(D13+D37+D19)</f>
        <v>12606750000</v>
      </c>
      <c r="E11" s="9">
        <f>SUM(D11*100)/$D$161</f>
        <v>43.26193128598671</v>
      </c>
    </row>
    <row r="12" spans="1:5" ht="12.75">
      <c r="A12" s="1"/>
      <c r="B12" s="2"/>
      <c r="C12" s="2"/>
      <c r="D12" s="2"/>
      <c r="E12" s="4"/>
    </row>
    <row r="13" spans="1:5" ht="12.75">
      <c r="A13" s="5" t="s">
        <v>13</v>
      </c>
      <c r="B13" s="7" t="s">
        <v>14</v>
      </c>
      <c r="C13" s="7"/>
      <c r="D13" s="8">
        <f>+C15</f>
        <v>6300000000</v>
      </c>
      <c r="E13" s="9">
        <f>SUM(D13*100)/$D$161</f>
        <v>21.619383830227164</v>
      </c>
    </row>
    <row r="14" spans="1:5" ht="12.75">
      <c r="A14" s="1"/>
      <c r="B14" s="2"/>
      <c r="C14" s="2"/>
      <c r="D14" s="2"/>
      <c r="E14" s="4"/>
    </row>
    <row r="15" spans="1:5" s="194" customFormat="1" ht="12" customHeight="1">
      <c r="A15" s="10" t="s">
        <v>15</v>
      </c>
      <c r="B15" s="11" t="s">
        <v>16</v>
      </c>
      <c r="C15" s="12">
        <f>+C16+C17</f>
        <v>6300000000</v>
      </c>
      <c r="D15" s="13"/>
      <c r="E15" s="14">
        <f>SUM(C15*100)/$D$161</f>
        <v>21.619383830227164</v>
      </c>
    </row>
    <row r="16" spans="1:5" s="205" customFormat="1" ht="12.75">
      <c r="A16" s="15" t="s">
        <v>17</v>
      </c>
      <c r="B16" s="16" t="s">
        <v>18</v>
      </c>
      <c r="C16" s="17">
        <f>+'[7]JUSTIFICACION'!H17</f>
        <v>6300000000</v>
      </c>
      <c r="D16" s="16"/>
      <c r="E16" s="18">
        <f>SUM(C16*100)/$D$161</f>
        <v>21.619383830227164</v>
      </c>
    </row>
    <row r="17" spans="1:5" s="205" customFormat="1" ht="12.75">
      <c r="A17" s="15" t="s">
        <v>19</v>
      </c>
      <c r="B17" s="16" t="s">
        <v>20</v>
      </c>
      <c r="C17" s="17">
        <v>0</v>
      </c>
      <c r="D17" s="16"/>
      <c r="E17" s="18">
        <f>SUM(C17*100)/$D$161</f>
        <v>0</v>
      </c>
    </row>
    <row r="18" spans="1:5" ht="12.75">
      <c r="A18" s="1"/>
      <c r="B18" s="2"/>
      <c r="C18" s="2"/>
      <c r="D18" s="2"/>
      <c r="E18" s="4"/>
    </row>
    <row r="19" spans="1:5" ht="12.75">
      <c r="A19" s="5" t="s">
        <v>21</v>
      </c>
      <c r="B19" s="7" t="s">
        <v>22</v>
      </c>
      <c r="C19" s="7"/>
      <c r="D19" s="8">
        <f>+C21+C31</f>
        <v>5590250000</v>
      </c>
      <c r="E19" s="9">
        <f>SUM(D19*100)/$D$161</f>
        <v>19.18377150109959</v>
      </c>
    </row>
    <row r="20" spans="1:5" ht="12.75">
      <c r="A20" s="1"/>
      <c r="B20" s="2"/>
      <c r="C20" s="2"/>
      <c r="D20" s="2"/>
      <c r="E20" s="4"/>
    </row>
    <row r="21" spans="1:5" ht="35.25" customHeight="1">
      <c r="A21" s="10" t="s">
        <v>23</v>
      </c>
      <c r="B21" s="11" t="s">
        <v>24</v>
      </c>
      <c r="C21" s="19">
        <f>+C22+C28</f>
        <v>889500000</v>
      </c>
      <c r="D21" s="2"/>
      <c r="E21" s="14">
        <f aca="true" t="shared" si="0" ref="E21:E26">SUM(C21*100)/$D$161</f>
        <v>3.0524510979344543</v>
      </c>
    </row>
    <row r="22" spans="1:5" ht="25.5">
      <c r="A22" s="10" t="s">
        <v>25</v>
      </c>
      <c r="B22" s="11" t="s">
        <v>26</v>
      </c>
      <c r="C22" s="19">
        <f>+C23+C24+C26</f>
        <v>739500000</v>
      </c>
      <c r="D22" s="2"/>
      <c r="E22" s="14">
        <f t="shared" si="0"/>
        <v>2.5377038638814264</v>
      </c>
    </row>
    <row r="23" spans="1:5" ht="25.5">
      <c r="A23" s="10" t="s">
        <v>27</v>
      </c>
      <c r="B23" s="20" t="s">
        <v>28</v>
      </c>
      <c r="C23" s="21">
        <f>+'[7]JUSTIFICACION'!H25</f>
        <v>135000000</v>
      </c>
      <c r="D23" s="2"/>
      <c r="E23" s="22">
        <f t="shared" si="0"/>
        <v>0.46327251064772496</v>
      </c>
    </row>
    <row r="24" spans="1:5" ht="10.5" customHeight="1">
      <c r="A24" s="10" t="s">
        <v>29</v>
      </c>
      <c r="B24" s="20" t="s">
        <v>30</v>
      </c>
      <c r="C24" s="21">
        <f>+C25</f>
        <v>4500000</v>
      </c>
      <c r="D24" s="2"/>
      <c r="E24" s="22">
        <f t="shared" si="0"/>
        <v>0.015442417021590832</v>
      </c>
    </row>
    <row r="25" spans="1:5" s="205" customFormat="1" ht="12.75">
      <c r="A25" s="15" t="s">
        <v>29</v>
      </c>
      <c r="B25" s="16" t="s">
        <v>31</v>
      </c>
      <c r="C25" s="17">
        <f>+'[7]JUSTIFICACION'!H32</f>
        <v>4500000</v>
      </c>
      <c r="D25" s="16"/>
      <c r="E25" s="18">
        <f t="shared" si="0"/>
        <v>0.015442417021590832</v>
      </c>
    </row>
    <row r="26" spans="1:5" ht="12.75">
      <c r="A26" s="10" t="s">
        <v>32</v>
      </c>
      <c r="B26" s="2" t="s">
        <v>33</v>
      </c>
      <c r="C26" s="21">
        <f>+'[7]JUSTIFICACION'!H39</f>
        <v>600000000</v>
      </c>
      <c r="D26" s="2"/>
      <c r="E26" s="22">
        <f t="shared" si="0"/>
        <v>2.0589889362121108</v>
      </c>
    </row>
    <row r="27" spans="1:5" ht="12.75">
      <c r="A27" s="1"/>
      <c r="B27" s="2"/>
      <c r="C27" s="2"/>
      <c r="D27" s="2"/>
      <c r="E27" s="4"/>
    </row>
    <row r="28" spans="1:5" ht="25.5">
      <c r="A28" s="10" t="s">
        <v>34</v>
      </c>
      <c r="B28" s="11" t="s">
        <v>35</v>
      </c>
      <c r="C28" s="12">
        <f>+C29</f>
        <v>150000000</v>
      </c>
      <c r="D28" s="2"/>
      <c r="E28" s="14">
        <f>SUM(C28*100)/$D$161</f>
        <v>0.5147472340530277</v>
      </c>
    </row>
    <row r="29" spans="1:5" ht="25.5">
      <c r="A29" s="10" t="s">
        <v>36</v>
      </c>
      <c r="B29" s="20" t="s">
        <v>37</v>
      </c>
      <c r="C29" s="21">
        <f>+'[7]JUSTIFICACION'!H46</f>
        <v>150000000</v>
      </c>
      <c r="D29" s="2"/>
      <c r="E29" s="22">
        <f>SUM(C29*100)/$D$161</f>
        <v>0.5147472340530277</v>
      </c>
    </row>
    <row r="30" spans="1:5" ht="12.75">
      <c r="A30" s="10"/>
      <c r="B30" s="20"/>
      <c r="C30" s="21"/>
      <c r="D30" s="2"/>
      <c r="E30" s="22"/>
    </row>
    <row r="31" spans="1:5" ht="35.25" customHeight="1">
      <c r="A31" s="10" t="s">
        <v>38</v>
      </c>
      <c r="B31" s="11" t="s">
        <v>39</v>
      </c>
      <c r="C31" s="19">
        <f>+C32</f>
        <v>4700750000</v>
      </c>
      <c r="D31" s="2"/>
      <c r="E31" s="14">
        <f>SUM(C31*100)/$D$161</f>
        <v>16.131320403165134</v>
      </c>
    </row>
    <row r="32" spans="1:5" ht="35.25" customHeight="1">
      <c r="A32" s="10" t="s">
        <v>40</v>
      </c>
      <c r="B32" s="11" t="s">
        <v>453</v>
      </c>
      <c r="C32" s="19">
        <f>+C33+C34</f>
        <v>4700750000</v>
      </c>
      <c r="D32" s="2"/>
      <c r="E32" s="14">
        <f>SUM(C32*100)/$D$161</f>
        <v>16.131320403165134</v>
      </c>
    </row>
    <row r="33" spans="1:5" s="205" customFormat="1" ht="12.75">
      <c r="A33" s="15" t="s">
        <v>41</v>
      </c>
      <c r="B33" s="23" t="s">
        <v>42</v>
      </c>
      <c r="C33" s="17">
        <f>+'[7]JUSTIFICACION'!H53</f>
        <v>750000</v>
      </c>
      <c r="D33" s="16"/>
      <c r="E33" s="18">
        <f>SUM(C33*100)/$D$161</f>
        <v>0.0025737361702651384</v>
      </c>
    </row>
    <row r="34" spans="1:5" s="205" customFormat="1" ht="12.75">
      <c r="A34" s="15" t="s">
        <v>43</v>
      </c>
      <c r="B34" s="16" t="s">
        <v>44</v>
      </c>
      <c r="C34" s="17">
        <f>+'[7]JUSTIFICACION'!H60</f>
        <v>4700000000</v>
      </c>
      <c r="D34" s="16"/>
      <c r="E34" s="18">
        <f>SUM(C34*100)/$D$161</f>
        <v>16.128746666994868</v>
      </c>
    </row>
    <row r="35" spans="1:5" ht="12.75">
      <c r="A35" s="1"/>
      <c r="B35" s="2"/>
      <c r="C35" s="2"/>
      <c r="D35" s="2"/>
      <c r="E35" s="4"/>
    </row>
    <row r="36" spans="1:5" ht="12.75">
      <c r="A36" s="1"/>
      <c r="B36" s="2"/>
      <c r="C36" s="2"/>
      <c r="D36" s="2"/>
      <c r="E36" s="4"/>
    </row>
    <row r="37" spans="1:5" ht="12.75">
      <c r="A37" s="5" t="s">
        <v>45</v>
      </c>
      <c r="B37" s="7" t="s">
        <v>46</v>
      </c>
      <c r="C37" s="7"/>
      <c r="D37" s="8">
        <f>+C39</f>
        <v>716500000</v>
      </c>
      <c r="E37" s="9">
        <f>SUM(D37*100)/$D$161</f>
        <v>2.4587759546599623</v>
      </c>
    </row>
    <row r="38" spans="1:5" ht="12.75">
      <c r="A38" s="1"/>
      <c r="B38" s="2"/>
      <c r="C38" s="2"/>
      <c r="D38" s="2"/>
      <c r="E38" s="4"/>
    </row>
    <row r="39" spans="1:5" s="194" customFormat="1" ht="12.75">
      <c r="A39" s="10" t="s">
        <v>47</v>
      </c>
      <c r="B39" s="13" t="s">
        <v>48</v>
      </c>
      <c r="C39" s="12">
        <f>SUM(C40:C41)</f>
        <v>716500000</v>
      </c>
      <c r="D39" s="13"/>
      <c r="E39" s="14">
        <f>SUM(C39*100)/$D$161</f>
        <v>2.4587759546599623</v>
      </c>
    </row>
    <row r="40" spans="1:5" s="205" customFormat="1" ht="12.75">
      <c r="A40" s="10" t="s">
        <v>49</v>
      </c>
      <c r="B40" s="16" t="s">
        <v>50</v>
      </c>
      <c r="C40" s="17">
        <f>+'[7]JUSTIFICACION'!H67</f>
        <v>625000000</v>
      </c>
      <c r="D40" s="16"/>
      <c r="E40" s="18">
        <f>SUM(C40*100)/$D$161</f>
        <v>2.1447801418876153</v>
      </c>
    </row>
    <row r="41" spans="1:5" s="205" customFormat="1" ht="12.75">
      <c r="A41" s="10" t="s">
        <v>51</v>
      </c>
      <c r="B41" s="16" t="s">
        <v>52</v>
      </c>
      <c r="C41" s="17">
        <f>+'[7]JUSTIFICACION'!H74</f>
        <v>91500000</v>
      </c>
      <c r="D41" s="16"/>
      <c r="E41" s="18">
        <f>SUM(C41*100)/$D$161</f>
        <v>0.3139958127723469</v>
      </c>
    </row>
    <row r="42" spans="1:5" ht="12.75">
      <c r="A42" s="1"/>
      <c r="B42" s="2"/>
      <c r="C42" s="2"/>
      <c r="D42" s="2"/>
      <c r="E42" s="4"/>
    </row>
    <row r="43" spans="1:5" ht="12.75">
      <c r="A43" s="1"/>
      <c r="B43" s="2"/>
      <c r="C43" s="2"/>
      <c r="D43" s="2"/>
      <c r="E43" s="4"/>
    </row>
    <row r="44" spans="1:5" ht="12.75">
      <c r="A44" s="5" t="s">
        <v>53</v>
      </c>
      <c r="B44" s="6" t="s">
        <v>54</v>
      </c>
      <c r="C44" s="7"/>
      <c r="D44" s="8">
        <f>+D46+D83+D90+D101</f>
        <v>13363779000</v>
      </c>
      <c r="E44" s="9">
        <f>SUM(D44*100)/$D$161</f>
        <v>45.85978851163958</v>
      </c>
    </row>
    <row r="45" spans="1:5" ht="12.75">
      <c r="A45" s="1"/>
      <c r="B45" s="2"/>
      <c r="C45" s="2"/>
      <c r="D45" s="2"/>
      <c r="E45" s="4"/>
    </row>
    <row r="46" spans="1:5" ht="12.75">
      <c r="A46" s="5" t="s">
        <v>55</v>
      </c>
      <c r="B46" s="7" t="s">
        <v>56</v>
      </c>
      <c r="C46" s="7"/>
      <c r="D46" s="8">
        <f>+D48+D52+D75</f>
        <v>11144179000</v>
      </c>
      <c r="E46" s="9">
        <f>SUM(D46*100)/$D$161</f>
        <v>38.24290210694557</v>
      </c>
    </row>
    <row r="47" spans="1:5" ht="12.75">
      <c r="A47" s="1"/>
      <c r="B47" s="2"/>
      <c r="C47" s="2"/>
      <c r="D47" s="2"/>
      <c r="E47" s="4"/>
    </row>
    <row r="48" spans="1:5" ht="12.75">
      <c r="A48" s="5" t="s">
        <v>57</v>
      </c>
      <c r="B48" s="7" t="s">
        <v>58</v>
      </c>
      <c r="C48" s="7"/>
      <c r="D48" s="8">
        <f>SUM(C50)</f>
        <v>3650000000</v>
      </c>
      <c r="E48" s="9">
        <f>SUM(D48*100)/$D$161</f>
        <v>12.525516028623674</v>
      </c>
    </row>
    <row r="49" spans="1:5" ht="12.75">
      <c r="A49" s="1"/>
      <c r="B49" s="2"/>
      <c r="C49" s="2"/>
      <c r="D49" s="2"/>
      <c r="E49" s="4"/>
    </row>
    <row r="50" spans="1:5" ht="12.75">
      <c r="A50" s="10" t="s">
        <v>59</v>
      </c>
      <c r="B50" s="13" t="s">
        <v>60</v>
      </c>
      <c r="C50" s="12">
        <f>+'[7]JUSTIFICACION'!H81</f>
        <v>3650000000</v>
      </c>
      <c r="D50" s="2"/>
      <c r="E50" s="14">
        <f>SUM(C50*100)/$D$161</f>
        <v>12.525516028623674</v>
      </c>
    </row>
    <row r="51" spans="1:5" ht="12.75">
      <c r="A51" s="1"/>
      <c r="B51" s="2"/>
      <c r="C51" s="2"/>
      <c r="D51" s="2"/>
      <c r="E51" s="4"/>
    </row>
    <row r="52" spans="1:5" ht="12.75">
      <c r="A52" s="5" t="s">
        <v>61</v>
      </c>
      <c r="B52" s="7" t="s">
        <v>62</v>
      </c>
      <c r="C52" s="7"/>
      <c r="D52" s="8">
        <f>+C54+C59+C72</f>
        <v>7337179000</v>
      </c>
      <c r="E52" s="9">
        <f>SUM(D52*100)/$D$161</f>
        <v>25.178617306679733</v>
      </c>
    </row>
    <row r="53" spans="1:5" ht="12.75">
      <c r="A53" s="1"/>
      <c r="B53" s="2"/>
      <c r="C53" s="2"/>
      <c r="D53" s="2"/>
      <c r="E53" s="4"/>
    </row>
    <row r="54" spans="1:5" s="194" customFormat="1" ht="12.75">
      <c r="A54" s="10" t="s">
        <v>63</v>
      </c>
      <c r="B54" s="13" t="s">
        <v>64</v>
      </c>
      <c r="C54" s="19">
        <f>+C55+C58</f>
        <v>277500000</v>
      </c>
      <c r="D54" s="13"/>
      <c r="E54" s="14">
        <f aca="true" t="shared" si="1" ref="E54:E73">SUM(C54*100)/$D$161</f>
        <v>0.9522823829981013</v>
      </c>
    </row>
    <row r="55" spans="1:5" s="206" customFormat="1" ht="12.75">
      <c r="A55" s="10" t="s">
        <v>65</v>
      </c>
      <c r="B55" s="24" t="s">
        <v>66</v>
      </c>
      <c r="C55" s="25">
        <f>+C56+C57</f>
        <v>277000000</v>
      </c>
      <c r="D55" s="24"/>
      <c r="E55" s="26">
        <f t="shared" si="1"/>
        <v>0.9505665588845912</v>
      </c>
    </row>
    <row r="56" spans="1:5" s="205" customFormat="1" ht="12.75">
      <c r="A56" s="15" t="s">
        <v>67</v>
      </c>
      <c r="B56" s="16" t="s">
        <v>68</v>
      </c>
      <c r="C56" s="17">
        <f>+'[7]JUSTIFICACION'!H88</f>
        <v>277000000</v>
      </c>
      <c r="D56" s="16"/>
      <c r="E56" s="18">
        <f t="shared" si="1"/>
        <v>0.9505665588845912</v>
      </c>
    </row>
    <row r="57" spans="1:5" s="205" customFormat="1" ht="12.75">
      <c r="A57" s="15" t="s">
        <v>69</v>
      </c>
      <c r="B57" s="16" t="s">
        <v>70</v>
      </c>
      <c r="C57" s="17">
        <f>+'[8]JUSTIFICACION'!$H$146</f>
        <v>0</v>
      </c>
      <c r="D57" s="16"/>
      <c r="E57" s="18">
        <f t="shared" si="1"/>
        <v>0</v>
      </c>
    </row>
    <row r="58" spans="1:5" s="206" customFormat="1" ht="12.75">
      <c r="A58" s="10" t="s">
        <v>71</v>
      </c>
      <c r="B58" s="24" t="s">
        <v>72</v>
      </c>
      <c r="C58" s="27">
        <f>+'[7]JUSTIFICACION'!H95</f>
        <v>500000</v>
      </c>
      <c r="D58" s="24"/>
      <c r="E58" s="26">
        <f t="shared" si="1"/>
        <v>0.0017158241135100923</v>
      </c>
    </row>
    <row r="59" spans="1:5" s="194" customFormat="1" ht="12.75">
      <c r="A59" s="10" t="s">
        <v>73</v>
      </c>
      <c r="B59" s="13" t="s">
        <v>74</v>
      </c>
      <c r="C59" s="12">
        <f>+C60+C63+C66+C71</f>
        <v>7049679000</v>
      </c>
      <c r="D59" s="13"/>
      <c r="E59" s="14">
        <f t="shared" si="1"/>
        <v>24.192018441411427</v>
      </c>
    </row>
    <row r="60" spans="1:5" s="206" customFormat="1" ht="12.75">
      <c r="A60" s="10" t="s">
        <v>75</v>
      </c>
      <c r="B60" s="24" t="s">
        <v>76</v>
      </c>
      <c r="C60" s="27">
        <f>SUM(C61:C62)</f>
        <v>1586495000</v>
      </c>
      <c r="D60" s="24"/>
      <c r="E60" s="26">
        <f t="shared" si="1"/>
        <v>5.444292753926388</v>
      </c>
    </row>
    <row r="61" spans="1:5" s="205" customFormat="1" ht="12.75">
      <c r="A61" s="28" t="s">
        <v>77</v>
      </c>
      <c r="B61" s="16" t="s">
        <v>78</v>
      </c>
      <c r="C61" s="17">
        <f>+'[7]JUSTIFICACION'!H102</f>
        <v>720000000</v>
      </c>
      <c r="D61" s="16"/>
      <c r="E61" s="18">
        <f t="shared" si="1"/>
        <v>2.470786723454533</v>
      </c>
    </row>
    <row r="62" spans="1:5" s="205" customFormat="1" ht="12.75">
      <c r="A62" s="28" t="s">
        <v>498</v>
      </c>
      <c r="B62" s="16" t="s">
        <v>499</v>
      </c>
      <c r="C62" s="17">
        <f>+'[7]JUSTIFICACION'!H109</f>
        <v>866495000</v>
      </c>
      <c r="D62" s="16"/>
      <c r="E62" s="18"/>
    </row>
    <row r="63" spans="1:5" ht="11.25" customHeight="1">
      <c r="A63" s="10" t="s">
        <v>79</v>
      </c>
      <c r="B63" s="2" t="s">
        <v>80</v>
      </c>
      <c r="C63" s="21">
        <f>SUM(C64:C65)</f>
        <v>190000000</v>
      </c>
      <c r="D63" s="2"/>
      <c r="E63" s="22">
        <f t="shared" si="1"/>
        <v>0.6520131631338351</v>
      </c>
    </row>
    <row r="64" spans="1:5" s="205" customFormat="1" ht="12.75">
      <c r="A64" s="28" t="s">
        <v>81</v>
      </c>
      <c r="B64" s="16" t="s">
        <v>82</v>
      </c>
      <c r="C64" s="17">
        <f>+'[7]JUSTIFICACION'!H116</f>
        <v>190000000</v>
      </c>
      <c r="D64" s="16"/>
      <c r="E64" s="22">
        <f t="shared" si="1"/>
        <v>0.6520131631338351</v>
      </c>
    </row>
    <row r="65" spans="1:5" s="205" customFormat="1" ht="12.75">
      <c r="A65" s="28" t="s">
        <v>83</v>
      </c>
      <c r="B65" s="16" t="s">
        <v>84</v>
      </c>
      <c r="C65" s="17">
        <v>0</v>
      </c>
      <c r="D65" s="16"/>
      <c r="E65" s="22">
        <f t="shared" si="1"/>
        <v>0</v>
      </c>
    </row>
    <row r="66" spans="1:5" ht="12.75">
      <c r="A66" s="10" t="s">
        <v>85</v>
      </c>
      <c r="B66" s="29" t="s">
        <v>86</v>
      </c>
      <c r="C66" s="27">
        <f>SUM(C67:C70)</f>
        <v>5078400000</v>
      </c>
      <c r="D66" s="2"/>
      <c r="E66" s="26">
        <f t="shared" si="1"/>
        <v>17.427282356099305</v>
      </c>
    </row>
    <row r="67" spans="1:5" s="205" customFormat="1" ht="12.75">
      <c r="A67" s="28" t="s">
        <v>87</v>
      </c>
      <c r="B67" s="16" t="s">
        <v>88</v>
      </c>
      <c r="C67" s="17">
        <f>+'[7]JUSTIFICACION'!H130</f>
        <v>4100000000</v>
      </c>
      <c r="D67" s="16"/>
      <c r="E67" s="18">
        <f t="shared" si="1"/>
        <v>14.069757730782758</v>
      </c>
    </row>
    <row r="68" spans="1:5" s="205" customFormat="1" ht="12.75">
      <c r="A68" s="28" t="s">
        <v>89</v>
      </c>
      <c r="B68" s="16" t="s">
        <v>90</v>
      </c>
      <c r="C68" s="17">
        <f>+'[7]JUSTIFICACION'!H137</f>
        <v>660000000</v>
      </c>
      <c r="D68" s="16"/>
      <c r="E68" s="18">
        <f t="shared" si="1"/>
        <v>2.264887829833322</v>
      </c>
    </row>
    <row r="69" spans="1:5" s="205" customFormat="1" ht="12.75">
      <c r="A69" s="28" t="s">
        <v>91</v>
      </c>
      <c r="B69" s="23" t="s">
        <v>92</v>
      </c>
      <c r="C69" s="17">
        <f>+'[7]JUSTIFICACION'!H144</f>
        <v>290000000</v>
      </c>
      <c r="D69" s="16"/>
      <c r="E69" s="18">
        <f t="shared" si="1"/>
        <v>0.9951779858358536</v>
      </c>
    </row>
    <row r="70" spans="1:5" ht="12.75">
      <c r="A70" s="28" t="s">
        <v>93</v>
      </c>
      <c r="B70" s="23" t="s">
        <v>94</v>
      </c>
      <c r="C70" s="17">
        <f>+'[7]JUSTIFICACION'!H151</f>
        <v>28400000</v>
      </c>
      <c r="D70" s="2"/>
      <c r="E70" s="22">
        <f>SUM(C70*100)/$D$161</f>
        <v>0.09745880964737325</v>
      </c>
    </row>
    <row r="71" spans="1:5" ht="12.75">
      <c r="A71" s="15" t="s">
        <v>637</v>
      </c>
      <c r="B71" s="2" t="s">
        <v>638</v>
      </c>
      <c r="C71" s="17">
        <f>+'[7]JUSTIFICACION'!H158</f>
        <v>194784000</v>
      </c>
      <c r="D71" s="2"/>
      <c r="E71" s="22">
        <f>SUM(C71*100)/$D$161</f>
        <v>0.6684301682518996</v>
      </c>
    </row>
    <row r="72" spans="1:5" s="205" customFormat="1" ht="12.75">
      <c r="A72" s="10" t="s">
        <v>95</v>
      </c>
      <c r="B72" s="30" t="s">
        <v>96</v>
      </c>
      <c r="C72" s="12">
        <f>+C73</f>
        <v>10000000</v>
      </c>
      <c r="D72" s="16"/>
      <c r="E72" s="14">
        <f t="shared" si="1"/>
        <v>0.03431648227020185</v>
      </c>
    </row>
    <row r="73" spans="1:5" ht="12.75">
      <c r="A73" s="10" t="s">
        <v>97</v>
      </c>
      <c r="B73" s="2" t="s">
        <v>98</v>
      </c>
      <c r="C73" s="21">
        <f>+'[7]JUSTIFICACION'!H166</f>
        <v>10000000</v>
      </c>
      <c r="D73" s="2"/>
      <c r="E73" s="22">
        <f t="shared" si="1"/>
        <v>0.03431648227020185</v>
      </c>
    </row>
    <row r="74" spans="1:5" ht="12.75">
      <c r="A74" s="1"/>
      <c r="B74" s="2"/>
      <c r="C74" s="2"/>
      <c r="D74" s="2"/>
      <c r="E74" s="4"/>
    </row>
    <row r="75" spans="1:5" ht="12.75">
      <c r="A75" s="5" t="s">
        <v>100</v>
      </c>
      <c r="B75" s="7" t="s">
        <v>101</v>
      </c>
      <c r="C75" s="7"/>
      <c r="D75" s="8">
        <f>+C76+C79</f>
        <v>157000000</v>
      </c>
      <c r="E75" s="9">
        <f>SUM(D75*100)/$D$161</f>
        <v>0.538768771642169</v>
      </c>
    </row>
    <row r="76" spans="1:5" ht="24.75" customHeight="1">
      <c r="A76" s="10" t="s">
        <v>102</v>
      </c>
      <c r="B76" s="11" t="s">
        <v>103</v>
      </c>
      <c r="C76" s="12">
        <f>+C77</f>
        <v>145000000</v>
      </c>
      <c r="D76" s="2"/>
      <c r="E76" s="4"/>
    </row>
    <row r="77" spans="1:5" ht="25.5">
      <c r="A77" s="10" t="s">
        <v>104</v>
      </c>
      <c r="B77" s="37" t="s">
        <v>105</v>
      </c>
      <c r="C77" s="21">
        <f>+C78</f>
        <v>145000000</v>
      </c>
      <c r="D77" s="2"/>
      <c r="E77" s="26">
        <f>SUM(C77*100)/$D$161</f>
        <v>0.4975889929179268</v>
      </c>
    </row>
    <row r="78" spans="1:5" s="205" customFormat="1" ht="12.75">
      <c r="A78" s="28" t="s">
        <v>106</v>
      </c>
      <c r="B78" s="16" t="s">
        <v>107</v>
      </c>
      <c r="C78" s="17">
        <f>+'[7]JUSTIFICACION'!H173</f>
        <v>145000000</v>
      </c>
      <c r="D78" s="16"/>
      <c r="E78" s="18">
        <f>SUM(C78*100)/$D$161</f>
        <v>0.4975889929179268</v>
      </c>
    </row>
    <row r="79" spans="1:5" ht="27.75" customHeight="1" thickBot="1">
      <c r="A79" s="57" t="s">
        <v>108</v>
      </c>
      <c r="B79" s="327" t="s">
        <v>109</v>
      </c>
      <c r="C79" s="328">
        <f>+C80</f>
        <v>12000000</v>
      </c>
      <c r="D79" s="320"/>
      <c r="E79" s="329">
        <f>SUM(C79*100)/$D$161</f>
        <v>0.041179778724242215</v>
      </c>
    </row>
    <row r="80" spans="1:5" s="205" customFormat="1" ht="29.25" customHeight="1">
      <c r="A80" s="10" t="s">
        <v>110</v>
      </c>
      <c r="B80" s="37" t="s">
        <v>111</v>
      </c>
      <c r="C80" s="27">
        <f>+C81</f>
        <v>12000000</v>
      </c>
      <c r="D80" s="16"/>
      <c r="E80" s="22">
        <f>SUM(C80*100)/$D$161</f>
        <v>0.041179778724242215</v>
      </c>
    </row>
    <row r="81" spans="1:5" s="205" customFormat="1" ht="12.75">
      <c r="A81" s="28" t="s">
        <v>112</v>
      </c>
      <c r="B81" s="16" t="s">
        <v>113</v>
      </c>
      <c r="C81" s="17">
        <f>+'[7]JUSTIFICACION'!H180</f>
        <v>12000000</v>
      </c>
      <c r="D81" s="16"/>
      <c r="E81" s="18">
        <f>SUM(C81*100)/$D$161</f>
        <v>0.041179778724242215</v>
      </c>
    </row>
    <row r="82" spans="1:5" s="205" customFormat="1" ht="12.75">
      <c r="A82" s="28"/>
      <c r="B82" s="16"/>
      <c r="C82" s="17"/>
      <c r="D82" s="16"/>
      <c r="E82" s="18"/>
    </row>
    <row r="83" spans="1:5" ht="12.75">
      <c r="A83" s="5" t="s">
        <v>114</v>
      </c>
      <c r="B83" s="7" t="s">
        <v>115</v>
      </c>
      <c r="C83" s="7"/>
      <c r="D83" s="8">
        <f>+D85</f>
        <v>850000000</v>
      </c>
      <c r="E83" s="9">
        <f>SUM(D83*100)/$D$161</f>
        <v>2.916900992967157</v>
      </c>
    </row>
    <row r="84" spans="1:5" ht="12.75">
      <c r="A84" s="1"/>
      <c r="B84" s="2"/>
      <c r="C84" s="2"/>
      <c r="D84" s="2"/>
      <c r="E84" s="4"/>
    </row>
    <row r="85" spans="1:5" ht="11.25" customHeight="1">
      <c r="A85" s="5" t="s">
        <v>116</v>
      </c>
      <c r="B85" s="7" t="s">
        <v>117</v>
      </c>
      <c r="C85" s="7"/>
      <c r="D85" s="8">
        <f>+C87</f>
        <v>850000000</v>
      </c>
      <c r="E85" s="9">
        <f>SUM(D85*100)/$D$161</f>
        <v>2.916900992967157</v>
      </c>
    </row>
    <row r="86" spans="1:5" ht="12.75">
      <c r="A86" s="10"/>
      <c r="B86" s="37"/>
      <c r="C86" s="21"/>
      <c r="D86" s="2"/>
      <c r="E86" s="4"/>
    </row>
    <row r="87" spans="1:5" ht="12.75">
      <c r="A87" s="10" t="s">
        <v>118</v>
      </c>
      <c r="B87" s="37" t="s">
        <v>119</v>
      </c>
      <c r="C87" s="21">
        <f>+C88</f>
        <v>850000000</v>
      </c>
      <c r="D87" s="2"/>
      <c r="E87" s="22">
        <f>SUM(C87*100)/$D$161</f>
        <v>2.916900992967157</v>
      </c>
    </row>
    <row r="88" spans="1:5" ht="25.5">
      <c r="A88" s="10" t="s">
        <v>120</v>
      </c>
      <c r="B88" s="37" t="s">
        <v>121</v>
      </c>
      <c r="C88" s="21">
        <f>+'[7]JUSTIFICACION'!H189</f>
        <v>850000000</v>
      </c>
      <c r="D88" s="2"/>
      <c r="E88" s="22">
        <f>SUM(C88*100)/$D$161</f>
        <v>2.916900992967157</v>
      </c>
    </row>
    <row r="89" spans="1:5" ht="12.75">
      <c r="A89" s="1"/>
      <c r="B89" s="2"/>
      <c r="C89" s="2"/>
      <c r="D89" s="2"/>
      <c r="E89" s="4"/>
    </row>
    <row r="90" spans="1:5" ht="12.75">
      <c r="A90" s="5" t="s">
        <v>122</v>
      </c>
      <c r="B90" s="7" t="s">
        <v>123</v>
      </c>
      <c r="C90" s="7"/>
      <c r="D90" s="8">
        <f>+D92</f>
        <v>669600000</v>
      </c>
      <c r="E90" s="9">
        <f>SUM(D90*100)/$D$161</f>
        <v>2.297831652812716</v>
      </c>
    </row>
    <row r="91" spans="1:5" ht="12.75">
      <c r="A91" s="1"/>
      <c r="B91" s="2"/>
      <c r="C91" s="2"/>
      <c r="D91" s="2"/>
      <c r="E91" s="4"/>
    </row>
    <row r="92" spans="1:5" ht="12.75">
      <c r="A92" s="5" t="s">
        <v>124</v>
      </c>
      <c r="B92" s="7" t="s">
        <v>125</v>
      </c>
      <c r="C92" s="7"/>
      <c r="D92" s="8">
        <f>+C94+C96+C98</f>
        <v>669600000</v>
      </c>
      <c r="E92" s="9">
        <f>SUM(D92*100)/$D$161</f>
        <v>2.297831652812716</v>
      </c>
    </row>
    <row r="93" spans="1:5" ht="12.75">
      <c r="A93" s="1"/>
      <c r="B93" s="2"/>
      <c r="C93" s="2"/>
      <c r="D93" s="2"/>
      <c r="E93" s="4"/>
    </row>
    <row r="94" spans="1:5" ht="12.75">
      <c r="A94" s="10" t="s">
        <v>126</v>
      </c>
      <c r="B94" s="13" t="s">
        <v>127</v>
      </c>
      <c r="C94" s="12">
        <f>+C95</f>
        <v>277500000</v>
      </c>
      <c r="D94" s="2"/>
      <c r="E94" s="14">
        <f>SUM(C94*100)/$D$161</f>
        <v>0.9522823829981013</v>
      </c>
    </row>
    <row r="95" spans="1:5" s="205" customFormat="1" ht="12.75">
      <c r="A95" s="15" t="s">
        <v>128</v>
      </c>
      <c r="B95" s="16" t="s">
        <v>129</v>
      </c>
      <c r="C95" s="17">
        <f>+'[7]JUSTIFICACION'!H196</f>
        <v>277500000</v>
      </c>
      <c r="D95" s="16"/>
      <c r="E95" s="18">
        <f>SUM(C95*100)/$D$161</f>
        <v>0.9522823829981013</v>
      </c>
    </row>
    <row r="96" spans="1:5" ht="12.75">
      <c r="A96" s="10" t="s">
        <v>130</v>
      </c>
      <c r="B96" s="13" t="s">
        <v>131</v>
      </c>
      <c r="C96" s="12">
        <f>+C97</f>
        <v>200000000</v>
      </c>
      <c r="D96" s="2"/>
      <c r="E96" s="14">
        <f>SUM(C96*100)/$D$161</f>
        <v>0.686329645404037</v>
      </c>
    </row>
    <row r="97" spans="1:5" s="205" customFormat="1" ht="12.75">
      <c r="A97" s="15" t="s">
        <v>132</v>
      </c>
      <c r="B97" s="16" t="s">
        <v>133</v>
      </c>
      <c r="C97" s="17">
        <f>+'[7]JUSTIFICACION'!H202</f>
        <v>200000000</v>
      </c>
      <c r="D97" s="16"/>
      <c r="E97" s="18">
        <f>SUM(C97*100)/$D$161</f>
        <v>0.686329645404037</v>
      </c>
    </row>
    <row r="98" spans="1:5" ht="12.75">
      <c r="A98" s="10" t="s">
        <v>454</v>
      </c>
      <c r="B98" s="13" t="s">
        <v>455</v>
      </c>
      <c r="C98" s="12">
        <f>SUM(C99)</f>
        <v>192100000</v>
      </c>
      <c r="D98" s="2"/>
      <c r="E98" s="14">
        <f>SUM(C98*100)/$D$161</f>
        <v>0.6592196244105775</v>
      </c>
    </row>
    <row r="99" spans="1:5" s="205" customFormat="1" ht="12.75">
      <c r="A99" s="15" t="s">
        <v>456</v>
      </c>
      <c r="B99" s="16" t="s">
        <v>457</v>
      </c>
      <c r="C99" s="17">
        <f>+'[7]JUSTIFICACION'!H209</f>
        <v>192100000</v>
      </c>
      <c r="D99" s="16"/>
      <c r="E99" s="207"/>
    </row>
    <row r="100" spans="1:5" ht="12.75">
      <c r="A100" s="10"/>
      <c r="B100" s="13"/>
      <c r="C100" s="12"/>
      <c r="D100" s="2"/>
      <c r="E100" s="22"/>
    </row>
    <row r="101" spans="1:5" ht="12.75">
      <c r="A101" s="5" t="s">
        <v>134</v>
      </c>
      <c r="B101" s="7" t="s">
        <v>135</v>
      </c>
      <c r="C101" s="7"/>
      <c r="D101" s="8">
        <f>+C103</f>
        <v>700000000</v>
      </c>
      <c r="E101" s="9">
        <f>SUM(D101*100)/$D$161</f>
        <v>2.402153758914129</v>
      </c>
    </row>
    <row r="102" spans="1:5" ht="12.75">
      <c r="A102" s="1"/>
      <c r="B102" s="2"/>
      <c r="C102" s="21"/>
      <c r="D102" s="2"/>
      <c r="E102" s="22"/>
    </row>
    <row r="103" spans="1:5" ht="12.75">
      <c r="A103" s="10" t="s">
        <v>136</v>
      </c>
      <c r="B103" s="13" t="s">
        <v>137</v>
      </c>
      <c r="C103" s="12">
        <f>+'[7]JUSTIFICACION'!H216</f>
        <v>700000000</v>
      </c>
      <c r="D103" s="2"/>
      <c r="E103" s="22">
        <f>SUM(C103*100)/$D$161</f>
        <v>2.402153758914129</v>
      </c>
    </row>
    <row r="104" spans="1:5" ht="12.75">
      <c r="A104" s="1"/>
      <c r="B104" s="2"/>
      <c r="C104" s="2"/>
      <c r="D104" s="2"/>
      <c r="E104" s="4"/>
    </row>
    <row r="105" spans="1:5" ht="12.75">
      <c r="A105" s="5" t="s">
        <v>138</v>
      </c>
      <c r="B105" s="6" t="s">
        <v>139</v>
      </c>
      <c r="C105" s="7"/>
      <c r="D105" s="8">
        <f>SUM(D107)</f>
        <v>137155157.04</v>
      </c>
      <c r="E105" s="9">
        <f>SUM(D105*100)/$D$161</f>
        <v>0.470668251482991</v>
      </c>
    </row>
    <row r="106" spans="1:5" ht="12.75">
      <c r="A106" s="1"/>
      <c r="B106" s="2"/>
      <c r="C106" s="2"/>
      <c r="D106" s="2"/>
      <c r="E106" s="4"/>
    </row>
    <row r="107" spans="1:5" ht="12.75">
      <c r="A107" s="5" t="s">
        <v>140</v>
      </c>
      <c r="B107" s="7" t="s">
        <v>141</v>
      </c>
      <c r="C107" s="7"/>
      <c r="D107" s="8">
        <f>+C109+C112</f>
        <v>137155157.04</v>
      </c>
      <c r="E107" s="9">
        <f>SUM(D107*100)/$D$161</f>
        <v>0.470668251482991</v>
      </c>
    </row>
    <row r="108" spans="1:5" ht="12.75">
      <c r="A108" s="1"/>
      <c r="B108" s="2"/>
      <c r="C108" s="2"/>
      <c r="D108" s="2"/>
      <c r="E108" s="4"/>
    </row>
    <row r="109" spans="1:5" ht="27.75" customHeight="1">
      <c r="A109" s="10" t="s">
        <v>142</v>
      </c>
      <c r="B109" s="11" t="s">
        <v>143</v>
      </c>
      <c r="C109" s="12">
        <f>SUM(C110:C111)</f>
        <v>71300000</v>
      </c>
      <c r="D109" s="2"/>
      <c r="E109" s="14">
        <f>SUM(C109*100)/$D$161</f>
        <v>0.24467651858653916</v>
      </c>
    </row>
    <row r="110" spans="1:5" s="205" customFormat="1" ht="14.25" customHeight="1">
      <c r="A110" s="28" t="s">
        <v>144</v>
      </c>
      <c r="B110" s="16" t="s">
        <v>619</v>
      </c>
      <c r="C110" s="17">
        <f>+'[7]JUSTIFICACION'!H223</f>
        <v>64800000</v>
      </c>
      <c r="D110" s="16" t="s">
        <v>146</v>
      </c>
      <c r="E110" s="18">
        <f>SUM(C110*100)/$D$161</f>
        <v>0.22237080511090798</v>
      </c>
    </row>
    <row r="111" spans="1:5" s="205" customFormat="1" ht="12.75">
      <c r="A111" s="28" t="s">
        <v>500</v>
      </c>
      <c r="B111" s="42" t="s">
        <v>459</v>
      </c>
      <c r="C111" s="43">
        <f>+'[7]JUSTIFICACION'!H230</f>
        <v>6500000</v>
      </c>
      <c r="D111" s="16"/>
      <c r="E111" s="18"/>
    </row>
    <row r="112" spans="1:5" ht="25.5">
      <c r="A112" s="10" t="s">
        <v>147</v>
      </c>
      <c r="B112" s="11" t="s">
        <v>458</v>
      </c>
      <c r="C112" s="12">
        <f>+C113</f>
        <v>65855157.04</v>
      </c>
      <c r="D112" s="2"/>
      <c r="E112" s="14">
        <f>SUM(C112*100)/$D$161</f>
        <v>0.22599173289645183</v>
      </c>
    </row>
    <row r="113" spans="1:5" ht="12.75">
      <c r="A113" s="28" t="s">
        <v>148</v>
      </c>
      <c r="B113" s="2" t="s">
        <v>149</v>
      </c>
      <c r="C113" s="21">
        <f>+'[7]JUSTIFICACION'!H237</f>
        <v>65855157.04</v>
      </c>
      <c r="D113" s="2"/>
      <c r="E113" s="22">
        <f>SUM(C113*100)/$D$161</f>
        <v>0.22599173289645183</v>
      </c>
    </row>
    <row r="114" spans="1:5" ht="12.75">
      <c r="A114" s="1"/>
      <c r="B114" s="2"/>
      <c r="C114" s="2"/>
      <c r="D114" s="2"/>
      <c r="E114" s="4"/>
    </row>
    <row r="115" spans="1:5" ht="12.75">
      <c r="A115" s="5" t="s">
        <v>150</v>
      </c>
      <c r="B115" s="6" t="s">
        <v>151</v>
      </c>
      <c r="C115" s="7"/>
      <c r="D115" s="8">
        <f>+D128+D125+D117</f>
        <v>1798831823.77</v>
      </c>
      <c r="E115" s="9">
        <f>SUM(D115*100)/$D$161</f>
        <v>6.172958038747806</v>
      </c>
    </row>
    <row r="116" spans="1:5" ht="12.75">
      <c r="A116" s="1"/>
      <c r="B116" s="2"/>
      <c r="C116" s="21"/>
      <c r="D116" s="2"/>
      <c r="E116" s="4"/>
    </row>
    <row r="117" spans="1:5" ht="12.75">
      <c r="A117" s="5" t="s">
        <v>152</v>
      </c>
      <c r="B117" s="7" t="s">
        <v>153</v>
      </c>
      <c r="C117" s="7"/>
      <c r="D117" s="8">
        <f>+D119</f>
        <v>0</v>
      </c>
      <c r="E117" s="9">
        <f>SUM(D117*100)/$D$161</f>
        <v>0</v>
      </c>
    </row>
    <row r="118" spans="1:5" ht="12.75">
      <c r="A118" s="1"/>
      <c r="B118" s="2"/>
      <c r="C118" s="2"/>
      <c r="D118" s="2"/>
      <c r="E118" s="4"/>
    </row>
    <row r="119" spans="1:5" ht="12.75">
      <c r="A119" s="5" t="s">
        <v>154</v>
      </c>
      <c r="B119" s="7" t="s">
        <v>155</v>
      </c>
      <c r="C119" s="7"/>
      <c r="D119" s="8">
        <f>+C120</f>
        <v>0</v>
      </c>
      <c r="E119" s="9">
        <f>SUM(D119*100)/$D$161</f>
        <v>0</v>
      </c>
    </row>
    <row r="120" spans="1:5" s="194" customFormat="1" ht="10.5" customHeight="1">
      <c r="A120" s="10" t="s">
        <v>156</v>
      </c>
      <c r="B120" s="13" t="s">
        <v>157</v>
      </c>
      <c r="C120" s="12">
        <f>+C121</f>
        <v>0</v>
      </c>
      <c r="D120" s="13"/>
      <c r="E120" s="14">
        <f>SUM(C120*100)/$D$161</f>
        <v>0</v>
      </c>
    </row>
    <row r="121" spans="1:5" s="205" customFormat="1" ht="12.75">
      <c r="A121" s="15" t="s">
        <v>158</v>
      </c>
      <c r="B121" s="16" t="s">
        <v>159</v>
      </c>
      <c r="C121" s="17">
        <v>0</v>
      </c>
      <c r="D121" s="16"/>
      <c r="E121" s="18">
        <f>SUM(C121*100)/$D$161</f>
        <v>0</v>
      </c>
    </row>
    <row r="122" spans="1:5" s="205" customFormat="1" ht="12.75">
      <c r="A122" s="15"/>
      <c r="B122" s="16"/>
      <c r="C122" s="17"/>
      <c r="D122" s="16"/>
      <c r="E122" s="18"/>
    </row>
    <row r="123" spans="1:5" ht="29.25" customHeight="1">
      <c r="A123" s="5" t="s">
        <v>160</v>
      </c>
      <c r="B123" s="38" t="s">
        <v>161</v>
      </c>
      <c r="C123" s="7"/>
      <c r="D123" s="8">
        <f>+D125</f>
        <v>4000000</v>
      </c>
      <c r="E123" s="9">
        <f>SUM(D123*100)/$D$161</f>
        <v>0.013726592908080738</v>
      </c>
    </row>
    <row r="124" spans="1:5" s="205" customFormat="1" ht="12.75">
      <c r="A124" s="15"/>
      <c r="B124" s="16"/>
      <c r="C124" s="17"/>
      <c r="D124" s="16"/>
      <c r="E124" s="18"/>
    </row>
    <row r="125" spans="1:5" ht="10.5" customHeight="1">
      <c r="A125" s="5" t="s">
        <v>162</v>
      </c>
      <c r="B125" s="39" t="s">
        <v>163</v>
      </c>
      <c r="C125" s="40" t="s">
        <v>146</v>
      </c>
      <c r="D125" s="8">
        <f>SUM(C126)</f>
        <v>4000000</v>
      </c>
      <c r="E125" s="9">
        <f>SUM(D125*100)/$D$161</f>
        <v>0.013726592908080738</v>
      </c>
    </row>
    <row r="126" spans="1:5" s="205" customFormat="1" ht="12.75">
      <c r="A126" s="28" t="s">
        <v>164</v>
      </c>
      <c r="B126" s="16" t="s">
        <v>165</v>
      </c>
      <c r="C126" s="17">
        <f>+'[7]JUSTIFICACION'!H244</f>
        <v>4000000</v>
      </c>
      <c r="D126" s="16"/>
      <c r="E126" s="18">
        <f>SUM(C126*100)/$D$161</f>
        <v>0.013726592908080738</v>
      </c>
    </row>
    <row r="127" spans="1:5" ht="12.75">
      <c r="A127" s="1"/>
      <c r="B127" s="2"/>
      <c r="C127" s="2"/>
      <c r="D127" s="2"/>
      <c r="E127" s="4"/>
    </row>
    <row r="128" spans="1:5" ht="12.75">
      <c r="A128" s="5" t="s">
        <v>166</v>
      </c>
      <c r="B128" s="6" t="s">
        <v>167</v>
      </c>
      <c r="C128" s="7"/>
      <c r="D128" s="8">
        <f>SUM(D130)+D145</f>
        <v>1794831823.77</v>
      </c>
      <c r="E128" s="9">
        <f>SUM(D128*100)/$D$161</f>
        <v>6.159231445839725</v>
      </c>
    </row>
    <row r="129" spans="1:5" ht="12.75">
      <c r="A129" s="1"/>
      <c r="B129" s="2"/>
      <c r="C129" s="2"/>
      <c r="D129" s="2"/>
      <c r="E129" s="4"/>
    </row>
    <row r="130" spans="1:5" ht="12.75">
      <c r="A130" s="5" t="s">
        <v>554</v>
      </c>
      <c r="B130" s="7" t="s">
        <v>168</v>
      </c>
      <c r="C130" s="7"/>
      <c r="D130" s="8">
        <f>SUM(C132+C140)+C136</f>
        <v>1794831823.77</v>
      </c>
      <c r="E130" s="9">
        <f>SUM(D130*100)/$D$161</f>
        <v>6.159231445839725</v>
      </c>
    </row>
    <row r="131" spans="1:5" ht="12.75">
      <c r="A131" s="1"/>
      <c r="B131" s="2"/>
      <c r="C131" s="2"/>
      <c r="D131" s="2"/>
      <c r="E131" s="4"/>
    </row>
    <row r="132" spans="1:5" s="194" customFormat="1" ht="12.75">
      <c r="A132" s="10" t="s">
        <v>169</v>
      </c>
      <c r="B132" s="13" t="s">
        <v>170</v>
      </c>
      <c r="C132" s="41">
        <f>SUM(C133:C134)</f>
        <v>1776209803.79</v>
      </c>
      <c r="D132" s="13"/>
      <c r="E132" s="14">
        <f>SUM(C132*100)/$D$161</f>
        <v>6.0953272239918235</v>
      </c>
    </row>
    <row r="133" spans="1:5" s="205" customFormat="1" ht="12.75">
      <c r="A133" s="28" t="s">
        <v>171</v>
      </c>
      <c r="B133" s="42" t="s">
        <v>172</v>
      </c>
      <c r="C133" s="43">
        <f>+'[7]JUSTIFICACION'!H251</f>
        <v>1155409803.79</v>
      </c>
      <c r="D133" s="44"/>
      <c r="E133" s="45">
        <f>SUM(C133*100)/$D$161</f>
        <v>3.964960004657693</v>
      </c>
    </row>
    <row r="134" spans="1:5" s="205" customFormat="1" ht="12.75">
      <c r="A134" s="28" t="s">
        <v>501</v>
      </c>
      <c r="B134" s="42" t="s">
        <v>460</v>
      </c>
      <c r="C134" s="43">
        <f>+'[7]JUSTIFICACION'!H258</f>
        <v>620800000</v>
      </c>
      <c r="D134" s="44"/>
      <c r="E134" s="45"/>
    </row>
    <row r="135" spans="1:5" ht="12.75">
      <c r="A135" s="1"/>
      <c r="B135" s="2"/>
      <c r="C135" s="2"/>
      <c r="D135" s="2"/>
      <c r="E135" s="4"/>
    </row>
    <row r="136" spans="1:5" s="194" customFormat="1" ht="12.75" hidden="1">
      <c r="A136" s="10" t="s">
        <v>620</v>
      </c>
      <c r="B136" s="11" t="s">
        <v>621</v>
      </c>
      <c r="C136" s="41">
        <f>+C137</f>
        <v>0</v>
      </c>
      <c r="D136" s="13"/>
      <c r="E136" s="14">
        <f>SUM(C136*100)/$D$161</f>
        <v>0</v>
      </c>
    </row>
    <row r="137" spans="1:5" s="205" customFormat="1" ht="12.75" hidden="1">
      <c r="A137" s="28" t="s">
        <v>622</v>
      </c>
      <c r="B137" s="16" t="s">
        <v>623</v>
      </c>
      <c r="C137" s="17">
        <v>0</v>
      </c>
      <c r="D137" s="16"/>
      <c r="E137" s="18">
        <f>SUM(C137*100)/$D$161</f>
        <v>0</v>
      </c>
    </row>
    <row r="138" spans="1:5" ht="12.75" hidden="1">
      <c r="A138" s="1"/>
      <c r="B138" s="16"/>
      <c r="C138" s="2"/>
      <c r="D138" s="2"/>
      <c r="E138" s="4"/>
    </row>
    <row r="139" spans="1:5" ht="12.75">
      <c r="A139" s="1"/>
      <c r="B139" s="16"/>
      <c r="C139" s="2"/>
      <c r="D139" s="2"/>
      <c r="E139" s="4"/>
    </row>
    <row r="140" spans="1:5" s="194" customFormat="1" ht="25.5">
      <c r="A140" s="10" t="s">
        <v>173</v>
      </c>
      <c r="B140" s="11" t="s">
        <v>174</v>
      </c>
      <c r="C140" s="41">
        <f>+C141</f>
        <v>18622019.98</v>
      </c>
      <c r="D140" s="13"/>
      <c r="E140" s="14">
        <f>SUM(C140*100)/$D$161</f>
        <v>0.06390422184790145</v>
      </c>
    </row>
    <row r="141" spans="1:5" s="205" customFormat="1" ht="12.75">
      <c r="A141" s="28" t="s">
        <v>175</v>
      </c>
      <c r="B141" s="16" t="s">
        <v>176</v>
      </c>
      <c r="C141" s="17">
        <f>+'[7]JUSTIFICACION'!H265</f>
        <v>18622019.98</v>
      </c>
      <c r="D141" s="16"/>
      <c r="E141" s="18">
        <f>SUM(C141*100)/$D$161</f>
        <v>0.06390422184790145</v>
      </c>
    </row>
    <row r="142" spans="1:5" ht="12.75">
      <c r="A142" s="1"/>
      <c r="B142" s="16" t="s">
        <v>177</v>
      </c>
      <c r="C142" s="2"/>
      <c r="D142" s="2"/>
      <c r="E142" s="4"/>
    </row>
    <row r="143" spans="1:5" ht="12.75">
      <c r="A143" s="1"/>
      <c r="B143" s="16"/>
      <c r="C143" s="2"/>
      <c r="D143" s="2"/>
      <c r="E143" s="4"/>
    </row>
    <row r="144" spans="1:5" ht="12.75">
      <c r="A144" s="1"/>
      <c r="B144" s="16"/>
      <c r="C144" s="2"/>
      <c r="D144" s="2"/>
      <c r="E144" s="4"/>
    </row>
    <row r="145" spans="1:5" ht="12.75" hidden="1">
      <c r="A145" s="5" t="s">
        <v>555</v>
      </c>
      <c r="B145" s="7" t="s">
        <v>556</v>
      </c>
      <c r="C145" s="7"/>
      <c r="D145" s="8">
        <f>+D146</f>
        <v>0</v>
      </c>
      <c r="E145" s="9"/>
    </row>
    <row r="146" spans="1:5" ht="12.75" hidden="1">
      <c r="A146" s="338" t="s">
        <v>557</v>
      </c>
      <c r="B146" s="7" t="s">
        <v>624</v>
      </c>
      <c r="C146" s="7"/>
      <c r="D146" s="8">
        <f>+C147</f>
        <v>0</v>
      </c>
      <c r="E146" s="9"/>
    </row>
    <row r="147" spans="1:5" ht="12.75" hidden="1">
      <c r="A147" s="338" t="s">
        <v>625</v>
      </c>
      <c r="B147" s="16" t="s">
        <v>626</v>
      </c>
      <c r="C147" s="17">
        <f>+'[7]JUSTIFICACION'!H272</f>
        <v>0</v>
      </c>
      <c r="D147" s="2"/>
      <c r="E147" s="18">
        <f>SUM(C147*100)/$D$161</f>
        <v>0</v>
      </c>
    </row>
    <row r="148" spans="1:5" ht="12.75">
      <c r="A148" s="338"/>
      <c r="B148" s="339"/>
      <c r="C148" s="2"/>
      <c r="D148" s="2"/>
      <c r="E148" s="4"/>
    </row>
    <row r="149" spans="1:5" ht="12.75">
      <c r="A149" s="5" t="s">
        <v>559</v>
      </c>
      <c r="B149" s="7" t="s">
        <v>560</v>
      </c>
      <c r="C149" s="7"/>
      <c r="D149" s="8">
        <f>+D151+D154</f>
        <v>1234000000</v>
      </c>
      <c r="E149" s="9"/>
    </row>
    <row r="150" spans="1:5" ht="12.75">
      <c r="A150" s="1"/>
      <c r="B150" s="2"/>
      <c r="C150" s="2"/>
      <c r="D150" s="2"/>
      <c r="E150" s="4"/>
    </row>
    <row r="151" spans="1:5" ht="12.75" hidden="1">
      <c r="A151" s="5" t="s">
        <v>561</v>
      </c>
      <c r="B151" s="6" t="s">
        <v>562</v>
      </c>
      <c r="C151" s="7"/>
      <c r="D151" s="8">
        <f>+C152</f>
        <v>0</v>
      </c>
      <c r="E151" s="9"/>
    </row>
    <row r="152" spans="1:5" ht="12.75" hidden="1">
      <c r="A152" s="5" t="s">
        <v>563</v>
      </c>
      <c r="B152" s="7" t="s">
        <v>564</v>
      </c>
      <c r="C152" s="8">
        <f>+C153</f>
        <v>0</v>
      </c>
      <c r="D152" s="8"/>
      <c r="E152" s="9"/>
    </row>
    <row r="153" spans="1:5" ht="12.75" hidden="1">
      <c r="A153" s="338" t="s">
        <v>565</v>
      </c>
      <c r="B153" s="16" t="s">
        <v>639</v>
      </c>
      <c r="C153" s="17">
        <f>+'[7]JUSTIFICACION'!G274</f>
        <v>0</v>
      </c>
      <c r="D153" s="2"/>
      <c r="E153" s="18">
        <f>SUM(C153*100)/$D$161</f>
        <v>0</v>
      </c>
    </row>
    <row r="154" spans="1:5" ht="12.75">
      <c r="A154" s="391" t="s">
        <v>627</v>
      </c>
      <c r="B154" s="392" t="s">
        <v>628</v>
      </c>
      <c r="C154" s="393"/>
      <c r="D154" s="394">
        <f>+C156</f>
        <v>1234000000</v>
      </c>
      <c r="E154" s="395"/>
    </row>
    <row r="155" spans="1:5" ht="12.75">
      <c r="A155" s="1"/>
      <c r="C155" s="396"/>
      <c r="E155" s="4"/>
    </row>
    <row r="156" spans="1:8" ht="12.75">
      <c r="A156" s="10" t="s">
        <v>629</v>
      </c>
      <c r="B156" s="194" t="s">
        <v>630</v>
      </c>
      <c r="C156" s="397">
        <f>1067000000+167000000</f>
        <v>1234000000</v>
      </c>
      <c r="D156" s="194"/>
      <c r="E156" s="18">
        <f>SUM(C156*100)/$D$161</f>
        <v>4.234653912142908</v>
      </c>
      <c r="F156" s="194"/>
      <c r="G156" s="194"/>
      <c r="H156" s="194"/>
    </row>
    <row r="157" spans="1:5" ht="12.75">
      <c r="A157" s="398"/>
      <c r="B157" s="16"/>
      <c r="C157" s="17"/>
      <c r="D157" s="2"/>
      <c r="E157" s="4"/>
    </row>
    <row r="158" spans="1:5" ht="12.75">
      <c r="A158" s="398"/>
      <c r="B158" s="16"/>
      <c r="C158" s="17"/>
      <c r="D158" s="2"/>
      <c r="E158" s="4"/>
    </row>
    <row r="159" spans="1:5" ht="12.75">
      <c r="A159" s="1"/>
      <c r="B159" s="16"/>
      <c r="C159" s="2"/>
      <c r="D159" s="2"/>
      <c r="E159" s="4"/>
    </row>
    <row r="160" spans="1:5" ht="13.5" thickBot="1">
      <c r="A160" s="324"/>
      <c r="B160" s="320"/>
      <c r="C160" s="320"/>
      <c r="D160" s="320"/>
      <c r="E160" s="325"/>
    </row>
    <row r="161" spans="1:5" ht="13.5" thickBot="1">
      <c r="A161" s="330"/>
      <c r="B161" s="331" t="s">
        <v>178</v>
      </c>
      <c r="C161" s="331"/>
      <c r="D161" s="332">
        <f>SUM(D9+D115+D149)</f>
        <v>29140515980.81</v>
      </c>
      <c r="E161" s="46">
        <f>SUM(D161*100)/$D$161</f>
        <v>100</v>
      </c>
    </row>
    <row r="166" ht="12.75">
      <c r="D166" s="201">
        <f>+D161-C156-C153-C147-C133</f>
        <v>26751106177.02</v>
      </c>
    </row>
  </sheetData>
  <sheetProtection/>
  <mergeCells count="5">
    <mergeCell ref="A1:E1"/>
    <mergeCell ref="A2:E2"/>
    <mergeCell ref="A3:E3"/>
    <mergeCell ref="A4:E4"/>
    <mergeCell ref="A5:E5"/>
  </mergeCells>
  <printOptions horizontalCentered="1" verticalCentered="1"/>
  <pageMargins left="0.7480314960629921" right="0.7480314960629921" top="0.984251968503937" bottom="0.984251968503937" header="0" footer="0"/>
  <pageSetup horizontalDpi="300" verticalDpi="300" orientation="portrait" scale="55" r:id="rId1"/>
</worksheet>
</file>

<file path=xl/worksheets/sheet3.xml><?xml version="1.0" encoding="utf-8"?>
<worksheet xmlns="http://schemas.openxmlformats.org/spreadsheetml/2006/main" xmlns:r="http://schemas.openxmlformats.org/officeDocument/2006/relationships">
  <dimension ref="A1:H27"/>
  <sheetViews>
    <sheetView zoomScalePageLayoutView="0" workbookViewId="0" topLeftCell="A6">
      <selection activeCell="H12" sqref="H12"/>
    </sheetView>
  </sheetViews>
  <sheetFormatPr defaultColWidth="11.421875" defaultRowHeight="12.75"/>
  <cols>
    <col min="3" max="3" width="18.421875" style="0" customWidth="1"/>
    <col min="4" max="4" width="15.28125" style="0" bestFit="1" customWidth="1"/>
    <col min="5" max="5" width="16.421875" style="0" bestFit="1" customWidth="1"/>
    <col min="6" max="6" width="15.28125" style="0" bestFit="1" customWidth="1"/>
    <col min="7" max="7" width="16.57421875" style="0" bestFit="1" customWidth="1"/>
    <col min="8" max="8" width="16.421875" style="0" bestFit="1" customWidth="1"/>
  </cols>
  <sheetData>
    <row r="1" spans="1:7" ht="12.75">
      <c r="A1" s="504" t="s">
        <v>0</v>
      </c>
      <c r="B1" s="505"/>
      <c r="C1" s="505"/>
      <c r="D1" s="505"/>
      <c r="E1" s="505"/>
      <c r="F1" s="505"/>
      <c r="G1" s="520"/>
    </row>
    <row r="2" spans="1:7" ht="12.75">
      <c r="A2" s="507" t="s">
        <v>179</v>
      </c>
      <c r="B2" s="508"/>
      <c r="C2" s="508"/>
      <c r="D2" s="508"/>
      <c r="E2" s="508"/>
      <c r="F2" s="508"/>
      <c r="G2" s="510"/>
    </row>
    <row r="3" spans="1:7" ht="12.75">
      <c r="A3" s="507" t="s">
        <v>618</v>
      </c>
      <c r="B3" s="508"/>
      <c r="C3" s="508"/>
      <c r="D3" s="508"/>
      <c r="E3" s="508"/>
      <c r="F3" s="508"/>
      <c r="G3" s="510"/>
    </row>
    <row r="4" spans="1:7" ht="12.75">
      <c r="A4" s="507" t="s">
        <v>180</v>
      </c>
      <c r="B4" s="508"/>
      <c r="C4" s="508"/>
      <c r="D4" s="508"/>
      <c r="E4" s="508"/>
      <c r="F4" s="508"/>
      <c r="G4" s="510"/>
    </row>
    <row r="5" spans="1:7" ht="13.5" thickBot="1">
      <c r="A5" s="10"/>
      <c r="B5" s="2"/>
      <c r="C5" s="2"/>
      <c r="D5" s="2"/>
      <c r="E5" s="2"/>
      <c r="F5" s="2"/>
      <c r="G5" s="4"/>
    </row>
    <row r="6" spans="1:7" ht="13.5" thickBot="1">
      <c r="A6" s="47"/>
      <c r="B6" s="514"/>
      <c r="C6" s="515"/>
      <c r="D6" s="49"/>
      <c r="E6" s="49"/>
      <c r="F6" s="49"/>
      <c r="G6" s="50"/>
    </row>
    <row r="7" spans="1:7" ht="13.5" thickBot="1">
      <c r="A7" s="195"/>
      <c r="B7" s="516" t="s">
        <v>181</v>
      </c>
      <c r="C7" s="517"/>
      <c r="D7" s="196"/>
      <c r="E7" s="196"/>
      <c r="F7" s="196"/>
      <c r="G7" s="197"/>
    </row>
    <row r="8" spans="1:7" ht="36.75">
      <c r="A8" s="63"/>
      <c r="B8" s="518"/>
      <c r="C8" s="518"/>
      <c r="D8" s="64" t="s">
        <v>191</v>
      </c>
      <c r="E8" s="64" t="s">
        <v>192</v>
      </c>
      <c r="F8" s="64" t="s">
        <v>193</v>
      </c>
      <c r="G8" s="65" t="s">
        <v>195</v>
      </c>
    </row>
    <row r="9" spans="1:8" ht="12.75">
      <c r="A9" s="10"/>
      <c r="B9" s="519" t="s">
        <v>194</v>
      </c>
      <c r="C9" s="519"/>
      <c r="D9" s="53">
        <f>SUM(D11:D27)</f>
        <v>9754429064.720594</v>
      </c>
      <c r="E9" s="53">
        <f>SUM(E11:E27)</f>
        <v>11721876135.35481</v>
      </c>
      <c r="F9" s="53">
        <f>SUM(F11:F27)</f>
        <v>7664210780.733231</v>
      </c>
      <c r="G9" s="59">
        <f>SUM(D9:F9)</f>
        <v>29140515980.808636</v>
      </c>
      <c r="H9" s="201"/>
    </row>
    <row r="10" spans="1:7" ht="12.75">
      <c r="A10" s="10"/>
      <c r="B10" s="51"/>
      <c r="C10" s="51"/>
      <c r="D10" s="58"/>
      <c r="E10" s="58"/>
      <c r="F10" s="58"/>
      <c r="G10" s="60"/>
    </row>
    <row r="11" spans="1:8" ht="12.75">
      <c r="A11" s="10">
        <v>0</v>
      </c>
      <c r="B11" s="513" t="s">
        <v>182</v>
      </c>
      <c r="C11" s="513"/>
      <c r="D11" s="53">
        <f>+'[7]ProgramaI'!E8</f>
        <v>5034390120.714888</v>
      </c>
      <c r="E11" s="53">
        <f>+'[7]Programa II'!E8</f>
        <v>3938284125.2349105</v>
      </c>
      <c r="F11" s="53">
        <f>+'[7]Programa III'!E8</f>
        <v>1546027585.6218052</v>
      </c>
      <c r="G11" s="59">
        <f>SUM(D11:F11)</f>
        <v>10518701831.571604</v>
      </c>
      <c r="H11" s="201">
        <f>SUM(G11:G27)</f>
        <v>29140515980.80864</v>
      </c>
    </row>
    <row r="12" spans="1:7" ht="12.75">
      <c r="A12" s="10"/>
      <c r="B12" s="512"/>
      <c r="C12" s="512"/>
      <c r="D12" s="51"/>
      <c r="E12" s="58"/>
      <c r="F12" s="54"/>
      <c r="G12" s="60"/>
    </row>
    <row r="13" spans="1:7" ht="12.75">
      <c r="A13" s="10">
        <v>1</v>
      </c>
      <c r="B13" s="513" t="s">
        <v>183</v>
      </c>
      <c r="C13" s="513"/>
      <c r="D13" s="53">
        <f>+'[7]ProgramaI'!E10</f>
        <v>1568337439.5338998</v>
      </c>
      <c r="E13" s="53">
        <f>+'[7]Programa II'!E10</f>
        <v>5530219300.2699</v>
      </c>
      <c r="F13" s="53">
        <f>+'[7]Programa III'!E10</f>
        <v>409716451.421425</v>
      </c>
      <c r="G13" s="59">
        <f>SUM(D13:F13)</f>
        <v>7508273191.225225</v>
      </c>
    </row>
    <row r="14" spans="1:7" ht="12.75">
      <c r="A14" s="10"/>
      <c r="B14" s="52"/>
      <c r="C14" s="52"/>
      <c r="D14" s="53"/>
      <c r="E14" s="51"/>
      <c r="F14" s="53"/>
      <c r="G14" s="59"/>
    </row>
    <row r="15" spans="1:7" ht="12.75">
      <c r="A15" s="10">
        <v>2</v>
      </c>
      <c r="B15" s="513" t="s">
        <v>184</v>
      </c>
      <c r="C15" s="513"/>
      <c r="D15" s="53">
        <f>+'[7]ProgramaI'!E12</f>
        <v>112711444.08</v>
      </c>
      <c r="E15" s="53">
        <f>+'[7]Programa II'!E12</f>
        <v>361025856.1</v>
      </c>
      <c r="F15" s="53">
        <f>+'[7]Programa III'!E12</f>
        <v>619332077.94</v>
      </c>
      <c r="G15" s="59">
        <f>SUM(D15:F15)</f>
        <v>1093069378.1200001</v>
      </c>
    </row>
    <row r="16" spans="1:7" ht="12.75">
      <c r="A16" s="10"/>
      <c r="B16" s="512"/>
      <c r="C16" s="512"/>
      <c r="D16" s="55"/>
      <c r="E16" s="52"/>
      <c r="F16" s="55"/>
      <c r="G16" s="61"/>
    </row>
    <row r="17" spans="1:7" ht="12.75">
      <c r="A17" s="10">
        <v>3</v>
      </c>
      <c r="B17" s="513" t="s">
        <v>185</v>
      </c>
      <c r="C17" s="513"/>
      <c r="D17" s="53">
        <f>+'[7]ProgramaI'!E14</f>
        <v>0</v>
      </c>
      <c r="E17" s="53">
        <f>+'[7]Programa II'!E14</f>
        <v>550500000</v>
      </c>
      <c r="F17" s="53">
        <f>+'[2]Programa III'!$E14</f>
        <v>0</v>
      </c>
      <c r="G17" s="59">
        <f>SUM(E17:F17)</f>
        <v>550500000</v>
      </c>
    </row>
    <row r="18" spans="1:7" ht="12.75">
      <c r="A18" s="10"/>
      <c r="B18" s="512"/>
      <c r="C18" s="512"/>
      <c r="D18" s="55"/>
      <c r="E18" s="51"/>
      <c r="F18" s="53"/>
      <c r="G18" s="61"/>
    </row>
    <row r="19" spans="1:7" ht="12.75">
      <c r="A19" s="10">
        <v>5</v>
      </c>
      <c r="B19" s="513" t="s">
        <v>186</v>
      </c>
      <c r="C19" s="513"/>
      <c r="D19" s="53">
        <f>+'[7]ProgramaI'!E16</f>
        <v>147095264.273</v>
      </c>
      <c r="E19" s="53">
        <f>+'[7]Programa II'!E16</f>
        <v>872302803.48</v>
      </c>
      <c r="F19" s="53">
        <f>+'[7]Programa III'!E16</f>
        <v>3146739154.2500005</v>
      </c>
      <c r="G19" s="59">
        <f>SUM(D19:F19)</f>
        <v>4166137222.0030003</v>
      </c>
    </row>
    <row r="20" spans="1:7" ht="12.75">
      <c r="A20" s="10"/>
      <c r="B20" s="512" t="s">
        <v>146</v>
      </c>
      <c r="C20" s="512"/>
      <c r="D20" s="55" t="s">
        <v>146</v>
      </c>
      <c r="E20" s="51"/>
      <c r="F20" s="55" t="s">
        <v>146</v>
      </c>
      <c r="G20" s="61" t="s">
        <v>146</v>
      </c>
    </row>
    <row r="21" spans="1:7" ht="12.75">
      <c r="A21" s="10">
        <v>6</v>
      </c>
      <c r="B21" s="513" t="s">
        <v>187</v>
      </c>
      <c r="C21" s="513"/>
      <c r="D21" s="53">
        <f>+'[7]ProgramaI'!E18</f>
        <v>2891894796.1188073</v>
      </c>
      <c r="E21" s="53">
        <f>+'[7]Programa II'!E18</f>
        <v>184544050.27</v>
      </c>
      <c r="F21" s="53">
        <f>+'[7]Programa III'!E18</f>
        <v>71095350.01</v>
      </c>
      <c r="G21" s="59">
        <f>SUM(D21:F21)</f>
        <v>3147534196.3988075</v>
      </c>
    </row>
    <row r="22" spans="1:7" ht="12.75">
      <c r="A22" s="10"/>
      <c r="B22" s="52"/>
      <c r="C22" s="52"/>
      <c r="D22" s="52"/>
      <c r="E22" s="51"/>
      <c r="F22" s="52"/>
      <c r="G22" s="61"/>
    </row>
    <row r="23" spans="1:7" ht="12.75">
      <c r="A23" s="56">
        <v>7</v>
      </c>
      <c r="B23" s="513" t="s">
        <v>188</v>
      </c>
      <c r="C23" s="513"/>
      <c r="D23" s="53">
        <v>0</v>
      </c>
      <c r="E23" s="53">
        <v>0</v>
      </c>
      <c r="F23" s="53">
        <f>+'[7]Programa III'!$E$27</f>
        <v>1867850760.6299999</v>
      </c>
      <c r="G23" s="59">
        <f>SUM(F23)</f>
        <v>1867850760.6299999</v>
      </c>
    </row>
    <row r="24" spans="1:7" ht="12.75">
      <c r="A24" s="10"/>
      <c r="B24" s="512"/>
      <c r="C24" s="512"/>
      <c r="D24" s="51"/>
      <c r="E24" s="51"/>
      <c r="F24" s="51"/>
      <c r="G24" s="60"/>
    </row>
    <row r="25" spans="1:7" ht="12.75">
      <c r="A25" s="10">
        <v>8</v>
      </c>
      <c r="B25" s="513" t="s">
        <v>189</v>
      </c>
      <c r="C25" s="513"/>
      <c r="D25" s="53">
        <v>0</v>
      </c>
      <c r="E25" s="53">
        <f>+'[7]Programa II'!$E$31</f>
        <v>285000000</v>
      </c>
      <c r="F25" s="53">
        <v>0</v>
      </c>
      <c r="G25" s="59">
        <f>SUM(E25:F25)</f>
        <v>285000000</v>
      </c>
    </row>
    <row r="26" spans="1:7" ht="12.75">
      <c r="A26" s="1"/>
      <c r="B26" s="2"/>
      <c r="C26" s="2"/>
      <c r="D26" s="2"/>
      <c r="E26" s="2"/>
      <c r="F26" s="2"/>
      <c r="G26" s="59"/>
    </row>
    <row r="27" spans="1:7" s="194" customFormat="1" ht="13.5" thickBot="1">
      <c r="A27" s="57">
        <v>9</v>
      </c>
      <c r="B27" s="198" t="s">
        <v>190</v>
      </c>
      <c r="C27" s="198"/>
      <c r="D27" s="200">
        <v>0</v>
      </c>
      <c r="E27" s="200">
        <f>+'[2]Programa II'!$E$33</f>
        <v>0</v>
      </c>
      <c r="F27" s="200">
        <f>+'[7]Programa III'!$E$43</f>
        <v>3449400.86</v>
      </c>
      <c r="G27" s="62">
        <f>SUM(D27:F27)</f>
        <v>3449400.86</v>
      </c>
    </row>
  </sheetData>
  <sheetProtection/>
  <mergeCells count="21">
    <mergeCell ref="B6:C6"/>
    <mergeCell ref="B7:C7"/>
    <mergeCell ref="B8:C8"/>
    <mergeCell ref="B9:C9"/>
    <mergeCell ref="A1:G1"/>
    <mergeCell ref="A2:G2"/>
    <mergeCell ref="A3:G3"/>
    <mergeCell ref="A4:G4"/>
    <mergeCell ref="B11:C11"/>
    <mergeCell ref="B12:C12"/>
    <mergeCell ref="B16:C16"/>
    <mergeCell ref="B17:C17"/>
    <mergeCell ref="B13:C13"/>
    <mergeCell ref="B15:C15"/>
    <mergeCell ref="B18:C18"/>
    <mergeCell ref="B19:C19"/>
    <mergeCell ref="B25:C25"/>
    <mergeCell ref="B20:C20"/>
    <mergeCell ref="B21:C21"/>
    <mergeCell ref="B23:C23"/>
    <mergeCell ref="B24:C24"/>
  </mergeCells>
  <printOptions horizontalCentered="1" verticalCentered="1"/>
  <pageMargins left="0.7874015748031497" right="0.7874015748031497" top="0.984251968503937" bottom="0.984251968503937" header="0" footer="0"/>
  <pageSetup horizontalDpi="300" verticalDpi="300" orientation="landscape" scale="90" r:id="rId1"/>
</worksheet>
</file>

<file path=xl/worksheets/sheet4.xml><?xml version="1.0" encoding="utf-8"?>
<worksheet xmlns="http://schemas.openxmlformats.org/spreadsheetml/2006/main" xmlns:r="http://schemas.openxmlformats.org/officeDocument/2006/relationships">
  <dimension ref="A1:K238"/>
  <sheetViews>
    <sheetView view="pageBreakPreview" zoomScale="96" zoomScaleSheetLayoutView="96" zoomScalePageLayoutView="0" workbookViewId="0" topLeftCell="A163">
      <selection activeCell="H241" sqref="H241"/>
    </sheetView>
  </sheetViews>
  <sheetFormatPr defaultColWidth="11.421875" defaultRowHeight="12.75"/>
  <cols>
    <col min="1" max="2" width="3.8515625" style="83" customWidth="1"/>
    <col min="3" max="3" width="4.8515625" style="83" bestFit="1" customWidth="1"/>
    <col min="4" max="4" width="3.7109375" style="67" customWidth="1"/>
    <col min="5" max="5" width="36.7109375" style="67" customWidth="1"/>
    <col min="6" max="6" width="23.00390625" style="67" bestFit="1" customWidth="1"/>
    <col min="7" max="7" width="23.421875" style="67" bestFit="1" customWidth="1"/>
    <col min="8" max="8" width="23.28125" style="83" bestFit="1" customWidth="1"/>
    <col min="9" max="9" width="23.57421875" style="83" bestFit="1" customWidth="1"/>
    <col min="10" max="10" width="18.7109375" style="67" bestFit="1" customWidth="1"/>
    <col min="11" max="11" width="18.8515625" style="67" bestFit="1" customWidth="1"/>
    <col min="12" max="16384" width="11.421875" style="67" customWidth="1"/>
  </cols>
  <sheetData>
    <row r="1" spans="1:11" ht="12.75">
      <c r="A1" s="521" t="s">
        <v>0</v>
      </c>
      <c r="B1" s="522"/>
      <c r="C1" s="522"/>
      <c r="D1" s="522"/>
      <c r="E1" s="522"/>
      <c r="F1" s="522"/>
      <c r="G1" s="522"/>
      <c r="H1" s="522"/>
      <c r="I1" s="523"/>
      <c r="J1" s="66"/>
      <c r="K1" s="66"/>
    </row>
    <row r="2" spans="1:11" ht="12.75">
      <c r="A2" s="524" t="s">
        <v>196</v>
      </c>
      <c r="B2" s="525"/>
      <c r="C2" s="525"/>
      <c r="D2" s="525"/>
      <c r="E2" s="525"/>
      <c r="F2" s="525"/>
      <c r="G2" s="525"/>
      <c r="H2" s="525"/>
      <c r="I2" s="526"/>
      <c r="J2" s="66"/>
      <c r="K2" s="66"/>
    </row>
    <row r="3" spans="1:11" ht="12.75">
      <c r="A3" s="524" t="s">
        <v>727</v>
      </c>
      <c r="B3" s="525"/>
      <c r="C3" s="525"/>
      <c r="D3" s="525"/>
      <c r="E3" s="525"/>
      <c r="F3" s="525"/>
      <c r="G3" s="525"/>
      <c r="H3" s="525"/>
      <c r="I3" s="526"/>
      <c r="J3" s="66"/>
      <c r="K3" s="66"/>
    </row>
    <row r="4" spans="1:11" ht="12.75">
      <c r="A4" s="68"/>
      <c r="B4" s="66"/>
      <c r="C4" s="66"/>
      <c r="D4" s="66"/>
      <c r="E4" s="66"/>
      <c r="F4" s="66"/>
      <c r="G4" s="66"/>
      <c r="H4" s="66"/>
      <c r="I4" s="69"/>
      <c r="J4" s="66"/>
      <c r="K4" s="66"/>
    </row>
    <row r="5" spans="1:11" ht="12.75">
      <c r="A5" s="527" t="s">
        <v>197</v>
      </c>
      <c r="B5" s="528"/>
      <c r="C5" s="528"/>
      <c r="D5" s="528"/>
      <c r="E5" s="528"/>
      <c r="F5" s="528"/>
      <c r="G5" s="528"/>
      <c r="H5" s="528"/>
      <c r="I5" s="529"/>
      <c r="J5" s="66"/>
      <c r="K5" s="66"/>
    </row>
    <row r="6" spans="1:9" ht="12.75">
      <c r="A6" s="70"/>
      <c r="B6" s="71"/>
      <c r="C6" s="71"/>
      <c r="D6" s="72"/>
      <c r="E6" s="72"/>
      <c r="F6" s="72"/>
      <c r="G6" s="72"/>
      <c r="H6" s="71"/>
      <c r="I6" s="73"/>
    </row>
    <row r="7" spans="1:9" ht="12.75">
      <c r="A7" s="70" t="s">
        <v>198</v>
      </c>
      <c r="B7" s="71"/>
      <c r="C7" s="71"/>
      <c r="D7" s="72"/>
      <c r="E7" s="72"/>
      <c r="F7" s="72"/>
      <c r="G7" s="72"/>
      <c r="H7" s="71"/>
      <c r="I7" s="73"/>
    </row>
    <row r="8" spans="1:9" ht="12.75">
      <c r="A8" s="70"/>
      <c r="B8" s="71"/>
      <c r="C8" s="71"/>
      <c r="D8" s="72"/>
      <c r="E8" s="72"/>
      <c r="F8" s="72"/>
      <c r="G8" s="72"/>
      <c r="H8" s="71"/>
      <c r="I8" s="73"/>
    </row>
    <row r="9" spans="1:9" ht="12.75">
      <c r="A9" s="70"/>
      <c r="B9" s="71"/>
      <c r="C9" s="71"/>
      <c r="D9" s="72"/>
      <c r="E9" s="72"/>
      <c r="F9" s="72"/>
      <c r="G9" s="72"/>
      <c r="H9" s="71"/>
      <c r="I9" s="73"/>
    </row>
    <row r="10" spans="1:9" ht="12.75">
      <c r="A10" s="530" t="s">
        <v>3</v>
      </c>
      <c r="B10" s="531"/>
      <c r="C10" s="531"/>
      <c r="D10" s="531"/>
      <c r="E10" s="74" t="s">
        <v>199</v>
      </c>
      <c r="F10" s="531" t="s">
        <v>200</v>
      </c>
      <c r="G10" s="531"/>
      <c r="H10" s="531"/>
      <c r="I10" s="532"/>
    </row>
    <row r="11" spans="1:9" ht="13.5" thickBot="1">
      <c r="A11" s="75"/>
      <c r="B11" s="76"/>
      <c r="C11" s="76"/>
      <c r="D11" s="76"/>
      <c r="E11" s="77"/>
      <c r="F11" s="76" t="s">
        <v>201</v>
      </c>
      <c r="G11" s="76" t="s">
        <v>202</v>
      </c>
      <c r="H11" s="76" t="s">
        <v>203</v>
      </c>
      <c r="I11" s="78" t="s">
        <v>6</v>
      </c>
    </row>
    <row r="12" spans="1:9" ht="14.25" thickBot="1" thickTop="1">
      <c r="A12" s="68"/>
      <c r="B12" s="66"/>
      <c r="C12" s="66"/>
      <c r="D12" s="216"/>
      <c r="E12" s="72"/>
      <c r="F12" s="72"/>
      <c r="G12" s="72"/>
      <c r="H12" s="71"/>
      <c r="I12" s="73"/>
    </row>
    <row r="13" spans="1:9" ht="12.75">
      <c r="A13" s="209">
        <v>1</v>
      </c>
      <c r="B13" s="210">
        <v>0</v>
      </c>
      <c r="C13" s="210" t="s">
        <v>146</v>
      </c>
      <c r="D13" s="215" t="s">
        <v>146</v>
      </c>
      <c r="E13" s="399" t="s">
        <v>182</v>
      </c>
      <c r="F13" s="400">
        <f>+F15+F20+F25+F31+F34+F41</f>
        <v>5034390120.714888</v>
      </c>
      <c r="G13" s="400">
        <f>+G15+G20+G25+G31+G34+G41</f>
        <v>3938284125.2349105</v>
      </c>
      <c r="H13" s="400">
        <f>+H15+H20+H25+H31+H34+H41</f>
        <v>1546027585.6218052</v>
      </c>
      <c r="I13" s="203">
        <f>SUM(F13:H13)</f>
        <v>10518701831.571604</v>
      </c>
    </row>
    <row r="14" spans="1:10" ht="12.75">
      <c r="A14" s="68"/>
      <c r="B14" s="66"/>
      <c r="C14" s="66"/>
      <c r="D14" s="216"/>
      <c r="E14" s="72"/>
      <c r="F14" s="72"/>
      <c r="G14" s="72"/>
      <c r="H14" s="72"/>
      <c r="I14" s="73"/>
      <c r="J14" s="80">
        <f>+I13-I24</f>
        <v>9984231781.461603</v>
      </c>
    </row>
    <row r="15" spans="1:10" s="83" customFormat="1" ht="12.75">
      <c r="A15" s="68" t="s">
        <v>146</v>
      </c>
      <c r="B15" s="66"/>
      <c r="C15" s="66">
        <v>1</v>
      </c>
      <c r="D15" s="66"/>
      <c r="E15" s="71" t="s">
        <v>204</v>
      </c>
      <c r="F15" s="81">
        <f>SUM(F16:F19)</f>
        <v>1781751308.8</v>
      </c>
      <c r="G15" s="81">
        <f>SUM(G16:G19)</f>
        <v>1703931800</v>
      </c>
      <c r="H15" s="81">
        <f>SUM(H16:H19)</f>
        <v>655554600</v>
      </c>
      <c r="I15" s="79">
        <f>SUM(F15:H15)</f>
        <v>4141237708.8</v>
      </c>
      <c r="J15" s="82"/>
    </row>
    <row r="16" spans="1:11" ht="12.75">
      <c r="A16" s="68"/>
      <c r="B16" s="66"/>
      <c r="C16" s="66" t="s">
        <v>146</v>
      </c>
      <c r="D16" s="216">
        <v>1</v>
      </c>
      <c r="E16" s="72" t="s">
        <v>205</v>
      </c>
      <c r="F16" s="84">
        <f>+'[6]PRG1'!F16+'[6]Auditoría'!F16</f>
        <v>1511282404.8</v>
      </c>
      <c r="G16" s="84">
        <f>+'[6]PRG2'!F16</f>
        <v>1625281800</v>
      </c>
      <c r="H16" s="84">
        <f>+'[6]PROG3'!F16</f>
        <v>634554600</v>
      </c>
      <c r="I16" s="79">
        <f>SUM(F16:H16)</f>
        <v>3771118804.8</v>
      </c>
      <c r="J16" s="85"/>
      <c r="K16" s="80">
        <f>+I13+F49+F58+F59+F61+F73</f>
        <v>10990876639.231604</v>
      </c>
    </row>
    <row r="17" spans="1:11" ht="12.75" hidden="1">
      <c r="A17" s="68"/>
      <c r="B17" s="66"/>
      <c r="C17" s="66"/>
      <c r="D17" s="216">
        <v>2</v>
      </c>
      <c r="E17" s="72" t="s">
        <v>206</v>
      </c>
      <c r="F17" s="84">
        <f>+'[6]PRG1'!F17+'[6]Auditoría'!F17</f>
        <v>0</v>
      </c>
      <c r="G17" s="84">
        <f>+'[6]PRG2'!F17</f>
        <v>0</v>
      </c>
      <c r="H17" s="84">
        <f>+'[6]PROG3'!F17</f>
        <v>0</v>
      </c>
      <c r="I17" s="79">
        <f aca="true" t="shared" si="0" ref="I17:I81">SUM(F17:H17)</f>
        <v>0</v>
      </c>
      <c r="J17" s="85"/>
      <c r="K17" s="80"/>
    </row>
    <row r="18" spans="1:10" ht="12.75">
      <c r="A18" s="68"/>
      <c r="B18" s="66"/>
      <c r="C18" s="66"/>
      <c r="D18" s="216">
        <v>3</v>
      </c>
      <c r="E18" s="72" t="s">
        <v>207</v>
      </c>
      <c r="F18" s="84">
        <f>+'[6]PRG1'!F18+'[6]Auditoría'!F18</f>
        <v>203048904</v>
      </c>
      <c r="G18" s="84">
        <f>+'[6]PRG2'!F18</f>
        <v>0</v>
      </c>
      <c r="H18" s="84">
        <f>+'[6]PROG3'!F18</f>
        <v>0</v>
      </c>
      <c r="I18" s="79">
        <f t="shared" si="0"/>
        <v>203048904</v>
      </c>
      <c r="J18" s="85">
        <f>SUM(F16:F24)</f>
        <v>3050482709.02</v>
      </c>
    </row>
    <row r="19" spans="1:10" ht="12.75">
      <c r="A19" s="68"/>
      <c r="B19" s="66"/>
      <c r="C19" s="66"/>
      <c r="D19" s="216">
        <v>5</v>
      </c>
      <c r="E19" s="72" t="s">
        <v>208</v>
      </c>
      <c r="F19" s="84">
        <f>+'[6]PRG1'!F19+'[6]Auditoría'!F19</f>
        <v>67420000</v>
      </c>
      <c r="G19" s="84">
        <f>+'[6]PRG2'!F19</f>
        <v>78650000</v>
      </c>
      <c r="H19" s="84">
        <f>+'[6]PROG3'!F19</f>
        <v>21000000</v>
      </c>
      <c r="I19" s="79">
        <f t="shared" si="0"/>
        <v>167070000</v>
      </c>
      <c r="J19" s="85"/>
    </row>
    <row r="20" spans="1:10" s="83" customFormat="1" ht="12.75">
      <c r="A20" s="68"/>
      <c r="B20" s="66"/>
      <c r="C20" s="66">
        <v>2</v>
      </c>
      <c r="D20" s="66"/>
      <c r="E20" s="71" t="s">
        <v>209</v>
      </c>
      <c r="F20" s="81">
        <f>SUM(F21:F24)</f>
        <v>634365700.11</v>
      </c>
      <c r="G20" s="81">
        <f>SUM(G21:G24)</f>
        <v>124393365.8</v>
      </c>
      <c r="H20" s="81">
        <f>SUM(H21:H24)</f>
        <v>24002450</v>
      </c>
      <c r="I20" s="79">
        <f t="shared" si="0"/>
        <v>782761515.91</v>
      </c>
      <c r="J20" s="86"/>
    </row>
    <row r="21" spans="1:11" ht="12.75">
      <c r="A21" s="68"/>
      <c r="B21" s="66"/>
      <c r="C21" s="66"/>
      <c r="D21" s="216">
        <v>1</v>
      </c>
      <c r="E21" s="72" t="s">
        <v>210</v>
      </c>
      <c r="F21" s="84">
        <f>+'[6]PRG1'!F21+'[6]Auditoría'!F21</f>
        <v>65000000</v>
      </c>
      <c r="G21" s="84">
        <f>+'[6]PRG2'!F21</f>
        <v>93257750</v>
      </c>
      <c r="H21" s="84">
        <f>+'[6]PROG3'!F21</f>
        <v>5620000</v>
      </c>
      <c r="I21" s="79">
        <f t="shared" si="0"/>
        <v>163877750</v>
      </c>
      <c r="J21" s="85"/>
      <c r="K21" s="80">
        <f>+I15+I21+I22+I26+I27+I29+I30</f>
        <v>7482060459.13</v>
      </c>
    </row>
    <row r="22" spans="1:11" ht="12.75">
      <c r="A22" s="68"/>
      <c r="B22" s="66"/>
      <c r="C22" s="66"/>
      <c r="D22" s="216">
        <v>2</v>
      </c>
      <c r="E22" s="72" t="s">
        <v>211</v>
      </c>
      <c r="F22" s="84">
        <f>+'[6]PRG1'!F22+'[6]Auditoría'!F22</f>
        <v>13000000</v>
      </c>
      <c r="G22" s="84">
        <f>+'[6]PRG2'!F22</f>
        <v>11097600</v>
      </c>
      <c r="H22" s="84">
        <f>+'[6]PROG3'!F22</f>
        <v>4000000</v>
      </c>
      <c r="I22" s="79">
        <f t="shared" si="0"/>
        <v>28097600</v>
      </c>
      <c r="K22" s="85">
        <f>+K21-'[3]OTROS CALC.'!$B$10</f>
        <v>1059957455.7699995</v>
      </c>
    </row>
    <row r="23" spans="1:10" ht="12.75">
      <c r="A23" s="68"/>
      <c r="B23" s="66"/>
      <c r="C23" s="66"/>
      <c r="D23" s="216">
        <v>3</v>
      </c>
      <c r="E23" s="72" t="s">
        <v>502</v>
      </c>
      <c r="F23" s="84">
        <f>+'[6]PRG1'!F23+'[6]Auditoría'!F23</f>
        <v>21895650</v>
      </c>
      <c r="G23" s="84">
        <f>+'[6]PRG2'!F23</f>
        <v>20038015.8</v>
      </c>
      <c r="H23" s="84">
        <f>+'[6]PROG3'!F23</f>
        <v>14382450</v>
      </c>
      <c r="I23" s="79">
        <f t="shared" si="0"/>
        <v>56316115.8</v>
      </c>
      <c r="J23" s="80">
        <f>+I22+I19</f>
        <v>195167600</v>
      </c>
    </row>
    <row r="24" spans="1:10" ht="12.75">
      <c r="A24" s="68"/>
      <c r="B24" s="66"/>
      <c r="C24" s="66"/>
      <c r="D24" s="216">
        <v>5</v>
      </c>
      <c r="E24" s="72" t="s">
        <v>212</v>
      </c>
      <c r="F24" s="84">
        <f>+'[6]PRG1'!F24+'[6]Auditoría'!F24</f>
        <v>534470050.11</v>
      </c>
      <c r="G24" s="84">
        <f>+'[6]PRG2'!F24</f>
        <v>0</v>
      </c>
      <c r="H24" s="84">
        <f>+'[6]PROG3'!F24</f>
        <v>0</v>
      </c>
      <c r="I24" s="79">
        <f t="shared" si="0"/>
        <v>534470050.11</v>
      </c>
      <c r="J24" s="85"/>
    </row>
    <row r="25" spans="1:10" s="83" customFormat="1" ht="12.75">
      <c r="A25" s="68"/>
      <c r="B25" s="66"/>
      <c r="C25" s="66">
        <v>3</v>
      </c>
      <c r="D25" s="66"/>
      <c r="E25" s="71" t="s">
        <v>213</v>
      </c>
      <c r="F25" s="81">
        <f>SUM(F26:F30)</f>
        <v>1806755196.4366798</v>
      </c>
      <c r="G25" s="81">
        <f>SUM(G26:G30)</f>
        <v>1387448585.3941822</v>
      </c>
      <c r="H25" s="81">
        <f>SUM(H26:H30)</f>
        <v>582839153.6177794</v>
      </c>
      <c r="I25" s="79">
        <f t="shared" si="0"/>
        <v>3777042935.4486413</v>
      </c>
      <c r="J25" s="86"/>
    </row>
    <row r="26" spans="1:11" ht="12.75">
      <c r="A26" s="68"/>
      <c r="B26" s="66"/>
      <c r="C26" s="66"/>
      <c r="D26" s="216">
        <v>1</v>
      </c>
      <c r="E26" s="72" t="s">
        <v>214</v>
      </c>
      <c r="F26" s="84">
        <f>+'[6]PRG1'!F26+'[6]Auditoría'!F26</f>
        <v>769358517.25</v>
      </c>
      <c r="G26" s="84">
        <f>+'[6]PRG2'!F26</f>
        <v>675345172.5</v>
      </c>
      <c r="H26" s="84">
        <f>+'[6]PROG3'!F26</f>
        <v>263539978.5</v>
      </c>
      <c r="I26" s="79">
        <f t="shared" si="0"/>
        <v>1708243668.25</v>
      </c>
      <c r="J26" s="87">
        <f>+I13+F49</f>
        <v>10519801831.571604</v>
      </c>
      <c r="K26" s="67">
        <f>2625183600+950936210+414441210+193889574</f>
        <v>4184450594</v>
      </c>
    </row>
    <row r="27" spans="1:10" ht="12.75">
      <c r="A27" s="68"/>
      <c r="B27" s="66"/>
      <c r="C27" s="66"/>
      <c r="D27" s="216">
        <v>2</v>
      </c>
      <c r="E27" s="72" t="s">
        <v>215</v>
      </c>
      <c r="F27" s="84">
        <f>+'[6]PRG1'!F27+'[6]Auditoría'!F27</f>
        <v>405122335.12</v>
      </c>
      <c r="G27" s="84">
        <f>+'[6]PRG2'!F27</f>
        <v>154998320</v>
      </c>
      <c r="H27" s="84">
        <f>+'[6]PROG3'!F27</f>
        <v>102814020</v>
      </c>
      <c r="I27" s="79">
        <f t="shared" si="0"/>
        <v>662934675.12</v>
      </c>
      <c r="J27" s="87"/>
    </row>
    <row r="28" spans="1:9" ht="12.75">
      <c r="A28" s="68"/>
      <c r="B28" s="66"/>
      <c r="C28" s="66"/>
      <c r="D28" s="216">
        <v>3</v>
      </c>
      <c r="E28" s="72" t="s">
        <v>216</v>
      </c>
      <c r="F28" s="84">
        <f>+'[6]PRG1'!F28+'[6]Auditoría'!F28</f>
        <v>283722195.11667997</v>
      </c>
      <c r="G28" s="84">
        <f>+'[6]PRG2'!F28</f>
        <v>247366298.27418235</v>
      </c>
      <c r="H28" s="84">
        <f>+'[6]PROG3'!F28</f>
        <v>97107041.72777936</v>
      </c>
      <c r="I28" s="79">
        <f t="shared" si="0"/>
        <v>628195535.1186417</v>
      </c>
    </row>
    <row r="29" spans="1:10" ht="12.75">
      <c r="A29" s="68"/>
      <c r="B29" s="66"/>
      <c r="C29" s="66"/>
      <c r="D29" s="216">
        <v>4</v>
      </c>
      <c r="E29" s="72" t="s">
        <v>217</v>
      </c>
      <c r="F29" s="84">
        <f>+'[6]PRG1'!F29+'[6]Auditoría'!F29</f>
        <v>233574244.95000002</v>
      </c>
      <c r="G29" s="84">
        <f>+'[6]PRG2'!F29</f>
        <v>217385462.61999997</v>
      </c>
      <c r="H29" s="84">
        <f>+'[6]PROG3'!F29</f>
        <v>86896681.38999999</v>
      </c>
      <c r="I29" s="79">
        <f t="shared" si="0"/>
        <v>537856388.96</v>
      </c>
      <c r="J29" s="273">
        <f>+I35+I32</f>
        <v>1081003200.844962</v>
      </c>
    </row>
    <row r="30" spans="1:10" ht="12.75">
      <c r="A30" s="68"/>
      <c r="B30" s="66"/>
      <c r="C30" s="66"/>
      <c r="D30" s="216">
        <v>99</v>
      </c>
      <c r="E30" s="72" t="s">
        <v>218</v>
      </c>
      <c r="F30" s="84">
        <f>+'[6]PRG1'!F30+'[6]Auditoría'!F30</f>
        <v>114977904</v>
      </c>
      <c r="G30" s="84">
        <f>+'[6]PRG2'!F30</f>
        <v>92353332</v>
      </c>
      <c r="H30" s="84">
        <f>+'[6]PROG3'!F30</f>
        <v>32481432</v>
      </c>
      <c r="I30" s="79">
        <f t="shared" si="0"/>
        <v>239812668</v>
      </c>
      <c r="J30" s="80">
        <f>+F30+F49</f>
        <v>116077904</v>
      </c>
    </row>
    <row r="31" spans="1:10" s="83" customFormat="1" ht="25.5">
      <c r="A31" s="68"/>
      <c r="B31" s="66"/>
      <c r="C31" s="66">
        <v>4</v>
      </c>
      <c r="D31" s="66"/>
      <c r="E31" s="88" t="s">
        <v>219</v>
      </c>
      <c r="F31" s="81">
        <f>SUM(F32:F33)</f>
        <v>331956296.11169994</v>
      </c>
      <c r="G31" s="81">
        <f>SUM(G32:G33)</f>
        <v>289419726.6597</v>
      </c>
      <c r="H31" s="81">
        <f>SUM(H32:H33)</f>
        <v>113615693.284275</v>
      </c>
      <c r="I31" s="79">
        <f t="shared" si="0"/>
        <v>734991716.055675</v>
      </c>
      <c r="J31" s="82"/>
    </row>
    <row r="32" spans="1:10" ht="12.75">
      <c r="A32" s="68"/>
      <c r="B32" s="66"/>
      <c r="C32" s="66"/>
      <c r="D32" s="216">
        <v>1</v>
      </c>
      <c r="E32" s="72" t="s">
        <v>220</v>
      </c>
      <c r="F32" s="84">
        <f>+'[6]PRG1'!F32+'[6]Auditoría'!F32</f>
        <v>314932896.31109995</v>
      </c>
      <c r="G32" s="84">
        <f>+'[6]PRG2'!F32</f>
        <v>274577689.3951</v>
      </c>
      <c r="H32" s="84">
        <f>+'[6]PROG3'!F32</f>
        <v>107789247.474825</v>
      </c>
      <c r="I32" s="79">
        <f t="shared" si="0"/>
        <v>697299833.1810249</v>
      </c>
      <c r="J32" s="80"/>
    </row>
    <row r="33" spans="1:10" ht="12.75">
      <c r="A33" s="68"/>
      <c r="B33" s="66"/>
      <c r="C33" s="66"/>
      <c r="D33" s="216">
        <v>5</v>
      </c>
      <c r="E33" s="72" t="s">
        <v>221</v>
      </c>
      <c r="F33" s="84">
        <f>+'[6]PRG1'!F33+'[6]Auditoría'!F33</f>
        <v>17023399.8006</v>
      </c>
      <c r="G33" s="84">
        <f>+'[6]PRG2'!F33</f>
        <v>14842037.2646</v>
      </c>
      <c r="H33" s="84">
        <f>+'[6]PROG3'!F33</f>
        <v>5826445.80945</v>
      </c>
      <c r="I33" s="79">
        <f t="shared" si="0"/>
        <v>37691882.87465</v>
      </c>
      <c r="J33" s="80"/>
    </row>
    <row r="34" spans="1:10" s="83" customFormat="1" ht="38.25">
      <c r="A34" s="68"/>
      <c r="B34" s="66"/>
      <c r="C34" s="66">
        <v>5</v>
      </c>
      <c r="D34" s="66"/>
      <c r="E34" s="88" t="s">
        <v>222</v>
      </c>
      <c r="F34" s="81">
        <f>SUM(F35:F39)</f>
        <v>479561619.25650793</v>
      </c>
      <c r="G34" s="81">
        <f>SUM(G35:G39)</f>
        <v>433090647.38102806</v>
      </c>
      <c r="H34" s="81">
        <f>SUM(H35:H39)</f>
        <v>170015688.719751</v>
      </c>
      <c r="I34" s="79">
        <f t="shared" si="0"/>
        <v>1082667955.357287</v>
      </c>
      <c r="J34" s="82"/>
    </row>
    <row r="35" spans="1:10" ht="12.75">
      <c r="A35" s="68"/>
      <c r="B35" s="66"/>
      <c r="C35" s="66"/>
      <c r="D35" s="216">
        <v>1</v>
      </c>
      <c r="E35" s="72" t="s">
        <v>223</v>
      </c>
      <c r="F35" s="84">
        <f>+'[6]PRG1'!F35+'[6]Auditoría'!F35</f>
        <v>173298209.97010797</v>
      </c>
      <c r="G35" s="84">
        <f>+'[6]PRG2'!F35</f>
        <v>151091939.353628</v>
      </c>
      <c r="H35" s="84">
        <f>+'[6]PROG3'!F35</f>
        <v>59313218.340201005</v>
      </c>
      <c r="I35" s="79">
        <f t="shared" si="0"/>
        <v>383703367.663937</v>
      </c>
      <c r="J35" s="80"/>
    </row>
    <row r="36" spans="1:10" ht="12.75">
      <c r="A36" s="68"/>
      <c r="B36" s="66"/>
      <c r="C36" s="66"/>
      <c r="D36" s="216">
        <v>2</v>
      </c>
      <c r="E36" s="72" t="s">
        <v>224</v>
      </c>
      <c r="F36" s="84">
        <f>+'[6]PRG1'!F36+'[6]Auditoría'!F36</f>
        <v>51070199.40179999</v>
      </c>
      <c r="G36" s="84">
        <f>+'[6]PRG2'!F36</f>
        <v>44526111.7938</v>
      </c>
      <c r="H36" s="84">
        <f>+'[6]PROG3'!F36</f>
        <v>17479337.428349998</v>
      </c>
      <c r="I36" s="79">
        <f t="shared" si="0"/>
        <v>113075648.62394999</v>
      </c>
      <c r="J36" s="80"/>
    </row>
    <row r="37" spans="1:10" ht="12.75">
      <c r="A37" s="68"/>
      <c r="B37" s="66"/>
      <c r="C37" s="66"/>
      <c r="D37" s="216">
        <v>3</v>
      </c>
      <c r="E37" s="72" t="s">
        <v>225</v>
      </c>
      <c r="F37" s="84">
        <f>+'[6]PRG1'!F37+'[6]Auditoría'!F37</f>
        <v>102140398.80359998</v>
      </c>
      <c r="G37" s="84">
        <f>+'[6]PRG2'!F37</f>
        <v>89052223.5876</v>
      </c>
      <c r="H37" s="84">
        <f>+'[6]PROG3'!F37</f>
        <v>34958674.856699996</v>
      </c>
      <c r="I37" s="79">
        <f t="shared" si="0"/>
        <v>226151297.24789998</v>
      </c>
      <c r="J37" s="80"/>
    </row>
    <row r="38" spans="1:10" ht="25.5" hidden="1">
      <c r="A38" s="68"/>
      <c r="B38" s="66"/>
      <c r="C38" s="66"/>
      <c r="D38" s="216">
        <v>4</v>
      </c>
      <c r="E38" s="89" t="s">
        <v>226</v>
      </c>
      <c r="F38" s="84">
        <f>+'[6]PRG1'!F38+'[6]Auditoría'!F38</f>
        <v>0</v>
      </c>
      <c r="G38" s="84">
        <f>+'[6]PRG2'!F38</f>
        <v>0</v>
      </c>
      <c r="H38" s="84">
        <f>+'[6]PROG3'!F38</f>
        <v>0</v>
      </c>
      <c r="I38" s="79">
        <f t="shared" si="0"/>
        <v>0</v>
      </c>
      <c r="J38" s="80"/>
    </row>
    <row r="39" spans="1:10" ht="25.5">
      <c r="A39" s="68"/>
      <c r="B39" s="66"/>
      <c r="C39" s="66"/>
      <c r="D39" s="216">
        <v>5</v>
      </c>
      <c r="E39" s="89" t="s">
        <v>227</v>
      </c>
      <c r="F39" s="84">
        <f>+'[6]PRG1'!F39+'[6]Auditoría'!F39</f>
        <v>153052811.08100003</v>
      </c>
      <c r="G39" s="84">
        <f>+'[6]PRG2'!F39</f>
        <v>148420372.64600003</v>
      </c>
      <c r="H39" s="84">
        <f>+'[6]PROG3'!F39</f>
        <v>58264458.094500005</v>
      </c>
      <c r="I39" s="79">
        <f t="shared" si="0"/>
        <v>359737641.82150006</v>
      </c>
      <c r="J39" s="80"/>
    </row>
    <row r="40" spans="1:10" ht="12.75">
      <c r="A40" s="68"/>
      <c r="B40" s="66"/>
      <c r="C40" s="66"/>
      <c r="D40" s="216"/>
      <c r="E40" s="72"/>
      <c r="F40" s="84"/>
      <c r="G40" s="84" t="s">
        <v>146</v>
      </c>
      <c r="H40" s="84" t="s">
        <v>146</v>
      </c>
      <c r="I40" s="79" t="s">
        <v>146</v>
      </c>
      <c r="J40" s="80"/>
    </row>
    <row r="41" spans="1:10" s="83" customFormat="1" ht="12.75" hidden="1">
      <c r="A41" s="68"/>
      <c r="B41" s="66"/>
      <c r="C41" s="66">
        <v>99</v>
      </c>
      <c r="D41" s="66"/>
      <c r="E41" s="71" t="s">
        <v>228</v>
      </c>
      <c r="F41" s="81">
        <f>SUM(F42:F43)</f>
        <v>0</v>
      </c>
      <c r="G41" s="81">
        <f>SUM(G42:G43)</f>
        <v>0</v>
      </c>
      <c r="H41" s="81">
        <f>SUM(H42:H43)</f>
        <v>0</v>
      </c>
      <c r="I41" s="79">
        <f t="shared" si="0"/>
        <v>0</v>
      </c>
      <c r="J41" s="82"/>
    </row>
    <row r="42" spans="1:10" ht="12.75" hidden="1">
      <c r="A42" s="68"/>
      <c r="B42" s="66"/>
      <c r="C42" s="66"/>
      <c r="D42" s="216">
        <v>1</v>
      </c>
      <c r="E42" s="72" t="s">
        <v>229</v>
      </c>
      <c r="F42" s="84">
        <f>+'[6]PRG1'!F42+'[6]Auditoría'!F42</f>
        <v>0</v>
      </c>
      <c r="G42" s="84">
        <f>+'[6]PRG2'!F42</f>
        <v>0</v>
      </c>
      <c r="H42" s="84">
        <f>+'[6]PROG3'!F42</f>
        <v>0</v>
      </c>
      <c r="I42" s="79">
        <f t="shared" si="0"/>
        <v>0</v>
      </c>
      <c r="J42" s="80"/>
    </row>
    <row r="43" spans="1:10" ht="12.75" hidden="1">
      <c r="A43" s="68"/>
      <c r="B43" s="66"/>
      <c r="C43" s="66"/>
      <c r="D43" s="216">
        <v>99</v>
      </c>
      <c r="E43" s="72" t="s">
        <v>230</v>
      </c>
      <c r="F43" s="84">
        <f>+'[6]PRG1'!F43+'[6]Auditoría'!F43</f>
        <v>0</v>
      </c>
      <c r="G43" s="84">
        <f>+'[6]PRG2'!F43</f>
        <v>0</v>
      </c>
      <c r="H43" s="84" t="str">
        <f>+'[6]PROG3'!F43</f>
        <v> </v>
      </c>
      <c r="I43" s="79">
        <f t="shared" si="0"/>
        <v>0</v>
      </c>
      <c r="J43" s="80"/>
    </row>
    <row r="44" spans="1:9" ht="12.75" hidden="1">
      <c r="A44" s="68"/>
      <c r="B44" s="66"/>
      <c r="C44" s="66"/>
      <c r="D44" s="216"/>
      <c r="E44" s="72"/>
      <c r="F44" s="84"/>
      <c r="G44" s="84">
        <f>+'[6]PRG2'!F44</f>
        <v>0</v>
      </c>
      <c r="H44" s="84">
        <f>+'[6]PROG3'!F44</f>
        <v>0</v>
      </c>
      <c r="I44" s="79">
        <f t="shared" si="0"/>
        <v>0</v>
      </c>
    </row>
    <row r="45" spans="1:9" ht="12.75">
      <c r="A45" s="68" t="s">
        <v>146</v>
      </c>
      <c r="B45" s="66">
        <v>1</v>
      </c>
      <c r="C45" s="66"/>
      <c r="D45" s="216"/>
      <c r="E45" s="90" t="s">
        <v>231</v>
      </c>
      <c r="F45" s="81">
        <f>+F46+F52+F58+F66+F74+F79+F81+F85+F95+F97</f>
        <v>1568337439.5338998</v>
      </c>
      <c r="G45" s="81">
        <f>+G46+G52+G58+G66+G74+G79+G81+G85+G95+G97</f>
        <v>5530219300.2699</v>
      </c>
      <c r="H45" s="81">
        <f>+H46+H52+H58+H66+H74+H79+H81+H85+H95+H97</f>
        <v>409716451.421425</v>
      </c>
      <c r="I45" s="79">
        <f t="shared" si="0"/>
        <v>7508273191.225225</v>
      </c>
    </row>
    <row r="46" spans="1:9" ht="12.75">
      <c r="A46" s="68"/>
      <c r="B46" s="66"/>
      <c r="C46" s="66">
        <v>1</v>
      </c>
      <c r="D46" s="216"/>
      <c r="E46" s="90" t="s">
        <v>64</v>
      </c>
      <c r="F46" s="81">
        <f>SUM(F47:F51)</f>
        <v>447316000</v>
      </c>
      <c r="G46" s="81">
        <f>SUM(G47:G51)</f>
        <v>93910000</v>
      </c>
      <c r="H46" s="81">
        <f>SUM(H47:H51)</f>
        <v>65020000</v>
      </c>
      <c r="I46" s="79">
        <f t="shared" si="0"/>
        <v>606246000</v>
      </c>
    </row>
    <row r="47" spans="1:9" ht="12.75">
      <c r="A47" s="68"/>
      <c r="B47" s="66"/>
      <c r="C47" s="66"/>
      <c r="D47" s="216">
        <v>1</v>
      </c>
      <c r="E47" s="91" t="s">
        <v>232</v>
      </c>
      <c r="F47" s="84">
        <f>+'[6]PRG1'!F47+'[6]Auditoría'!F47</f>
        <v>414216000</v>
      </c>
      <c r="G47" s="84">
        <f>+'[6]PRG2'!F47</f>
        <v>23400000</v>
      </c>
      <c r="H47" s="84">
        <f>+'[6]PROG3'!F47</f>
        <v>0</v>
      </c>
      <c r="I47" s="79">
        <f t="shared" si="0"/>
        <v>437616000</v>
      </c>
    </row>
    <row r="48" spans="1:11" ht="12.75">
      <c r="A48" s="68"/>
      <c r="B48" s="66"/>
      <c r="C48" s="66"/>
      <c r="D48" s="216">
        <v>2</v>
      </c>
      <c r="E48" s="91" t="s">
        <v>503</v>
      </c>
      <c r="F48" s="84">
        <f>+'[6]PRG1'!F48+'[6]Auditoría'!F48</f>
        <v>0</v>
      </c>
      <c r="G48" s="84">
        <f>+'[6]PRG2'!F48</f>
        <v>6010000</v>
      </c>
      <c r="H48" s="84">
        <f>+'[6]PROG3'!F48</f>
        <v>65000000</v>
      </c>
      <c r="I48" s="79">
        <f t="shared" si="0"/>
        <v>71010000</v>
      </c>
      <c r="K48" s="80">
        <f>+F48+F50+I52+I54+K57+I85</f>
        <v>817056051.6</v>
      </c>
    </row>
    <row r="49" spans="1:9" ht="12.75">
      <c r="A49" s="68"/>
      <c r="B49" s="66"/>
      <c r="C49" s="66"/>
      <c r="D49" s="216">
        <v>3</v>
      </c>
      <c r="E49" s="91" t="s">
        <v>233</v>
      </c>
      <c r="F49" s="84">
        <f>+'[6]PRG1'!F49+'[6]Auditoría'!F49</f>
        <v>1100000</v>
      </c>
      <c r="G49" s="84">
        <f>+'[6]PRG2'!F49</f>
        <v>20000000</v>
      </c>
      <c r="H49" s="84">
        <f>+'[6]PROG3'!F49</f>
        <v>10000</v>
      </c>
      <c r="I49" s="79">
        <f t="shared" si="0"/>
        <v>21110000</v>
      </c>
    </row>
    <row r="50" spans="1:10" ht="12.75">
      <c r="A50" s="68"/>
      <c r="B50" s="66"/>
      <c r="C50" s="66"/>
      <c r="D50" s="216">
        <v>4</v>
      </c>
      <c r="E50" s="91" t="s">
        <v>234</v>
      </c>
      <c r="F50" s="84">
        <f>+'[6]PRG1'!F50+'[6]Auditoría'!F50</f>
        <v>0</v>
      </c>
      <c r="G50" s="84">
        <f>+'[6]PRG2'!F50</f>
        <v>5500000</v>
      </c>
      <c r="H50" s="84">
        <f>+'[6]PROG3'!F50</f>
        <v>0</v>
      </c>
      <c r="I50" s="79">
        <f t="shared" si="0"/>
        <v>5500000</v>
      </c>
      <c r="J50" s="80">
        <f>+I47+I48+I50</f>
        <v>514126000</v>
      </c>
    </row>
    <row r="51" spans="1:9" ht="12.75">
      <c r="A51" s="68"/>
      <c r="B51" s="66"/>
      <c r="C51" s="66"/>
      <c r="D51" s="216">
        <v>99</v>
      </c>
      <c r="E51" s="91" t="s">
        <v>235</v>
      </c>
      <c r="F51" s="84">
        <f>+'[6]PRG1'!F51+'[6]Auditoría'!F51</f>
        <v>32000000</v>
      </c>
      <c r="G51" s="84">
        <f>+'[6]PRG2'!F51</f>
        <v>39000000</v>
      </c>
      <c r="H51" s="84">
        <f>+'[6]PROG3'!F51</f>
        <v>10000</v>
      </c>
      <c r="I51" s="79">
        <f t="shared" si="0"/>
        <v>71010000</v>
      </c>
    </row>
    <row r="52" spans="1:11" ht="12.75">
      <c r="A52" s="68"/>
      <c r="B52" s="66"/>
      <c r="C52" s="66">
        <v>2</v>
      </c>
      <c r="D52" s="216"/>
      <c r="E52" s="90" t="s">
        <v>236</v>
      </c>
      <c r="F52" s="81">
        <f>SUM(F53:F57)</f>
        <v>162321175</v>
      </c>
      <c r="G52" s="81">
        <f>SUM(G53:G57)</f>
        <v>311603157.13</v>
      </c>
      <c r="H52" s="81">
        <f>SUM(H53:H57)</f>
        <v>0</v>
      </c>
      <c r="I52" s="79">
        <f t="shared" si="0"/>
        <v>473924332.13</v>
      </c>
      <c r="K52" s="80">
        <f>+F48+F50+I52+I54</f>
        <v>873917489.26</v>
      </c>
    </row>
    <row r="53" spans="1:9" ht="12.75">
      <c r="A53" s="68"/>
      <c r="B53" s="66"/>
      <c r="C53" s="66"/>
      <c r="D53" s="216">
        <v>1</v>
      </c>
      <c r="E53" s="91" t="s">
        <v>237</v>
      </c>
      <c r="F53" s="84">
        <f>+'[6]PRG1'!F53+'[6]Auditoría'!F53</f>
        <v>0</v>
      </c>
      <c r="G53" s="84">
        <f>+'[6]PRG2'!F53</f>
        <v>1500000</v>
      </c>
      <c r="H53" s="84">
        <f>+'[6]PROG3'!F53</f>
        <v>0</v>
      </c>
      <c r="I53" s="79">
        <f t="shared" si="0"/>
        <v>1500000</v>
      </c>
    </row>
    <row r="54" spans="1:9" ht="12.75">
      <c r="A54" s="68"/>
      <c r="B54" s="66"/>
      <c r="C54" s="66"/>
      <c r="D54" s="216">
        <v>2</v>
      </c>
      <c r="E54" s="91" t="s">
        <v>238</v>
      </c>
      <c r="F54" s="84">
        <f>+'[6]PRG1'!F54+'[6]Auditoría'!F54</f>
        <v>108900000</v>
      </c>
      <c r="G54" s="84">
        <f>+'[6]PRG2'!F54</f>
        <v>291093157.13</v>
      </c>
      <c r="H54" s="84">
        <f>+'[6]PROG3'!F54</f>
        <v>0</v>
      </c>
      <c r="I54" s="79">
        <f t="shared" si="0"/>
        <v>399993157.13</v>
      </c>
    </row>
    <row r="55" spans="1:10" ht="12.75">
      <c r="A55" s="68"/>
      <c r="B55" s="66"/>
      <c r="C55" s="66"/>
      <c r="D55" s="216">
        <v>3</v>
      </c>
      <c r="E55" s="91" t="s">
        <v>239</v>
      </c>
      <c r="F55" s="84">
        <f>+'[6]PRG1'!F55+'[6]Auditoría'!F55</f>
        <v>21175</v>
      </c>
      <c r="G55" s="84">
        <f>+'[6]PRG2'!F55</f>
        <v>0</v>
      </c>
      <c r="H55" s="84">
        <f>+'[6]PROG3'!F55</f>
        <v>0</v>
      </c>
      <c r="I55" s="79">
        <f t="shared" si="0"/>
        <v>21175</v>
      </c>
      <c r="J55" s="80">
        <f>+I53+I54+I55+I56</f>
        <v>473914332.13</v>
      </c>
    </row>
    <row r="56" spans="1:9" ht="12.75">
      <c r="A56" s="68"/>
      <c r="B56" s="66"/>
      <c r="C56" s="66"/>
      <c r="D56" s="216">
        <v>4</v>
      </c>
      <c r="E56" s="91" t="s">
        <v>240</v>
      </c>
      <c r="F56" s="84">
        <f>+'[6]PRG1'!F56+'[6]Auditoría'!F56</f>
        <v>53400000</v>
      </c>
      <c r="G56" s="84">
        <f>+'[6]PRG2'!F56</f>
        <v>19000000</v>
      </c>
      <c r="H56" s="84">
        <f>+'[6]PROG3'!F56</f>
        <v>0</v>
      </c>
      <c r="I56" s="79">
        <f t="shared" si="0"/>
        <v>72400000</v>
      </c>
    </row>
    <row r="57" spans="1:11" ht="12.75">
      <c r="A57" s="68"/>
      <c r="B57" s="66"/>
      <c r="C57" s="66"/>
      <c r="D57" s="216">
        <v>99</v>
      </c>
      <c r="E57" s="91" t="s">
        <v>241</v>
      </c>
      <c r="F57" s="84">
        <f>+'[6]PRG1'!F57+'[6]Auditoría'!F57</f>
        <v>0</v>
      </c>
      <c r="G57" s="84">
        <f>+'[6]PRG2'!F57</f>
        <v>10000</v>
      </c>
      <c r="H57" s="84">
        <f>+'[6]PROG3'!F57</f>
        <v>0</v>
      </c>
      <c r="I57" s="79">
        <f t="shared" si="0"/>
        <v>10000</v>
      </c>
      <c r="K57" s="80">
        <f>+I56-F59-F58-F61-F73</f>
        <v>-398674807.65999997</v>
      </c>
    </row>
    <row r="58" spans="1:9" ht="12.75">
      <c r="A58" s="68"/>
      <c r="B58" s="66"/>
      <c r="C58" s="66">
        <v>3</v>
      </c>
      <c r="D58" s="216"/>
      <c r="E58" s="90" t="s">
        <v>242</v>
      </c>
      <c r="F58" s="81">
        <f>SUM(F59:F65)</f>
        <v>394576595.83</v>
      </c>
      <c r="G58" s="81">
        <f>SUM(G59:G65)</f>
        <v>16889704.56</v>
      </c>
      <c r="H58" s="81">
        <f>SUM(H59:H65)</f>
        <v>15900000</v>
      </c>
      <c r="I58" s="79">
        <f t="shared" si="0"/>
        <v>427366300.39</v>
      </c>
    </row>
    <row r="59" spans="1:10" ht="12.75">
      <c r="A59" s="68"/>
      <c r="B59" s="66"/>
      <c r="C59" s="66"/>
      <c r="D59" s="216">
        <v>1</v>
      </c>
      <c r="E59" s="91" t="s">
        <v>243</v>
      </c>
      <c r="F59" s="84">
        <f>+'[6]PRG1'!F59+'[6]Auditoría'!F59</f>
        <v>30150000</v>
      </c>
      <c r="G59" s="84">
        <f>+'[6]PRG2'!F59</f>
        <v>4555000</v>
      </c>
      <c r="H59" s="84">
        <f>+'[6]PROG3'!F59</f>
        <v>1900000</v>
      </c>
      <c r="I59" s="79">
        <f t="shared" si="0"/>
        <v>36605000</v>
      </c>
      <c r="J59" s="87" t="s">
        <v>146</v>
      </c>
    </row>
    <row r="60" spans="1:10" ht="12.75">
      <c r="A60" s="68"/>
      <c r="B60" s="66"/>
      <c r="C60" s="66"/>
      <c r="D60" s="216">
        <v>2</v>
      </c>
      <c r="E60" s="91" t="s">
        <v>244</v>
      </c>
      <c r="F60" s="84">
        <f>+'[6]PRG1'!F60+'[6]Auditoría'!F60</f>
        <v>25550000</v>
      </c>
      <c r="G60" s="84">
        <f>+'[6]PRG2'!F60</f>
        <v>700000</v>
      </c>
      <c r="H60" s="84">
        <f>+'[6]PROG3'!F60</f>
        <v>0</v>
      </c>
      <c r="I60" s="79">
        <f t="shared" si="0"/>
        <v>26250000</v>
      </c>
      <c r="J60" s="80"/>
    </row>
    <row r="61" spans="1:11" ht="12.75">
      <c r="A61" s="68"/>
      <c r="B61" s="66"/>
      <c r="C61" s="66"/>
      <c r="D61" s="216">
        <v>3</v>
      </c>
      <c r="E61" s="91" t="s">
        <v>245</v>
      </c>
      <c r="F61" s="84">
        <f>+'[6]PRG1'!F61+'[6]Auditoría'!F61</f>
        <v>25733211.830000002</v>
      </c>
      <c r="G61" s="84">
        <f>+'[6]PRG2'!F61</f>
        <v>11624704.559999999</v>
      </c>
      <c r="H61" s="84">
        <f>+'[6]PROG3'!F61</f>
        <v>4000000</v>
      </c>
      <c r="I61" s="79">
        <f t="shared" si="0"/>
        <v>41357916.39</v>
      </c>
      <c r="K61" s="80">
        <f>+I59+I61+I62+I64+I65+K68+I60</f>
        <v>427366300.39</v>
      </c>
    </row>
    <row r="62" spans="1:9" ht="12.75">
      <c r="A62" s="68"/>
      <c r="B62" s="66"/>
      <c r="C62" s="66"/>
      <c r="D62" s="216">
        <v>4</v>
      </c>
      <c r="E62" s="91" t="s">
        <v>246</v>
      </c>
      <c r="F62" s="84">
        <f>+'[6]PRG1'!F62+'[6]Auditoría'!F62</f>
        <v>330000</v>
      </c>
      <c r="G62" s="84">
        <f>+'[6]PRG2'!F62</f>
        <v>10000</v>
      </c>
      <c r="H62" s="84">
        <f>+'[6]PROG3'!F62</f>
        <v>10000000</v>
      </c>
      <c r="I62" s="79">
        <f t="shared" si="0"/>
        <v>10340000</v>
      </c>
    </row>
    <row r="63" spans="1:9" ht="12.75" hidden="1">
      <c r="A63" s="68"/>
      <c r="B63" s="66"/>
      <c r="C63" s="66"/>
      <c r="D63" s="216">
        <v>5</v>
      </c>
      <c r="E63" s="91" t="s">
        <v>247</v>
      </c>
      <c r="F63" s="84">
        <f>+'[6]PRG1'!F63+'[6]Auditoría'!F63</f>
        <v>0</v>
      </c>
      <c r="G63" s="84">
        <f>+'[6]PRG2'!F63</f>
        <v>0</v>
      </c>
      <c r="H63" s="84">
        <f>+'[6]PROG3'!F63</f>
        <v>0</v>
      </c>
      <c r="I63" s="79">
        <f t="shared" si="0"/>
        <v>0</v>
      </c>
    </row>
    <row r="64" spans="1:9" ht="25.5">
      <c r="A64" s="68"/>
      <c r="B64" s="66"/>
      <c r="C64" s="66"/>
      <c r="D64" s="216">
        <v>6</v>
      </c>
      <c r="E64" s="91" t="s">
        <v>248</v>
      </c>
      <c r="F64" s="84">
        <f>+'[6]PRG1'!F64+'[6]Auditoría'!F64</f>
        <v>302400384</v>
      </c>
      <c r="G64" s="84">
        <f>+'[6]PRG2'!F64</f>
        <v>0</v>
      </c>
      <c r="H64" s="84">
        <f>+'[6]PROG3'!F64</f>
        <v>0</v>
      </c>
      <c r="I64" s="79">
        <f t="shared" si="0"/>
        <v>302400384</v>
      </c>
    </row>
    <row r="65" spans="1:11" ht="25.5">
      <c r="A65" s="68"/>
      <c r="B65" s="66"/>
      <c r="C65" s="66"/>
      <c r="D65" s="216">
        <v>7</v>
      </c>
      <c r="E65" s="91" t="s">
        <v>249</v>
      </c>
      <c r="F65" s="84">
        <f>+'[6]PRG1'!F65+'[6]Auditoría'!F65</f>
        <v>10413000</v>
      </c>
      <c r="G65" s="84">
        <f>+'[6]PRG2'!F65</f>
        <v>0</v>
      </c>
      <c r="H65" s="84">
        <f>+'[6]PROG3'!F65</f>
        <v>0</v>
      </c>
      <c r="I65" s="79">
        <f t="shared" si="0"/>
        <v>10413000</v>
      </c>
      <c r="K65" s="87">
        <f>SUM(F65:F83)-F73</f>
        <v>978210597.4078</v>
      </c>
    </row>
    <row r="66" spans="1:9" ht="12.75">
      <c r="A66" s="68"/>
      <c r="B66" s="66"/>
      <c r="C66" s="66">
        <v>4</v>
      </c>
      <c r="D66" s="216"/>
      <c r="E66" s="90" t="s">
        <v>250</v>
      </c>
      <c r="F66" s="81">
        <f>SUM(F67:F73)</f>
        <v>294460000</v>
      </c>
      <c r="G66" s="81">
        <f>SUM(G67:G73)</f>
        <v>4641093192.860001</v>
      </c>
      <c r="H66" s="81">
        <f>SUM(H67:H73)</f>
        <v>190763553.66</v>
      </c>
      <c r="I66" s="79">
        <f t="shared" si="0"/>
        <v>5126316746.52</v>
      </c>
    </row>
    <row r="67" spans="1:9" ht="12.75">
      <c r="A67" s="68"/>
      <c r="B67" s="66"/>
      <c r="C67" s="66"/>
      <c r="D67" s="216">
        <v>1</v>
      </c>
      <c r="E67" s="91" t="s">
        <v>251</v>
      </c>
      <c r="F67" s="84">
        <f>+'[6]PRG1'!F67+'[6]Auditoría'!F67</f>
        <v>0</v>
      </c>
      <c r="G67" s="84">
        <f>+'[6]PRG2'!F67</f>
        <v>17545000</v>
      </c>
      <c r="H67" s="84">
        <f>+'[6]PROG3'!F67</f>
        <v>0</v>
      </c>
      <c r="I67" s="79">
        <f t="shared" si="0"/>
        <v>17545000</v>
      </c>
    </row>
    <row r="68" spans="1:9" ht="12.75">
      <c r="A68" s="68"/>
      <c r="B68" s="66"/>
      <c r="C68" s="66"/>
      <c r="D68" s="216">
        <v>2</v>
      </c>
      <c r="E68" s="91" t="s">
        <v>252</v>
      </c>
      <c r="F68" s="84">
        <f>+'[6]PRG1'!F68+'[6]Auditoría'!F68</f>
        <v>45550000</v>
      </c>
      <c r="G68" s="84">
        <f>+'[6]PRG2'!F68</f>
        <v>2010000</v>
      </c>
      <c r="H68" s="84">
        <f>+'[6]PROG3'!F68</f>
        <v>0</v>
      </c>
      <c r="I68" s="79">
        <f t="shared" si="0"/>
        <v>47560000</v>
      </c>
    </row>
    <row r="69" spans="1:9" ht="12.75">
      <c r="A69" s="68"/>
      <c r="B69" s="66"/>
      <c r="C69" s="66"/>
      <c r="D69" s="216">
        <v>3</v>
      </c>
      <c r="E69" s="91" t="s">
        <v>253</v>
      </c>
      <c r="F69" s="84">
        <f>+'[6]PRG1'!F69+'[6]Auditoría'!F69</f>
        <v>0</v>
      </c>
      <c r="G69" s="84">
        <f>+'[6]PRG2'!F69</f>
        <v>74510000</v>
      </c>
      <c r="H69" s="84">
        <f>+'[6]PROG3'!F69</f>
        <v>26000000</v>
      </c>
      <c r="I69" s="79">
        <f t="shared" si="0"/>
        <v>100510000</v>
      </c>
    </row>
    <row r="70" spans="1:9" ht="12.75">
      <c r="A70" s="68"/>
      <c r="B70" s="66"/>
      <c r="C70" s="66"/>
      <c r="D70" s="216">
        <v>4</v>
      </c>
      <c r="E70" s="91" t="s">
        <v>254</v>
      </c>
      <c r="F70" s="84">
        <f>+'[6]PRG1'!F70+'[6]Auditoría'!F70</f>
        <v>44000000</v>
      </c>
      <c r="G70" s="84">
        <f>+'[6]PRG2'!F70</f>
        <v>55510000</v>
      </c>
      <c r="H70" s="84">
        <f>+'[6]PROG3'!F70</f>
        <v>20000000</v>
      </c>
      <c r="I70" s="79">
        <f t="shared" si="0"/>
        <v>119510000</v>
      </c>
    </row>
    <row r="71" spans="1:9" ht="25.5">
      <c r="A71" s="68"/>
      <c r="B71" s="66"/>
      <c r="C71" s="66"/>
      <c r="D71" s="216">
        <v>5</v>
      </c>
      <c r="E71" s="91" t="s">
        <v>255</v>
      </c>
      <c r="F71" s="84">
        <f>+'[6]PRG1'!F71+'[6]Auditoría'!F71</f>
        <v>0</v>
      </c>
      <c r="G71" s="84">
        <f>+'[6]PRG2'!F71</f>
        <v>7510000</v>
      </c>
      <c r="H71" s="84">
        <f>+'[6]PROG3'!F71</f>
        <v>10010000</v>
      </c>
      <c r="I71" s="79">
        <f t="shared" si="0"/>
        <v>17520000</v>
      </c>
    </row>
    <row r="72" spans="1:11" ht="12.75">
      <c r="A72" s="68"/>
      <c r="B72" s="66"/>
      <c r="C72" s="66"/>
      <c r="D72" s="216">
        <v>6</v>
      </c>
      <c r="E72" s="91" t="s">
        <v>256</v>
      </c>
      <c r="F72" s="84">
        <f>+'[6]PRG1'!F72+'[6]Auditoría'!F72</f>
        <v>184295000</v>
      </c>
      <c r="G72" s="84">
        <f>+'[6]PRG2'!F72</f>
        <v>186203563.51999998</v>
      </c>
      <c r="H72" s="84">
        <f>+'[6]PROG3'!F72</f>
        <v>19200000</v>
      </c>
      <c r="I72" s="79">
        <f t="shared" si="0"/>
        <v>389698563.52</v>
      </c>
      <c r="K72" s="275">
        <f>+I67+I68+I69+I70+I71+I72+I73</f>
        <v>5126316746.52</v>
      </c>
    </row>
    <row r="73" spans="1:10" ht="12.75">
      <c r="A73" s="68"/>
      <c r="B73" s="66"/>
      <c r="C73" s="66"/>
      <c r="D73" s="216">
        <v>99</v>
      </c>
      <c r="E73" s="91" t="s">
        <v>257</v>
      </c>
      <c r="F73" s="84">
        <f>+'[6]PRG1'!F73+'[6]Auditoría'!F73</f>
        <v>20615000</v>
      </c>
      <c r="G73" s="84">
        <f>+'[6]PRG2'!F73</f>
        <v>4297804629.34</v>
      </c>
      <c r="H73" s="84">
        <f>+'[6]PROG3'!F73</f>
        <v>115553553.66</v>
      </c>
      <c r="I73" s="79">
        <f t="shared" si="0"/>
        <v>4433973183</v>
      </c>
      <c r="J73" s="92"/>
    </row>
    <row r="74" spans="1:9" ht="12.75">
      <c r="A74" s="68"/>
      <c r="B74" s="66"/>
      <c r="C74" s="66">
        <v>5</v>
      </c>
      <c r="D74" s="217"/>
      <c r="E74" s="90" t="s">
        <v>258</v>
      </c>
      <c r="F74" s="81">
        <f>SUM(F75:F78)</f>
        <v>6280000</v>
      </c>
      <c r="G74" s="81">
        <f>SUM(G75:G78)</f>
        <v>8200000</v>
      </c>
      <c r="H74" s="81">
        <f>SUM(H75:H78)</f>
        <v>0</v>
      </c>
      <c r="I74" s="79">
        <f t="shared" si="0"/>
        <v>14480000</v>
      </c>
    </row>
    <row r="75" spans="1:9" ht="12.75">
      <c r="A75" s="68"/>
      <c r="B75" s="66"/>
      <c r="C75" s="66"/>
      <c r="D75" s="217">
        <v>1</v>
      </c>
      <c r="E75" s="91" t="s">
        <v>259</v>
      </c>
      <c r="F75" s="84">
        <f>+'[6]PRG1'!F75+'[6]Auditoría'!F75</f>
        <v>0</v>
      </c>
      <c r="G75" s="84">
        <f>+'[6]PRG2'!F75</f>
        <v>200000</v>
      </c>
      <c r="H75" s="84">
        <f>+'[6]PROG3'!F75</f>
        <v>0</v>
      </c>
      <c r="I75" s="79">
        <f t="shared" si="0"/>
        <v>200000</v>
      </c>
    </row>
    <row r="76" spans="1:9" ht="12.75">
      <c r="A76" s="68"/>
      <c r="B76" s="66"/>
      <c r="C76" s="66"/>
      <c r="D76" s="217">
        <v>2</v>
      </c>
      <c r="E76" s="91" t="s">
        <v>260</v>
      </c>
      <c r="F76" s="84">
        <f>+'[6]PRG1'!F76+'[6]Auditoría'!F76</f>
        <v>6280000</v>
      </c>
      <c r="G76" s="84">
        <f>+'[6]PRG2'!F76</f>
        <v>8000000</v>
      </c>
      <c r="H76" s="84">
        <f>+'[6]PROG3'!F76</f>
        <v>0</v>
      </c>
      <c r="I76" s="79">
        <f t="shared" si="0"/>
        <v>14280000</v>
      </c>
    </row>
    <row r="77" spans="1:9" ht="12.75" hidden="1">
      <c r="A77" s="68"/>
      <c r="B77" s="66"/>
      <c r="C77" s="66"/>
      <c r="D77" s="217">
        <v>3</v>
      </c>
      <c r="E77" s="91" t="s">
        <v>261</v>
      </c>
      <c r="F77" s="84">
        <f>+'[6]PRG1'!F77+'[6]Auditoría'!F77</f>
        <v>0</v>
      </c>
      <c r="G77" s="84">
        <f>+'[6]PRG2'!F77</f>
        <v>0</v>
      </c>
      <c r="H77" s="84">
        <f>+'[6]PROG3'!F77</f>
        <v>0</v>
      </c>
      <c r="I77" s="79">
        <f t="shared" si="0"/>
        <v>0</v>
      </c>
    </row>
    <row r="78" spans="1:9" ht="12.75" hidden="1">
      <c r="A78" s="68"/>
      <c r="B78" s="66"/>
      <c r="C78" s="66"/>
      <c r="D78" s="217">
        <v>4</v>
      </c>
      <c r="E78" s="91" t="s">
        <v>262</v>
      </c>
      <c r="F78" s="84">
        <f>+'[6]PRG1'!F78+'[6]Auditoría'!F78</f>
        <v>0</v>
      </c>
      <c r="G78" s="84">
        <f>+'[6]PRG2'!F78</f>
        <v>0</v>
      </c>
      <c r="H78" s="84">
        <f>+'[6]PROG3'!F78</f>
        <v>0</v>
      </c>
      <c r="I78" s="79">
        <f t="shared" si="0"/>
        <v>0</v>
      </c>
    </row>
    <row r="79" spans="1:9" ht="12.75">
      <c r="A79" s="68"/>
      <c r="B79" s="66"/>
      <c r="C79" s="66">
        <v>6</v>
      </c>
      <c r="D79" s="217"/>
      <c r="E79" s="90" t="s">
        <v>263</v>
      </c>
      <c r="F79" s="81">
        <f>SUM(F80)</f>
        <v>141882098.70389998</v>
      </c>
      <c r="G79" s="81">
        <f>SUM(G80)</f>
        <v>143173242.21989998</v>
      </c>
      <c r="H79" s="81">
        <f>SUM(H80)</f>
        <v>71771897.761425</v>
      </c>
      <c r="I79" s="79">
        <f t="shared" si="0"/>
        <v>356827238.685225</v>
      </c>
    </row>
    <row r="80" spans="1:9" ht="12.75">
      <c r="A80" s="68"/>
      <c r="B80" s="66"/>
      <c r="C80" s="66"/>
      <c r="D80" s="216">
        <v>1</v>
      </c>
      <c r="E80" s="91" t="s">
        <v>264</v>
      </c>
      <c r="F80" s="84">
        <f>+'[6]PRG1'!F80+'[6]Auditoría'!F80</f>
        <v>141882098.70389998</v>
      </c>
      <c r="G80" s="84">
        <f>+'[6]PRG2'!F80</f>
        <v>143173242.21989998</v>
      </c>
      <c r="H80" s="84">
        <f>+'[6]PROG3'!F80</f>
        <v>71771897.761425</v>
      </c>
      <c r="I80" s="79">
        <f t="shared" si="0"/>
        <v>356827238.685225</v>
      </c>
    </row>
    <row r="81" spans="1:9" ht="12.75">
      <c r="A81" s="68"/>
      <c r="B81" s="66"/>
      <c r="C81" s="66">
        <v>7</v>
      </c>
      <c r="D81" s="216"/>
      <c r="E81" s="90" t="s">
        <v>265</v>
      </c>
      <c r="F81" s="81">
        <f>SUM(F82:F84)</f>
        <v>55084200</v>
      </c>
      <c r="G81" s="81">
        <f>SUM(G82:G84)</f>
        <v>56965003.5</v>
      </c>
      <c r="H81" s="81">
        <f>SUM(H82:H84)</f>
        <v>6600000</v>
      </c>
      <c r="I81" s="79">
        <f t="shared" si="0"/>
        <v>118649203.5</v>
      </c>
    </row>
    <row r="82" spans="1:9" ht="12.75">
      <c r="A82" s="68"/>
      <c r="B82" s="66"/>
      <c r="C82" s="66"/>
      <c r="D82" s="216">
        <v>1</v>
      </c>
      <c r="E82" s="91" t="s">
        <v>266</v>
      </c>
      <c r="F82" s="84">
        <f>+'[6]PRG1'!F82+'[6]Auditoría'!F82</f>
        <v>21589200</v>
      </c>
      <c r="G82" s="84">
        <f>+'[6]PRG2'!F82</f>
        <v>42665003.5</v>
      </c>
      <c r="H82" s="84">
        <f>+'[6]PROG3'!F82</f>
        <v>6400000</v>
      </c>
      <c r="I82" s="79">
        <f aca="true" t="shared" si="1" ref="I82:I149">SUM(F82:H82)</f>
        <v>70654203.5</v>
      </c>
    </row>
    <row r="83" spans="1:9" ht="12.75">
      <c r="A83" s="68"/>
      <c r="B83" s="66"/>
      <c r="C83" s="66"/>
      <c r="D83" s="216">
        <v>2</v>
      </c>
      <c r="E83" s="91" t="s">
        <v>267</v>
      </c>
      <c r="F83" s="84">
        <f>+'[6]PRG1'!F83+'[6]Auditoría'!F83</f>
        <v>26495000</v>
      </c>
      <c r="G83" s="84">
        <f>+'[6]PRG2'!F83</f>
        <v>14300000</v>
      </c>
      <c r="H83" s="84">
        <f>+'[6]PROG3'!F83</f>
        <v>200000</v>
      </c>
      <c r="I83" s="79">
        <f t="shared" si="1"/>
        <v>40995000</v>
      </c>
    </row>
    <row r="84" spans="1:9" ht="12.75">
      <c r="A84" s="68"/>
      <c r="B84" s="66"/>
      <c r="C84" s="66"/>
      <c r="D84" s="216">
        <v>3</v>
      </c>
      <c r="E84" s="91" t="s">
        <v>268</v>
      </c>
      <c r="F84" s="84">
        <f>+'[6]PRG1'!F84+'[6]Auditoría'!F84</f>
        <v>7000000</v>
      </c>
      <c r="G84" s="84">
        <f>+'[6]PRG2'!F84</f>
        <v>0</v>
      </c>
      <c r="H84" s="84">
        <f>+'[6]PROG3'!F84</f>
        <v>0</v>
      </c>
      <c r="I84" s="79">
        <f t="shared" si="1"/>
        <v>7000000</v>
      </c>
    </row>
    <row r="85" spans="1:9" ht="12.75">
      <c r="A85" s="68"/>
      <c r="B85" s="66"/>
      <c r="C85" s="66">
        <v>8</v>
      </c>
      <c r="D85" s="216"/>
      <c r="E85" s="90" t="s">
        <v>269</v>
      </c>
      <c r="F85" s="81">
        <f>SUM(F86:F94)</f>
        <v>64767370</v>
      </c>
      <c r="G85" s="81">
        <f>SUM(G86:G94)</f>
        <v>217385000</v>
      </c>
      <c r="H85" s="81">
        <f>SUM(H86:H94)</f>
        <v>59661000</v>
      </c>
      <c r="I85" s="79">
        <f t="shared" si="1"/>
        <v>341813370</v>
      </c>
    </row>
    <row r="86" spans="1:9" ht="12.75">
      <c r="A86" s="68"/>
      <c r="B86" s="66"/>
      <c r="C86" s="66"/>
      <c r="D86" s="216">
        <v>1</v>
      </c>
      <c r="E86" s="91" t="s">
        <v>270</v>
      </c>
      <c r="F86" s="84">
        <f>+'[6]PRG1'!F86+'[6]Auditoría'!F86</f>
        <v>17000400</v>
      </c>
      <c r="G86" s="84">
        <f>+'[6]PRG2'!F86</f>
        <v>9010000</v>
      </c>
      <c r="H86" s="84">
        <f>+'[6]PROG3'!F86</f>
        <v>0</v>
      </c>
      <c r="I86" s="79">
        <f t="shared" si="1"/>
        <v>26010400</v>
      </c>
    </row>
    <row r="87" spans="1:9" ht="12.75">
      <c r="A87" s="68"/>
      <c r="B87" s="66"/>
      <c r="C87" s="66"/>
      <c r="D87" s="216">
        <v>2</v>
      </c>
      <c r="E87" s="91" t="s">
        <v>271</v>
      </c>
      <c r="F87" s="84">
        <f>+'[6]PRG1'!F87+'[6]Auditoría'!F87</f>
        <v>0</v>
      </c>
      <c r="G87" s="84">
        <f>+'[6]PRG2'!F87</f>
        <v>10000</v>
      </c>
      <c r="H87" s="84">
        <f>+'[6]PROG3'!F87</f>
        <v>0</v>
      </c>
      <c r="I87" s="79">
        <f t="shared" si="1"/>
        <v>10000</v>
      </c>
    </row>
    <row r="88" spans="1:9" ht="25.5">
      <c r="A88" s="68"/>
      <c r="B88" s="66"/>
      <c r="C88" s="66"/>
      <c r="D88" s="216">
        <v>3</v>
      </c>
      <c r="E88" s="91" t="s">
        <v>272</v>
      </c>
      <c r="F88" s="84">
        <f>+'[6]PRG1'!F88+'[6]Auditoría'!F88</f>
        <v>0</v>
      </c>
      <c r="G88" s="84">
        <f>+'[6]PRG2'!F88</f>
        <v>10000</v>
      </c>
      <c r="H88" s="84">
        <f>+'[6]PROG3'!F88</f>
        <v>0</v>
      </c>
      <c r="I88" s="79">
        <f t="shared" si="1"/>
        <v>10000</v>
      </c>
    </row>
    <row r="89" spans="1:9" ht="25.5">
      <c r="A89" s="68"/>
      <c r="B89" s="66"/>
      <c r="C89" s="66"/>
      <c r="D89" s="216">
        <v>4</v>
      </c>
      <c r="E89" s="91" t="s">
        <v>273</v>
      </c>
      <c r="F89" s="84">
        <f>+'[6]PRG1'!F89+'[6]Auditoría'!F89</f>
        <v>3315000</v>
      </c>
      <c r="G89" s="84">
        <f>+'[6]PRG2'!F89</f>
        <v>122740000</v>
      </c>
      <c r="H89" s="84">
        <f>+'[6]PROG3'!F89</f>
        <v>40000000</v>
      </c>
      <c r="I89" s="79">
        <f t="shared" si="1"/>
        <v>166055000</v>
      </c>
    </row>
    <row r="90" spans="1:9" ht="25.5">
      <c r="A90" s="68"/>
      <c r="B90" s="66"/>
      <c r="C90" s="66"/>
      <c r="D90" s="216">
        <v>5</v>
      </c>
      <c r="E90" s="91" t="s">
        <v>274</v>
      </c>
      <c r="F90" s="84">
        <f>+'[6]PRG1'!F90+'[6]Auditoría'!F90</f>
        <v>8585000</v>
      </c>
      <c r="G90" s="84">
        <f>+'[6]PRG2'!F90</f>
        <v>63600000</v>
      </c>
      <c r="H90" s="84">
        <f>+'[6]PROG3'!F90</f>
        <v>18000000</v>
      </c>
      <c r="I90" s="79">
        <f t="shared" si="1"/>
        <v>90185000</v>
      </c>
    </row>
    <row r="91" spans="1:9" ht="25.5">
      <c r="A91" s="68"/>
      <c r="B91" s="66"/>
      <c r="C91" s="66"/>
      <c r="D91" s="216">
        <v>6</v>
      </c>
      <c r="E91" s="91" t="s">
        <v>275</v>
      </c>
      <c r="F91" s="84">
        <f>+'[6]PRG1'!F91+'[6]Auditoría'!F91</f>
        <v>1775000</v>
      </c>
      <c r="G91" s="84">
        <f>+'[6]PRG2'!F91</f>
        <v>2210000</v>
      </c>
      <c r="H91" s="84">
        <f>+'[6]PROG3'!F91</f>
        <v>0</v>
      </c>
      <c r="I91" s="79">
        <f t="shared" si="1"/>
        <v>3985000</v>
      </c>
    </row>
    <row r="92" spans="1:10" ht="25.5">
      <c r="A92" s="68"/>
      <c r="B92" s="66"/>
      <c r="C92" s="66"/>
      <c r="D92" s="216">
        <v>7</v>
      </c>
      <c r="E92" s="91" t="s">
        <v>504</v>
      </c>
      <c r="F92" s="84">
        <f>+'[6]PRG1'!F92+'[6]Auditoría'!F92</f>
        <v>28821970</v>
      </c>
      <c r="G92" s="84">
        <f>+'[6]PRG2'!F92</f>
        <v>5710000</v>
      </c>
      <c r="H92" s="84">
        <f>+'[6]PROG3'!F92</f>
        <v>0</v>
      </c>
      <c r="I92" s="79">
        <f t="shared" si="1"/>
        <v>34531970</v>
      </c>
      <c r="J92" s="401">
        <f>SUM(936583.16-200000)</f>
        <v>736583.16</v>
      </c>
    </row>
    <row r="93" spans="1:9" ht="25.5">
      <c r="A93" s="68"/>
      <c r="B93" s="66"/>
      <c r="C93" s="66"/>
      <c r="D93" s="216">
        <v>8</v>
      </c>
      <c r="E93" s="91" t="s">
        <v>276</v>
      </c>
      <c r="F93" s="84">
        <f>+'[6]PRG1'!F93+'[6]Auditoría'!F93</f>
        <v>4750000</v>
      </c>
      <c r="G93" s="84">
        <f>+'[6]PRG2'!F93</f>
        <v>10285000</v>
      </c>
      <c r="H93" s="84">
        <f>+'[6]PROG3'!F93</f>
        <v>1661000</v>
      </c>
      <c r="I93" s="79">
        <f t="shared" si="1"/>
        <v>16696000</v>
      </c>
    </row>
    <row r="94" spans="1:9" ht="13.5" thickBot="1">
      <c r="A94" s="213"/>
      <c r="B94" s="214"/>
      <c r="C94" s="214"/>
      <c r="D94" s="223">
        <v>99</v>
      </c>
      <c r="E94" s="93" t="s">
        <v>277</v>
      </c>
      <c r="F94" s="94">
        <f>+'[6]PRG1'!F94+'[6]Auditoría'!F94</f>
        <v>520000</v>
      </c>
      <c r="G94" s="94">
        <f>+'[6]PRG2'!F94</f>
        <v>3810000</v>
      </c>
      <c r="H94" s="94">
        <f>+'[6]PROG3'!F94</f>
        <v>0</v>
      </c>
      <c r="I94" s="95">
        <f t="shared" si="1"/>
        <v>4330000</v>
      </c>
    </row>
    <row r="95" spans="1:9" ht="13.5" hidden="1" thickBot="1">
      <c r="A95" s="68"/>
      <c r="B95" s="66"/>
      <c r="C95" s="66">
        <v>9</v>
      </c>
      <c r="D95" s="216"/>
      <c r="E95" s="90" t="s">
        <v>278</v>
      </c>
      <c r="F95" s="81">
        <f>SUM(F96)</f>
        <v>0</v>
      </c>
      <c r="G95" s="81">
        <f>SUM(G96)</f>
        <v>0</v>
      </c>
      <c r="H95" s="81">
        <f>SUM(H96)</f>
        <v>0</v>
      </c>
      <c r="I95" s="79">
        <f t="shared" si="1"/>
        <v>0</v>
      </c>
    </row>
    <row r="96" spans="1:9" ht="13.5" hidden="1" thickBot="1">
      <c r="A96" s="68"/>
      <c r="B96" s="66"/>
      <c r="C96" s="66"/>
      <c r="D96" s="216">
        <v>99</v>
      </c>
      <c r="E96" s="91" t="s">
        <v>279</v>
      </c>
      <c r="F96" s="84">
        <f>+'[6]PRG1'!F96+'[6]Auditoría'!F96</f>
        <v>0</v>
      </c>
      <c r="G96" s="84">
        <f>+'[6]PRG2'!F96</f>
        <v>0</v>
      </c>
      <c r="H96" s="84">
        <f>+'[6]PROG3'!F96</f>
        <v>0</v>
      </c>
      <c r="I96" s="79">
        <f t="shared" si="1"/>
        <v>0</v>
      </c>
    </row>
    <row r="97" spans="1:9" ht="12.75">
      <c r="A97" s="209" t="s">
        <v>728</v>
      </c>
      <c r="B97" s="210"/>
      <c r="C97" s="210">
        <v>99</v>
      </c>
      <c r="D97" s="215"/>
      <c r="E97" s="471" t="s">
        <v>280</v>
      </c>
      <c r="F97" s="472">
        <f>SUM(F98:F100)</f>
        <v>1650000</v>
      </c>
      <c r="G97" s="472">
        <f>SUM(G98:G100)</f>
        <v>41000000</v>
      </c>
      <c r="H97" s="472">
        <f>SUM(H98:H100)</f>
        <v>0</v>
      </c>
      <c r="I97" s="203">
        <f t="shared" si="1"/>
        <v>42650000</v>
      </c>
    </row>
    <row r="98" spans="1:9" ht="12.75">
      <c r="A98" s="68"/>
      <c r="B98" s="66"/>
      <c r="C98" s="224"/>
      <c r="D98" s="225">
        <v>1</v>
      </c>
      <c r="E98" s="96" t="s">
        <v>464</v>
      </c>
      <c r="F98" s="84">
        <f>+'[6]PRG1'!F98+'[6]Auditoría'!F98</f>
        <v>0</v>
      </c>
      <c r="G98" s="84">
        <f>+'[6]PRG2'!F98</f>
        <v>40000000</v>
      </c>
      <c r="H98" s="84">
        <f>+'[6]PROG3'!F98</f>
        <v>0</v>
      </c>
      <c r="I98" s="79">
        <f t="shared" si="1"/>
        <v>40000000</v>
      </c>
    </row>
    <row r="99" spans="1:11" ht="12.75">
      <c r="A99" s="68"/>
      <c r="B99" s="66"/>
      <c r="C99" s="224"/>
      <c r="D99" s="225">
        <v>5</v>
      </c>
      <c r="E99" s="96" t="s">
        <v>281</v>
      </c>
      <c r="F99" s="84">
        <f>+'[6]PRG1'!F99+'[6]Auditoría'!F99</f>
        <v>1650000</v>
      </c>
      <c r="G99" s="84">
        <f>+'[6]PRG2'!F99</f>
        <v>1000000</v>
      </c>
      <c r="H99" s="84">
        <f>+'[6]PROG3'!F99</f>
        <v>0</v>
      </c>
      <c r="I99" s="79">
        <f t="shared" si="1"/>
        <v>2650000</v>
      </c>
      <c r="K99" s="275">
        <f>+I86+I88+I89+I90+I91+I92+I93+I94</f>
        <v>341803370</v>
      </c>
    </row>
    <row r="100" spans="1:9" ht="12.75" hidden="1">
      <c r="A100" s="68"/>
      <c r="B100" s="66"/>
      <c r="C100" s="66"/>
      <c r="D100" s="216">
        <v>99</v>
      </c>
      <c r="E100" s="91" t="s">
        <v>282</v>
      </c>
      <c r="F100" s="84">
        <f>+'[6]PRG1'!F100+'[6]Auditoría'!F100</f>
        <v>0</v>
      </c>
      <c r="G100" s="84">
        <f>+'[6]PRG2'!F100</f>
        <v>0</v>
      </c>
      <c r="H100" s="84">
        <f>+'[6]PROG3'!F100</f>
        <v>0</v>
      </c>
      <c r="I100" s="79">
        <f t="shared" si="1"/>
        <v>0</v>
      </c>
    </row>
    <row r="101" spans="1:9" ht="12.75" hidden="1">
      <c r="A101" s="68"/>
      <c r="B101" s="66"/>
      <c r="C101" s="66"/>
      <c r="D101" s="216"/>
      <c r="E101" s="91" t="s">
        <v>146</v>
      </c>
      <c r="F101" s="84"/>
      <c r="G101" s="84">
        <f>+'[6]PRG2'!F102</f>
        <v>0</v>
      </c>
      <c r="H101" s="84">
        <f>+'[6]PROG3'!F101</f>
        <v>0</v>
      </c>
      <c r="I101" s="79">
        <f t="shared" si="1"/>
        <v>0</v>
      </c>
    </row>
    <row r="102" spans="1:9" ht="12.75">
      <c r="A102" s="68" t="s">
        <v>146</v>
      </c>
      <c r="B102" s="66">
        <v>2</v>
      </c>
      <c r="C102" s="66"/>
      <c r="D102" s="216"/>
      <c r="E102" s="90" t="s">
        <v>184</v>
      </c>
      <c r="F102" s="81">
        <f>+F103+F108+F111+F119+F122</f>
        <v>112711444.08</v>
      </c>
      <c r="G102" s="81">
        <f>+G103+G108+G111+G119+G122</f>
        <v>361025856.1</v>
      </c>
      <c r="H102" s="81">
        <f>+H103+H108+H111+H119+H122</f>
        <v>619332077.94</v>
      </c>
      <c r="I102" s="79">
        <f t="shared" si="1"/>
        <v>1093069378.1200001</v>
      </c>
    </row>
    <row r="103" spans="1:11" s="83" customFormat="1" ht="12.75">
      <c r="A103" s="68"/>
      <c r="B103" s="66"/>
      <c r="C103" s="66">
        <v>1</v>
      </c>
      <c r="D103" s="66"/>
      <c r="E103" s="90" t="s">
        <v>283</v>
      </c>
      <c r="F103" s="81">
        <f>SUM(F104:F107)</f>
        <v>28898218.89</v>
      </c>
      <c r="G103" s="81">
        <f>SUM(G104:G107)</f>
        <v>46539955.480000004</v>
      </c>
      <c r="H103" s="81">
        <f>SUM(H104:H107)</f>
        <v>111199990</v>
      </c>
      <c r="I103" s="79">
        <f t="shared" si="1"/>
        <v>186638164.37</v>
      </c>
      <c r="J103" s="82" t="s">
        <v>146</v>
      </c>
      <c r="K103" s="82">
        <f>+I222-I85</f>
        <v>28798702610.808636</v>
      </c>
    </row>
    <row r="104" spans="1:9" ht="12.75">
      <c r="A104" s="68"/>
      <c r="B104" s="66"/>
      <c r="C104" s="66"/>
      <c r="D104" s="216">
        <v>1</v>
      </c>
      <c r="E104" s="91" t="s">
        <v>284</v>
      </c>
      <c r="F104" s="84">
        <f>+'[6]PRG1'!F104+'[6]Auditoría'!F104</f>
        <v>11150000</v>
      </c>
      <c r="G104" s="84">
        <f>+'[6]PRG2'!F104</f>
        <v>35875000</v>
      </c>
      <c r="H104" s="84">
        <f>+'[6]PROG3'!F104</f>
        <v>59000000</v>
      </c>
      <c r="I104" s="79">
        <f t="shared" si="1"/>
        <v>106025000</v>
      </c>
    </row>
    <row r="105" spans="1:10" ht="12.75">
      <c r="A105" s="68"/>
      <c r="B105" s="66"/>
      <c r="C105" s="66"/>
      <c r="D105" s="216">
        <v>2</v>
      </c>
      <c r="E105" s="91" t="s">
        <v>285</v>
      </c>
      <c r="F105" s="84">
        <f>+'[6]PRG1'!F105+'[6]Auditoría'!F105</f>
        <v>2434000</v>
      </c>
      <c r="G105" s="84">
        <f>+'[6]PRG2'!F105</f>
        <v>5489958.98</v>
      </c>
      <c r="H105" s="84">
        <f>+'[6]PROG3'!F105</f>
        <v>4100000</v>
      </c>
      <c r="I105" s="79">
        <f t="shared" si="1"/>
        <v>12023958.98</v>
      </c>
      <c r="J105" s="402" t="s">
        <v>146</v>
      </c>
    </row>
    <row r="106" spans="1:11" ht="12.75">
      <c r="A106" s="68"/>
      <c r="B106" s="66"/>
      <c r="C106" s="66"/>
      <c r="D106" s="216">
        <v>4</v>
      </c>
      <c r="E106" s="91" t="s">
        <v>286</v>
      </c>
      <c r="F106" s="84">
        <f>+'[6]PRG1'!F106+'[6]Auditoría'!F106</f>
        <v>14919218.889999999</v>
      </c>
      <c r="G106" s="84">
        <f>+'[6]PRG2'!F106</f>
        <v>4669996.5</v>
      </c>
      <c r="H106" s="84">
        <f>+'[6]PROG3'!F106</f>
        <v>19099990</v>
      </c>
      <c r="I106" s="79">
        <f t="shared" si="1"/>
        <v>38689205.39</v>
      </c>
      <c r="J106" s="67" t="s">
        <v>146</v>
      </c>
      <c r="K106" s="275">
        <f>+I104+I105+I106+I107</f>
        <v>186638164.37</v>
      </c>
    </row>
    <row r="107" spans="1:9" ht="12.75">
      <c r="A107" s="70"/>
      <c r="B107" s="71"/>
      <c r="C107" s="71"/>
      <c r="D107" s="72">
        <v>99</v>
      </c>
      <c r="E107" s="91" t="s">
        <v>287</v>
      </c>
      <c r="F107" s="84">
        <f>+'[6]PRG1'!F107+'[6]Auditoría'!F107</f>
        <v>395000</v>
      </c>
      <c r="G107" s="84">
        <f>+'[6]PRG2'!F107</f>
        <v>505000</v>
      </c>
      <c r="H107" s="84">
        <f>+'[6]PROG3'!F107</f>
        <v>29000000</v>
      </c>
      <c r="I107" s="79">
        <f t="shared" si="1"/>
        <v>29900000</v>
      </c>
    </row>
    <row r="108" spans="1:11" s="83" customFormat="1" ht="12.75">
      <c r="A108" s="70"/>
      <c r="B108" s="71"/>
      <c r="C108" s="71">
        <v>2</v>
      </c>
      <c r="D108" s="71"/>
      <c r="E108" s="90" t="s">
        <v>288</v>
      </c>
      <c r="F108" s="81">
        <f>SUM(F109:F110)</f>
        <v>0</v>
      </c>
      <c r="G108" s="81">
        <f>SUM(G109:G110)</f>
        <v>210000</v>
      </c>
      <c r="H108" s="81">
        <f>SUM(H109:H110)</f>
        <v>34000000</v>
      </c>
      <c r="I108" s="79">
        <f t="shared" si="1"/>
        <v>34210000</v>
      </c>
      <c r="J108" s="86"/>
      <c r="K108" s="86"/>
    </row>
    <row r="109" spans="1:11" ht="12.75">
      <c r="A109" s="70"/>
      <c r="B109" s="71"/>
      <c r="C109" s="71"/>
      <c r="D109" s="72">
        <v>2</v>
      </c>
      <c r="E109" s="91" t="s">
        <v>289</v>
      </c>
      <c r="F109" s="84">
        <f>+'[6]PRG1'!F109+'[6]Auditoría'!F109</f>
        <v>0</v>
      </c>
      <c r="G109" s="84">
        <f>+'[6]PRG2'!F109</f>
        <v>10000</v>
      </c>
      <c r="H109" s="84">
        <f>+'[6]PROG3'!F109</f>
        <v>34000000</v>
      </c>
      <c r="I109" s="79">
        <f t="shared" si="1"/>
        <v>34010000</v>
      </c>
      <c r="J109" s="85"/>
      <c r="K109" s="85"/>
    </row>
    <row r="110" spans="1:11" ht="12.75">
      <c r="A110" s="70"/>
      <c r="B110" s="71"/>
      <c r="C110" s="71"/>
      <c r="D110" s="72">
        <v>3</v>
      </c>
      <c r="E110" s="91" t="s">
        <v>290</v>
      </c>
      <c r="F110" s="84">
        <f>+'[6]PRG1'!F110+'[6]Auditoría'!F110</f>
        <v>0</v>
      </c>
      <c r="G110" s="84">
        <f>+'[6]PRG2'!F110</f>
        <v>200000</v>
      </c>
      <c r="H110" s="84">
        <f>+'[6]PROG3'!F110</f>
        <v>0</v>
      </c>
      <c r="I110" s="79">
        <f t="shared" si="1"/>
        <v>200000</v>
      </c>
      <c r="J110" s="85" t="s">
        <v>146</v>
      </c>
      <c r="K110" s="85"/>
    </row>
    <row r="111" spans="1:9" s="83" customFormat="1" ht="25.5">
      <c r="A111" s="70"/>
      <c r="B111" s="71"/>
      <c r="C111" s="71">
        <v>3</v>
      </c>
      <c r="D111" s="71"/>
      <c r="E111" s="90" t="s">
        <v>291</v>
      </c>
      <c r="F111" s="81">
        <f>SUM(F112:F118)</f>
        <v>11287000</v>
      </c>
      <c r="G111" s="81">
        <f>SUM(G112:G118)</f>
        <v>158860000</v>
      </c>
      <c r="H111" s="81">
        <f>SUM(H112:H118)</f>
        <v>422464870</v>
      </c>
      <c r="I111" s="79">
        <f t="shared" si="1"/>
        <v>592611870</v>
      </c>
    </row>
    <row r="112" spans="1:10" ht="12.75">
      <c r="A112" s="70"/>
      <c r="B112" s="71"/>
      <c r="C112" s="71"/>
      <c r="D112" s="72">
        <v>1</v>
      </c>
      <c r="E112" s="91" t="s">
        <v>292</v>
      </c>
      <c r="F112" s="84">
        <f>+'[6]PRG1'!F112+'[6]Auditoría'!F112</f>
        <v>2566000</v>
      </c>
      <c r="G112" s="84">
        <f>+'[6]PRG2'!F112</f>
        <v>45660000</v>
      </c>
      <c r="H112" s="84">
        <f>+'[6]PROG3'!F112</f>
        <v>37000000</v>
      </c>
      <c r="I112" s="79">
        <f t="shared" si="1"/>
        <v>85226000</v>
      </c>
      <c r="J112" s="80">
        <f>+I112+I113+I114+I115+I116+I117+I118</f>
        <v>592611870</v>
      </c>
    </row>
    <row r="113" spans="1:9" ht="12.75">
      <c r="A113" s="70"/>
      <c r="B113" s="71"/>
      <c r="C113" s="71"/>
      <c r="D113" s="72">
        <v>2</v>
      </c>
      <c r="E113" s="91" t="s">
        <v>293</v>
      </c>
      <c r="F113" s="84">
        <f>+'[6]PRG1'!F113+'[6]Auditoría'!F113</f>
        <v>440000</v>
      </c>
      <c r="G113" s="84">
        <f>+'[6]PRG2'!F113</f>
        <v>77110000</v>
      </c>
      <c r="H113" s="84">
        <f>+'[6]PROG3'!F113</f>
        <v>290600000</v>
      </c>
      <c r="I113" s="79">
        <f t="shared" si="1"/>
        <v>368150000</v>
      </c>
    </row>
    <row r="114" spans="1:9" ht="12.75">
      <c r="A114" s="70"/>
      <c r="B114" s="71"/>
      <c r="C114" s="71"/>
      <c r="D114" s="72">
        <v>3</v>
      </c>
      <c r="E114" s="91" t="s">
        <v>294</v>
      </c>
      <c r="F114" s="84">
        <f>+'[6]PRG1'!F114+'[6]Auditoría'!F114</f>
        <v>550000</v>
      </c>
      <c r="G114" s="84">
        <f>+'[6]PRG2'!F114</f>
        <v>3430000</v>
      </c>
      <c r="H114" s="84">
        <f>+'[6]PROG3'!F114</f>
        <v>13300000</v>
      </c>
      <c r="I114" s="79">
        <f t="shared" si="1"/>
        <v>17280000</v>
      </c>
    </row>
    <row r="115" spans="1:9" ht="25.5">
      <c r="A115" s="70"/>
      <c r="B115" s="71"/>
      <c r="C115" s="71"/>
      <c r="D115" s="72">
        <v>4</v>
      </c>
      <c r="E115" s="91" t="s">
        <v>295</v>
      </c>
      <c r="F115" s="84">
        <f>+'[6]PRG1'!F115+'[6]Auditoría'!F115</f>
        <v>4706000</v>
      </c>
      <c r="G115" s="84">
        <f>+'[6]PRG2'!F115</f>
        <v>11780000</v>
      </c>
      <c r="H115" s="84">
        <f>+'[6]PROG3'!F115</f>
        <v>5604500</v>
      </c>
      <c r="I115" s="79">
        <f t="shared" si="1"/>
        <v>22090500</v>
      </c>
    </row>
    <row r="116" spans="1:9" ht="12.75">
      <c r="A116" s="70"/>
      <c r="B116" s="71"/>
      <c r="C116" s="71"/>
      <c r="D116" s="72">
        <v>5</v>
      </c>
      <c r="E116" s="91" t="s">
        <v>296</v>
      </c>
      <c r="F116" s="84">
        <f>+'[6]PRG1'!F116+'[6]Auditoría'!F116</f>
        <v>495000</v>
      </c>
      <c r="G116" s="84">
        <f>+'[6]PRG2'!F116</f>
        <v>10000</v>
      </c>
      <c r="H116" s="84">
        <f>+'[6]PROG3'!F116</f>
        <v>100000</v>
      </c>
      <c r="I116" s="79">
        <f t="shared" si="1"/>
        <v>605000</v>
      </c>
    </row>
    <row r="117" spans="1:9" ht="12.75">
      <c r="A117" s="70"/>
      <c r="B117" s="71"/>
      <c r="C117" s="71"/>
      <c r="D117" s="72">
        <v>6</v>
      </c>
      <c r="E117" s="91" t="s">
        <v>297</v>
      </c>
      <c r="F117" s="84">
        <f>+'[6]PRG1'!F117+'[6]Auditoría'!F117</f>
        <v>660000</v>
      </c>
      <c r="G117" s="84">
        <f>+'[6]PRG2'!F117</f>
        <v>18860000</v>
      </c>
      <c r="H117" s="84">
        <f>+'[6]PROG3'!F117</f>
        <v>70060370</v>
      </c>
      <c r="I117" s="79">
        <f t="shared" si="1"/>
        <v>89580370</v>
      </c>
    </row>
    <row r="118" spans="1:9" ht="25.5">
      <c r="A118" s="70"/>
      <c r="B118" s="71"/>
      <c r="C118" s="71"/>
      <c r="D118" s="72">
        <v>99</v>
      </c>
      <c r="E118" s="91" t="s">
        <v>298</v>
      </c>
      <c r="F118" s="84">
        <f>+'[6]PRG1'!F118+'[6]Auditoría'!F118</f>
        <v>1870000</v>
      </c>
      <c r="G118" s="84">
        <f>+'[6]PRG2'!F118</f>
        <v>2010000</v>
      </c>
      <c r="H118" s="84">
        <f>+'[6]PROG3'!F118</f>
        <v>5800000</v>
      </c>
      <c r="I118" s="79">
        <f t="shared" si="1"/>
        <v>9680000</v>
      </c>
    </row>
    <row r="119" spans="1:9" s="83" customFormat="1" ht="12.75">
      <c r="A119" s="70"/>
      <c r="B119" s="71"/>
      <c r="C119" s="71">
        <v>4</v>
      </c>
      <c r="D119" s="71"/>
      <c r="E119" s="90" t="s">
        <v>299</v>
      </c>
      <c r="F119" s="81">
        <f>SUM(F120:F121)</f>
        <v>4868000</v>
      </c>
      <c r="G119" s="81">
        <f>SUM(G120:G121)</f>
        <v>73615130.62</v>
      </c>
      <c r="H119" s="81">
        <f>SUM(H120:H121)</f>
        <v>18709000</v>
      </c>
      <c r="I119" s="79">
        <f t="shared" si="1"/>
        <v>97192130.62</v>
      </c>
    </row>
    <row r="120" spans="1:10" ht="12.75">
      <c r="A120" s="70"/>
      <c r="B120" s="71"/>
      <c r="C120" s="71"/>
      <c r="D120" s="72">
        <v>1</v>
      </c>
      <c r="E120" s="91" t="s">
        <v>300</v>
      </c>
      <c r="F120" s="84">
        <f>+'[6]PRG1'!F120+'[6]Auditoría'!F120</f>
        <v>2368000</v>
      </c>
      <c r="G120" s="84">
        <f>+'[6]PRG2'!F120</f>
        <v>8500000</v>
      </c>
      <c r="H120" s="84">
        <f>+'[6]PROG3'!F120</f>
        <v>16500000</v>
      </c>
      <c r="I120" s="79">
        <f t="shared" si="1"/>
        <v>27368000</v>
      </c>
      <c r="J120" s="275">
        <f>+I120+I121</f>
        <v>97192130.62</v>
      </c>
    </row>
    <row r="121" spans="1:9" ht="12.75">
      <c r="A121" s="70"/>
      <c r="B121" s="71"/>
      <c r="C121" s="71"/>
      <c r="D121" s="72">
        <v>2</v>
      </c>
      <c r="E121" s="91" t="s">
        <v>301</v>
      </c>
      <c r="F121" s="84">
        <f>+'[6]PRG1'!F121+'[6]Auditoría'!F121</f>
        <v>2500000</v>
      </c>
      <c r="G121" s="84">
        <f>+'[6]PRG2'!F121</f>
        <v>65115130.62</v>
      </c>
      <c r="H121" s="84">
        <f>+'[6]PROG3'!F121</f>
        <v>2209000</v>
      </c>
      <c r="I121" s="79">
        <f t="shared" si="1"/>
        <v>69824130.62</v>
      </c>
    </row>
    <row r="122" spans="1:9" s="83" customFormat="1" ht="12.75">
      <c r="A122" s="70"/>
      <c r="B122" s="71"/>
      <c r="C122" s="71">
        <v>99</v>
      </c>
      <c r="D122" s="71"/>
      <c r="E122" s="90" t="s">
        <v>302</v>
      </c>
      <c r="F122" s="81">
        <f>SUM(F123:F130)</f>
        <v>67658225.19</v>
      </c>
      <c r="G122" s="81">
        <f>SUM(G123:G130)</f>
        <v>81800770</v>
      </c>
      <c r="H122" s="81">
        <f>SUM(H123:H130)</f>
        <v>32958217.939999998</v>
      </c>
      <c r="I122" s="79">
        <f t="shared" si="1"/>
        <v>182417213.13</v>
      </c>
    </row>
    <row r="123" spans="1:9" ht="12.75">
      <c r="A123" s="70"/>
      <c r="B123" s="71"/>
      <c r="C123" s="71"/>
      <c r="D123" s="72">
        <v>1</v>
      </c>
      <c r="E123" s="91" t="s">
        <v>303</v>
      </c>
      <c r="F123" s="84">
        <f>+'[6]PRG1'!F123+'[6]Auditoría'!F123</f>
        <v>21774743.71</v>
      </c>
      <c r="G123" s="84">
        <f>+'[6]PRG2'!F123</f>
        <v>7027000</v>
      </c>
      <c r="H123" s="84">
        <f>+'[6]PROG3'!F123</f>
        <v>4705607.9399999995</v>
      </c>
      <c r="I123" s="79">
        <f t="shared" si="1"/>
        <v>33507351.65</v>
      </c>
    </row>
    <row r="124" spans="1:9" ht="25.5">
      <c r="A124" s="70"/>
      <c r="B124" s="71"/>
      <c r="C124" s="71"/>
      <c r="D124" s="72">
        <v>2</v>
      </c>
      <c r="E124" s="340" t="s">
        <v>567</v>
      </c>
      <c r="F124" s="84">
        <f>+'[6]PRG1'!F124+'[6]Auditoría'!F124</f>
        <v>1800000</v>
      </c>
      <c r="G124" s="84">
        <f>+'[6]PRG2'!F124</f>
        <v>1100000</v>
      </c>
      <c r="H124" s="84">
        <f>+'[6]PROG3'!F124</f>
        <v>0</v>
      </c>
      <c r="I124" s="79">
        <f t="shared" si="1"/>
        <v>2900000</v>
      </c>
    </row>
    <row r="125" spans="1:9" ht="12.75">
      <c r="A125" s="70"/>
      <c r="B125" s="71"/>
      <c r="C125" s="71"/>
      <c r="D125" s="72">
        <v>3</v>
      </c>
      <c r="E125" s="91" t="s">
        <v>304</v>
      </c>
      <c r="F125" s="84">
        <f>+'[6]PRG1'!F125+'[6]Auditoría'!F125</f>
        <v>14585594.339999998</v>
      </c>
      <c r="G125" s="84">
        <f>+'[6]PRG2'!F125</f>
        <v>14230000</v>
      </c>
      <c r="H125" s="84">
        <f>+'[6]PROG3'!F125</f>
        <v>4290610</v>
      </c>
      <c r="I125" s="79">
        <f t="shared" si="1"/>
        <v>33106204.339999996</v>
      </c>
    </row>
    <row r="126" spans="1:9" ht="12.75">
      <c r="A126" s="70"/>
      <c r="B126" s="71"/>
      <c r="C126" s="71"/>
      <c r="D126" s="72">
        <v>4</v>
      </c>
      <c r="E126" s="91" t="s">
        <v>305</v>
      </c>
      <c r="F126" s="84">
        <f>+'[6]PRG1'!F126+'[6]Auditoría'!F126</f>
        <v>5347100</v>
      </c>
      <c r="G126" s="84">
        <f>+'[6]PRG2'!F126</f>
        <v>36131770</v>
      </c>
      <c r="H126" s="84">
        <f>+'[6]PROG3'!F126</f>
        <v>8300000</v>
      </c>
      <c r="I126" s="79">
        <f t="shared" si="1"/>
        <v>49778870</v>
      </c>
    </row>
    <row r="127" spans="1:11" ht="12.75">
      <c r="A127" s="70"/>
      <c r="B127" s="71"/>
      <c r="C127" s="71"/>
      <c r="D127" s="72">
        <v>5</v>
      </c>
      <c r="E127" s="91" t="s">
        <v>306</v>
      </c>
      <c r="F127" s="84">
        <f>+'[6]PRG1'!F127+'[6]Auditoría'!F127</f>
        <v>18063787.14</v>
      </c>
      <c r="G127" s="84">
        <f>+'[6]PRG2'!F127</f>
        <v>6410000</v>
      </c>
      <c r="H127" s="84">
        <f>+'[6]PROG3'!F127</f>
        <v>8012000</v>
      </c>
      <c r="I127" s="79">
        <f t="shared" si="1"/>
        <v>32485787.14</v>
      </c>
      <c r="K127" s="275">
        <f>+I123+I126+I125+I127+I128+I129+I130</f>
        <v>179517213.13</v>
      </c>
    </row>
    <row r="128" spans="1:9" ht="12.75">
      <c r="A128" s="70"/>
      <c r="B128" s="71"/>
      <c r="C128" s="71"/>
      <c r="D128" s="72">
        <v>6</v>
      </c>
      <c r="E128" s="91" t="s">
        <v>307</v>
      </c>
      <c r="F128" s="84">
        <f>+'[6]PRG1'!F128+'[6]Auditoría'!F128</f>
        <v>3580000</v>
      </c>
      <c r="G128" s="84">
        <f>+'[6]PRG2'!F128</f>
        <v>15620000</v>
      </c>
      <c r="H128" s="84">
        <f>+'[6]PROG3'!F128</f>
        <v>7000000</v>
      </c>
      <c r="I128" s="79">
        <f t="shared" si="1"/>
        <v>26200000</v>
      </c>
    </row>
    <row r="129" spans="1:9" ht="12.75">
      <c r="A129" s="70"/>
      <c r="B129" s="71"/>
      <c r="C129" s="71"/>
      <c r="D129" s="72">
        <v>7</v>
      </c>
      <c r="E129" s="91" t="s">
        <v>308</v>
      </c>
      <c r="F129" s="84">
        <f>+'[6]PRG1'!F129+'[6]Auditoría'!F129</f>
        <v>1610000</v>
      </c>
      <c r="G129" s="84">
        <f>+'[6]PRG2'!F129</f>
        <v>772000</v>
      </c>
      <c r="H129" s="84">
        <f>+'[6]PROG3'!F129</f>
        <v>100000</v>
      </c>
      <c r="I129" s="79">
        <f t="shared" si="1"/>
        <v>2482000</v>
      </c>
    </row>
    <row r="130" spans="1:9" ht="12.75">
      <c r="A130" s="70"/>
      <c r="B130" s="71"/>
      <c r="C130" s="71"/>
      <c r="D130" s="72">
        <v>99</v>
      </c>
      <c r="E130" s="91" t="s">
        <v>309</v>
      </c>
      <c r="F130" s="84">
        <f>+'[6]PRG1'!F130+'[6]Auditoría'!F130</f>
        <v>897000</v>
      </c>
      <c r="G130" s="84">
        <f>+'[6]PRG2'!F130</f>
        <v>510000</v>
      </c>
      <c r="H130" s="84">
        <f>+'[6]PROG3'!F130</f>
        <v>550000</v>
      </c>
      <c r="I130" s="79">
        <f t="shared" si="1"/>
        <v>1957000</v>
      </c>
    </row>
    <row r="131" spans="1:9" ht="12.75">
      <c r="A131" s="70"/>
      <c r="B131" s="71"/>
      <c r="C131" s="71"/>
      <c r="D131" s="72"/>
      <c r="E131" s="91"/>
      <c r="F131" s="84"/>
      <c r="G131" s="84"/>
      <c r="H131" s="84"/>
      <c r="I131" s="79"/>
    </row>
    <row r="132" spans="1:9" ht="12.75">
      <c r="A132" s="70" t="s">
        <v>146</v>
      </c>
      <c r="B132" s="71">
        <v>3</v>
      </c>
      <c r="C132" s="71"/>
      <c r="D132" s="72"/>
      <c r="E132" s="90" t="s">
        <v>185</v>
      </c>
      <c r="F132" s="81">
        <f>+F133</f>
        <v>0</v>
      </c>
      <c r="G132" s="81">
        <f>+G133</f>
        <v>550500000</v>
      </c>
      <c r="H132" s="81">
        <f>+H133</f>
        <v>0</v>
      </c>
      <c r="I132" s="79">
        <f t="shared" si="1"/>
        <v>550500000</v>
      </c>
    </row>
    <row r="133" spans="1:9" s="83" customFormat="1" ht="12.75">
      <c r="A133" s="70"/>
      <c r="B133" s="71"/>
      <c r="C133" s="71">
        <v>2</v>
      </c>
      <c r="D133" s="71"/>
      <c r="E133" s="90" t="s">
        <v>310</v>
      </c>
      <c r="F133" s="81">
        <f>SUM(F134:F135)</f>
        <v>0</v>
      </c>
      <c r="G133" s="81">
        <f>SUM(G134:G135)</f>
        <v>550500000</v>
      </c>
      <c r="H133" s="81">
        <f>SUM(H134)</f>
        <v>0</v>
      </c>
      <c r="I133" s="79">
        <f t="shared" si="1"/>
        <v>550500000</v>
      </c>
    </row>
    <row r="134" spans="1:9" ht="25.5" hidden="1">
      <c r="A134" s="70"/>
      <c r="B134" s="71"/>
      <c r="C134" s="71"/>
      <c r="D134" s="72">
        <v>5</v>
      </c>
      <c r="E134" s="91" t="s">
        <v>311</v>
      </c>
      <c r="F134" s="84">
        <f>+'[6]PRG1'!F134+'[6]Auditoría'!F134</f>
        <v>0</v>
      </c>
      <c r="G134" s="84">
        <f>+'[6]PRG2'!F134</f>
        <v>0</v>
      </c>
      <c r="H134" s="84">
        <f>+'[6]PROG3'!F134</f>
        <v>0</v>
      </c>
      <c r="I134" s="79">
        <f t="shared" si="1"/>
        <v>0</v>
      </c>
    </row>
    <row r="135" spans="1:9" ht="25.5">
      <c r="A135" s="70"/>
      <c r="B135" s="71"/>
      <c r="C135" s="71"/>
      <c r="D135" s="72">
        <v>6</v>
      </c>
      <c r="E135" s="91" t="s">
        <v>505</v>
      </c>
      <c r="F135" s="84">
        <f>+'[6]PRG1'!F135+'[6]Auditoría'!F135</f>
        <v>0</v>
      </c>
      <c r="G135" s="84">
        <f>+'[6]PRG2'!F135</f>
        <v>550500000</v>
      </c>
      <c r="H135" s="84">
        <f>+'[6]PROG3'!F135</f>
        <v>0</v>
      </c>
      <c r="I135" s="79">
        <f t="shared" si="1"/>
        <v>550500000</v>
      </c>
    </row>
    <row r="136" spans="1:9" ht="12.75">
      <c r="A136" s="70"/>
      <c r="B136" s="71"/>
      <c r="C136" s="71"/>
      <c r="D136" s="72"/>
      <c r="E136" s="97" t="s">
        <v>146</v>
      </c>
      <c r="F136" s="84"/>
      <c r="G136" s="84"/>
      <c r="H136" s="84"/>
      <c r="I136" s="79"/>
    </row>
    <row r="137" spans="1:9" s="83" customFormat="1" ht="12.75">
      <c r="A137" s="70"/>
      <c r="B137" s="71">
        <v>5</v>
      </c>
      <c r="C137" s="71"/>
      <c r="D137" s="71"/>
      <c r="E137" s="98" t="s">
        <v>312</v>
      </c>
      <c r="F137" s="81">
        <f>+F138+F147+F153+F157</f>
        <v>147095264.273</v>
      </c>
      <c r="G137" s="81">
        <f>+G138+G147+G153+G157</f>
        <v>872302803.48</v>
      </c>
      <c r="H137" s="81">
        <f>+H138+H147+H153+H157</f>
        <v>3146739154.2500005</v>
      </c>
      <c r="I137" s="79">
        <f t="shared" si="1"/>
        <v>4166137222.0030003</v>
      </c>
    </row>
    <row r="138" spans="1:9" s="83" customFormat="1" ht="12.75">
      <c r="A138" s="70"/>
      <c r="B138" s="71"/>
      <c r="C138" s="71">
        <v>1</v>
      </c>
      <c r="D138" s="71"/>
      <c r="E138" s="98" t="s">
        <v>506</v>
      </c>
      <c r="F138" s="81">
        <f>SUM(F139:F146)</f>
        <v>122295264.273</v>
      </c>
      <c r="G138" s="81">
        <f>SUM(G139:G146)</f>
        <v>386402803.48</v>
      </c>
      <c r="H138" s="81">
        <f>SUM(H139:H146)</f>
        <v>208995030</v>
      </c>
      <c r="I138" s="79">
        <f t="shared" si="1"/>
        <v>717693097.753</v>
      </c>
    </row>
    <row r="139" spans="1:9" ht="12.75">
      <c r="A139" s="70"/>
      <c r="B139" s="71"/>
      <c r="C139" s="71"/>
      <c r="D139" s="72">
        <v>1</v>
      </c>
      <c r="E139" s="97" t="s">
        <v>313</v>
      </c>
      <c r="F139" s="84">
        <f>+'[6]PRG1'!F139+'[6]Auditoría'!F139</f>
        <v>528000</v>
      </c>
      <c r="G139" s="84">
        <f>+'[6]PRG2'!F139</f>
        <v>16727205.16</v>
      </c>
      <c r="H139" s="84">
        <f>+'[6]PROG3'!F139</f>
        <v>27508378</v>
      </c>
      <c r="I139" s="79">
        <f t="shared" si="1"/>
        <v>44763583.16</v>
      </c>
    </row>
    <row r="140" spans="1:11" ht="12.75">
      <c r="A140" s="70"/>
      <c r="B140" s="71"/>
      <c r="C140" s="71"/>
      <c r="D140" s="72">
        <v>2</v>
      </c>
      <c r="E140" s="97" t="s">
        <v>314</v>
      </c>
      <c r="F140" s="84">
        <f>+'[6]PRG1'!F140+'[6]Auditoría'!F140</f>
        <v>0</v>
      </c>
      <c r="G140" s="84">
        <f>+'[6]PRG2'!F140</f>
        <v>76610000</v>
      </c>
      <c r="H140" s="84">
        <f>+'[6]PROG3'!F140</f>
        <v>44050000</v>
      </c>
      <c r="I140" s="79">
        <f t="shared" si="1"/>
        <v>120660000</v>
      </c>
      <c r="K140" s="275">
        <f>+I139+I140+I141+I142+I143+I145+I146</f>
        <v>717693097.753</v>
      </c>
    </row>
    <row r="141" spans="1:9" ht="12.75">
      <c r="A141" s="70"/>
      <c r="B141" s="71"/>
      <c r="C141" s="71"/>
      <c r="D141" s="72">
        <v>3</v>
      </c>
      <c r="E141" s="97" t="s">
        <v>315</v>
      </c>
      <c r="F141" s="84">
        <f>+'[6]PRG1'!F141+'[6]Auditoría'!F141</f>
        <v>12980000</v>
      </c>
      <c r="G141" s="84">
        <f>+'[6]PRG2'!F141</f>
        <v>5710000</v>
      </c>
      <c r="H141" s="84">
        <f>+'[6]PROG3'!F141</f>
        <v>610000</v>
      </c>
      <c r="I141" s="79">
        <f t="shared" si="1"/>
        <v>19300000</v>
      </c>
    </row>
    <row r="142" spans="1:9" ht="12.75">
      <c r="A142" s="70"/>
      <c r="B142" s="71"/>
      <c r="C142" s="71"/>
      <c r="D142" s="72">
        <v>4</v>
      </c>
      <c r="E142" s="97" t="s">
        <v>507</v>
      </c>
      <c r="F142" s="84">
        <f>+'[6]PRG1'!F142+'[6]Auditoría'!F142</f>
        <v>26199280.963</v>
      </c>
      <c r="G142" s="84">
        <f>+'[6]PRG2'!F142</f>
        <v>8580000</v>
      </c>
      <c r="H142" s="84">
        <f>+'[6]PROG3'!F142</f>
        <v>9590000</v>
      </c>
      <c r="I142" s="79">
        <f t="shared" si="1"/>
        <v>44369280.963</v>
      </c>
    </row>
    <row r="143" spans="1:9" ht="12.75">
      <c r="A143" s="70"/>
      <c r="B143" s="71"/>
      <c r="C143" s="71"/>
      <c r="D143" s="72">
        <v>5</v>
      </c>
      <c r="E143" s="97" t="s">
        <v>316</v>
      </c>
      <c r="F143" s="84">
        <f>+'[6]PRG1'!F143+'[6]Auditoría'!F143</f>
        <v>76294683.31</v>
      </c>
      <c r="G143" s="84">
        <f>+'[6]PRG2'!F143</f>
        <v>16110000</v>
      </c>
      <c r="H143" s="84">
        <f>+'[6]PROG3'!F143</f>
        <v>112010000</v>
      </c>
      <c r="I143" s="79">
        <f t="shared" si="1"/>
        <v>204414683.31</v>
      </c>
    </row>
    <row r="144" spans="1:9" ht="25.5" hidden="1">
      <c r="A144" s="70"/>
      <c r="B144" s="71"/>
      <c r="C144" s="71"/>
      <c r="D144" s="72">
        <v>6</v>
      </c>
      <c r="E144" s="91" t="s">
        <v>631</v>
      </c>
      <c r="F144" s="84">
        <f>+'[6]PRG1'!F144+'[6]Auditoría'!F144</f>
        <v>0</v>
      </c>
      <c r="G144" s="84">
        <f>+'[6]PRG2'!F144</f>
        <v>0</v>
      </c>
      <c r="H144" s="84">
        <f>+'[6]PROG3'!F144</f>
        <v>0</v>
      </c>
      <c r="I144" s="79">
        <f t="shared" si="1"/>
        <v>0</v>
      </c>
    </row>
    <row r="145" spans="1:9" ht="25.5">
      <c r="A145" s="70"/>
      <c r="B145" s="71"/>
      <c r="C145" s="71"/>
      <c r="D145" s="72">
        <v>7</v>
      </c>
      <c r="E145" s="91" t="s">
        <v>508</v>
      </c>
      <c r="F145" s="84">
        <f>+'[6]PRG1'!F145+'[6]Auditoría'!F145</f>
        <v>0</v>
      </c>
      <c r="G145" s="84">
        <f>+'[6]PRG2'!F145</f>
        <v>11010000</v>
      </c>
      <c r="H145" s="84">
        <f>+'[6]PROG3'!F145</f>
        <v>10000</v>
      </c>
      <c r="I145" s="79">
        <f t="shared" si="1"/>
        <v>11020000</v>
      </c>
    </row>
    <row r="146" spans="1:9" ht="12.75">
      <c r="A146" s="70"/>
      <c r="B146" s="71"/>
      <c r="C146" s="71"/>
      <c r="D146" s="72">
        <v>99</v>
      </c>
      <c r="E146" s="97" t="s">
        <v>317</v>
      </c>
      <c r="F146" s="84">
        <f>+'[6]PRG1'!F146+'[6]Auditoría'!F146</f>
        <v>6293300</v>
      </c>
      <c r="G146" s="84">
        <f>+'[6]PRG2'!F146</f>
        <v>251655598.32</v>
      </c>
      <c r="H146" s="84">
        <f>+'[6]PROG3'!F146</f>
        <v>15216652</v>
      </c>
      <c r="I146" s="79">
        <f t="shared" si="1"/>
        <v>273165550.32</v>
      </c>
    </row>
    <row r="147" spans="1:9" s="83" customFormat="1" ht="12.75">
      <c r="A147" s="70"/>
      <c r="B147" s="71"/>
      <c r="C147" s="71">
        <v>2</v>
      </c>
      <c r="D147" s="71"/>
      <c r="E147" s="98" t="s">
        <v>318</v>
      </c>
      <c r="F147" s="81">
        <f>SUM(F148:F152)</f>
        <v>2800000</v>
      </c>
      <c r="G147" s="81">
        <f>SUM(G148:G152)</f>
        <v>480250000</v>
      </c>
      <c r="H147" s="81">
        <f>SUM(H148:H152)</f>
        <v>2787694124.2500005</v>
      </c>
      <c r="I147" s="79">
        <f t="shared" si="1"/>
        <v>3270744124.2500005</v>
      </c>
    </row>
    <row r="148" spans="1:9" ht="12.75">
      <c r="A148" s="70"/>
      <c r="B148" s="71"/>
      <c r="C148" s="71"/>
      <c r="D148" s="72">
        <v>1</v>
      </c>
      <c r="E148" s="97" t="s">
        <v>319</v>
      </c>
      <c r="F148" s="84">
        <f>+'[6]PRG1'!F148+'[6]Auditoría'!F148</f>
        <v>2800000</v>
      </c>
      <c r="G148" s="84">
        <f>+'[6]PRG2'!F148</f>
        <v>210000</v>
      </c>
      <c r="H148" s="84">
        <f>+'[6]PROG3'!F148</f>
        <v>220098354.53</v>
      </c>
      <c r="I148" s="79">
        <f t="shared" si="1"/>
        <v>223108354.53</v>
      </c>
    </row>
    <row r="149" spans="1:9" ht="12.75">
      <c r="A149" s="70"/>
      <c r="B149" s="71"/>
      <c r="C149" s="71"/>
      <c r="D149" s="72">
        <v>2</v>
      </c>
      <c r="E149" s="97" t="s">
        <v>320</v>
      </c>
      <c r="F149" s="84">
        <f>+'[6]PRG1'!F149+'[6]Auditoría'!F149</f>
        <v>0</v>
      </c>
      <c r="G149" s="84">
        <f>+'[6]PRG2'!F149</f>
        <v>10000</v>
      </c>
      <c r="H149" s="84">
        <f>+'[6]PROG3'!F149</f>
        <v>1726288331.1100001</v>
      </c>
      <c r="I149" s="79">
        <f t="shared" si="1"/>
        <v>1726298331.1100001</v>
      </c>
    </row>
    <row r="150" spans="1:9" ht="12.75">
      <c r="A150" s="70"/>
      <c r="B150" s="71"/>
      <c r="C150" s="71"/>
      <c r="D150" s="72">
        <v>6</v>
      </c>
      <c r="E150" s="97" t="s">
        <v>321</v>
      </c>
      <c r="F150" s="84">
        <f>+'[6]PRG1'!F150+'[6]Auditoría'!F150</f>
        <v>0</v>
      </c>
      <c r="G150" s="84">
        <f>+'[6]PRG2'!F150</f>
        <v>10000</v>
      </c>
      <c r="H150" s="84">
        <f>+'[6]PROG3'!F150</f>
        <v>10000</v>
      </c>
      <c r="I150" s="79">
        <f aca="true" t="shared" si="2" ref="I150:I216">SUM(F150:H150)</f>
        <v>20000</v>
      </c>
    </row>
    <row r="151" spans="1:9" ht="12.75">
      <c r="A151" s="70"/>
      <c r="B151" s="71"/>
      <c r="C151" s="71"/>
      <c r="D151" s="72">
        <v>7</v>
      </c>
      <c r="E151" s="97" t="s">
        <v>322</v>
      </c>
      <c r="F151" s="84">
        <f>+'[6]PRG1'!F151+'[6]Auditoría'!F151</f>
        <v>0</v>
      </c>
      <c r="G151" s="84">
        <f>+'[6]PRG2'!F151</f>
        <v>205010000</v>
      </c>
      <c r="H151" s="84">
        <f>+'[6]PROG3'!F151</f>
        <v>668550000</v>
      </c>
      <c r="I151" s="79">
        <f t="shared" si="2"/>
        <v>873560000</v>
      </c>
    </row>
    <row r="152" spans="1:9" ht="12.75">
      <c r="A152" s="70"/>
      <c r="B152" s="71"/>
      <c r="C152" s="71"/>
      <c r="D152" s="72">
        <v>99</v>
      </c>
      <c r="E152" s="97" t="s">
        <v>323</v>
      </c>
      <c r="F152" s="84">
        <f>+'[6]PRG1'!F152+'[6]Auditoría'!F152</f>
        <v>0</v>
      </c>
      <c r="G152" s="84">
        <f>+'[6]PRG2'!F152</f>
        <v>275010000</v>
      </c>
      <c r="H152" s="84">
        <f>+'[6]PROG3'!F152</f>
        <v>172747438.61</v>
      </c>
      <c r="I152" s="79">
        <f t="shared" si="2"/>
        <v>447757438.61</v>
      </c>
    </row>
    <row r="153" spans="1:9" s="83" customFormat="1" ht="12.75">
      <c r="A153" s="70"/>
      <c r="B153" s="71"/>
      <c r="C153" s="71">
        <v>3</v>
      </c>
      <c r="D153" s="71"/>
      <c r="E153" s="98" t="s">
        <v>324</v>
      </c>
      <c r="F153" s="81">
        <f>SUM(F154:F156)</f>
        <v>0</v>
      </c>
      <c r="G153" s="81">
        <f>SUM(G154:G156)</f>
        <v>30000</v>
      </c>
      <c r="H153" s="81">
        <f>SUM(H154:H156)</f>
        <v>150030000</v>
      </c>
      <c r="I153" s="79">
        <f t="shared" si="2"/>
        <v>150060000</v>
      </c>
    </row>
    <row r="154" spans="1:9" ht="12.75">
      <c r="A154" s="70"/>
      <c r="B154" s="71"/>
      <c r="C154" s="71"/>
      <c r="D154" s="72">
        <v>1</v>
      </c>
      <c r="E154" s="97" t="s">
        <v>325</v>
      </c>
      <c r="F154" s="84">
        <f>+'[6]PRG1'!F154+'[6]Auditoría'!F154</f>
        <v>0</v>
      </c>
      <c r="G154" s="84">
        <f>+'[6]PRG2'!F154</f>
        <v>10000</v>
      </c>
      <c r="H154" s="84">
        <f>+'[6]PROG3'!F154</f>
        <v>150010000</v>
      </c>
      <c r="I154" s="79">
        <f t="shared" si="2"/>
        <v>150020000</v>
      </c>
    </row>
    <row r="155" spans="1:9" ht="12.75">
      <c r="A155" s="70"/>
      <c r="B155" s="71"/>
      <c r="C155" s="71"/>
      <c r="D155" s="72">
        <v>2</v>
      </c>
      <c r="E155" s="97" t="s">
        <v>326</v>
      </c>
      <c r="F155" s="84">
        <f>+'[6]PRG1'!F155+'[6]Auditoría'!F155</f>
        <v>0</v>
      </c>
      <c r="G155" s="84">
        <f>+'[6]PRG2'!F155</f>
        <v>10000</v>
      </c>
      <c r="H155" s="84">
        <f>+'[6]PROG3'!F155</f>
        <v>10000</v>
      </c>
      <c r="I155" s="79">
        <f t="shared" si="2"/>
        <v>20000</v>
      </c>
    </row>
    <row r="156" spans="1:9" ht="12.75">
      <c r="A156" s="70"/>
      <c r="B156" s="71"/>
      <c r="C156" s="71"/>
      <c r="D156" s="72">
        <v>3</v>
      </c>
      <c r="E156" s="97" t="s">
        <v>327</v>
      </c>
      <c r="F156" s="84">
        <f>+'[6]PRG1'!F156+'[6]Auditoría'!F156</f>
        <v>0</v>
      </c>
      <c r="G156" s="84">
        <f>+'[6]PRG2'!F156</f>
        <v>10000</v>
      </c>
      <c r="H156" s="84">
        <f>+'[6]PROG3'!F156</f>
        <v>10000</v>
      </c>
      <c r="I156" s="79">
        <f t="shared" si="2"/>
        <v>20000</v>
      </c>
    </row>
    <row r="157" spans="1:9" s="83" customFormat="1" ht="12.75">
      <c r="A157" s="70"/>
      <c r="B157" s="71"/>
      <c r="C157" s="71">
        <v>99</v>
      </c>
      <c r="D157" s="71"/>
      <c r="E157" s="98" t="s">
        <v>328</v>
      </c>
      <c r="F157" s="81">
        <f>SUM(F158:F159)</f>
        <v>22000000</v>
      </c>
      <c r="G157" s="81">
        <f>SUM(G158:G159)</f>
        <v>5620000</v>
      </c>
      <c r="H157" s="81">
        <f>SUM(H158:H159)</f>
        <v>20000</v>
      </c>
      <c r="I157" s="79">
        <f t="shared" si="2"/>
        <v>27640000</v>
      </c>
    </row>
    <row r="158" spans="1:9" ht="12.75">
      <c r="A158" s="70"/>
      <c r="B158" s="71"/>
      <c r="C158" s="71"/>
      <c r="D158" s="72">
        <v>3</v>
      </c>
      <c r="E158" s="97" t="s">
        <v>329</v>
      </c>
      <c r="F158" s="84">
        <f>+'[6]PRG1'!F158+'[6]Auditoría'!F158</f>
        <v>22000000</v>
      </c>
      <c r="G158" s="84">
        <f>+'[6]PRG2'!F158</f>
        <v>5610000</v>
      </c>
      <c r="H158" s="84">
        <f>+'[6]PROG3'!F158</f>
        <v>10000</v>
      </c>
      <c r="I158" s="79">
        <f t="shared" si="2"/>
        <v>27620000</v>
      </c>
    </row>
    <row r="159" spans="1:9" ht="12.75">
      <c r="A159" s="70"/>
      <c r="B159" s="71"/>
      <c r="C159" s="71"/>
      <c r="D159" s="72">
        <v>99</v>
      </c>
      <c r="E159" s="97" t="s">
        <v>330</v>
      </c>
      <c r="F159" s="84">
        <f>+'[6]PRG1'!F159+'[6]Auditoría'!F159</f>
        <v>0</v>
      </c>
      <c r="G159" s="84">
        <f>+'[6]PRG2'!F159</f>
        <v>10000</v>
      </c>
      <c r="H159" s="84">
        <f>+'[6]PROG3'!F159</f>
        <v>10000</v>
      </c>
      <c r="I159" s="79">
        <f t="shared" si="2"/>
        <v>20000</v>
      </c>
    </row>
    <row r="160" spans="1:9" ht="12.75">
      <c r="A160" s="70"/>
      <c r="B160" s="71"/>
      <c r="C160" s="71"/>
      <c r="D160" s="72"/>
      <c r="E160" s="2"/>
      <c r="F160" s="84" t="s">
        <v>146</v>
      </c>
      <c r="G160" s="84"/>
      <c r="H160" s="84"/>
      <c r="I160" s="79"/>
    </row>
    <row r="161" spans="1:9" s="83" customFormat="1" ht="12.75">
      <c r="A161" s="70" t="s">
        <v>146</v>
      </c>
      <c r="B161" s="71">
        <v>6</v>
      </c>
      <c r="C161" s="71"/>
      <c r="D161" s="71"/>
      <c r="E161" s="13" t="s">
        <v>187</v>
      </c>
      <c r="F161" s="81">
        <f>+F162+F170+F175+F182+F187+F189</f>
        <v>2891894796.1188073</v>
      </c>
      <c r="G161" s="81">
        <f>+G162+G170+G175+G182+G187+G189</f>
        <v>184544050.27</v>
      </c>
      <c r="H161" s="81">
        <f>+H162+H170+H175+H182+H187+H189</f>
        <v>71095350.01</v>
      </c>
      <c r="I161" s="79">
        <f t="shared" si="2"/>
        <v>3147534196.3988075</v>
      </c>
    </row>
    <row r="162" spans="1:9" s="83" customFormat="1" ht="12.75">
      <c r="A162" s="70"/>
      <c r="B162" s="71"/>
      <c r="C162" s="71">
        <v>1</v>
      </c>
      <c r="D162" s="71"/>
      <c r="E162" s="98" t="s">
        <v>331</v>
      </c>
      <c r="F162" s="81">
        <f>SUM(F163:F169)</f>
        <v>2046387596.23676</v>
      </c>
      <c r="G162" s="81">
        <f>SUM(G163:G169)</f>
        <v>0</v>
      </c>
      <c r="H162" s="81">
        <f>SUM(H163:H169)</f>
        <v>0</v>
      </c>
      <c r="I162" s="79">
        <f t="shared" si="2"/>
        <v>2046387596.23676</v>
      </c>
    </row>
    <row r="163" spans="1:9" ht="12.75">
      <c r="A163" s="70"/>
      <c r="B163" s="71"/>
      <c r="C163" s="71"/>
      <c r="D163" s="72">
        <v>1</v>
      </c>
      <c r="E163" s="97" t="s">
        <v>332</v>
      </c>
      <c r="F163" s="84">
        <f>+'[6]PRG1'!F163+'[6]Auditoría'!F163</f>
        <v>63000000</v>
      </c>
      <c r="G163" s="84">
        <f>+'[6]PRG2'!F163</f>
        <v>0</v>
      </c>
      <c r="H163" s="84">
        <f>+'[6]PROG3'!F163</f>
        <v>0</v>
      </c>
      <c r="I163" s="79">
        <f t="shared" si="2"/>
        <v>63000000</v>
      </c>
    </row>
    <row r="164" spans="1:9" ht="25.5">
      <c r="A164" s="70"/>
      <c r="B164" s="71"/>
      <c r="C164" s="71"/>
      <c r="D164" s="72">
        <v>2</v>
      </c>
      <c r="E164" s="91" t="s">
        <v>333</v>
      </c>
      <c r="F164" s="84">
        <f>+'[6]PRG1'!F164+'[6]Auditoría'!F164</f>
        <v>255795000</v>
      </c>
      <c r="G164" s="84">
        <f>+'[6]PRG2'!F164</f>
        <v>0</v>
      </c>
      <c r="H164" s="84">
        <f>+'[6]PROG3'!F164</f>
        <v>0</v>
      </c>
      <c r="I164" s="79">
        <f t="shared" si="2"/>
        <v>255795000</v>
      </c>
    </row>
    <row r="165" spans="1:9" ht="25.5">
      <c r="A165" s="70"/>
      <c r="B165" s="71"/>
      <c r="C165" s="71"/>
      <c r="D165" s="72">
        <v>3</v>
      </c>
      <c r="E165" s="91" t="s">
        <v>334</v>
      </c>
      <c r="F165" s="84">
        <f>+'[6]PRG1'!F165+'[6]Auditoría'!F165</f>
        <v>763755530.8851</v>
      </c>
      <c r="G165" s="84">
        <f>+'[6]PRG2'!F165</f>
        <v>0</v>
      </c>
      <c r="H165" s="84">
        <f>+'[6]PROG3'!F165</f>
        <v>0</v>
      </c>
      <c r="I165" s="79">
        <f t="shared" si="2"/>
        <v>763755530.8851</v>
      </c>
    </row>
    <row r="166" spans="1:10" ht="12.75">
      <c r="A166" s="70"/>
      <c r="B166" s="71"/>
      <c r="C166" s="71"/>
      <c r="D166" s="72">
        <v>4</v>
      </c>
      <c r="E166" s="97" t="s">
        <v>335</v>
      </c>
      <c r="F166" s="84">
        <f>+'[6]PRG1'!F166+'[6]Auditoría'!F166</f>
        <v>963837065.35166</v>
      </c>
      <c r="G166" s="84">
        <f>+'[6]PRG2'!F166</f>
        <v>0</v>
      </c>
      <c r="H166" s="84">
        <f>+'[6]PROG3'!F166</f>
        <v>0</v>
      </c>
      <c r="I166" s="79">
        <f t="shared" si="2"/>
        <v>963837065.35166</v>
      </c>
      <c r="J166" s="275">
        <f>+I163+I164+I165+I166</f>
        <v>2046387596.23676</v>
      </c>
    </row>
    <row r="167" spans="1:9" ht="25.5" hidden="1">
      <c r="A167" s="70"/>
      <c r="B167" s="71"/>
      <c r="C167" s="71"/>
      <c r="D167" s="72">
        <v>5</v>
      </c>
      <c r="E167" s="91" t="s">
        <v>336</v>
      </c>
      <c r="F167" s="84">
        <f>+'[6]PRG1'!F167+'[6]Auditoría'!F167</f>
        <v>0</v>
      </c>
      <c r="G167" s="84">
        <f>+'[6]PRG2'!F167</f>
        <v>0</v>
      </c>
      <c r="H167" s="84">
        <f>+'[6]PROG3'!F167</f>
        <v>0</v>
      </c>
      <c r="I167" s="79">
        <f t="shared" si="2"/>
        <v>0</v>
      </c>
    </row>
    <row r="168" spans="1:9" ht="25.5" hidden="1">
      <c r="A168" s="70"/>
      <c r="B168" s="71"/>
      <c r="C168" s="71"/>
      <c r="D168" s="72">
        <v>6</v>
      </c>
      <c r="E168" s="91" t="s">
        <v>337</v>
      </c>
      <c r="F168" s="84">
        <f>+'[6]PRG1'!F168+'[6]Auditoría'!F168</f>
        <v>0</v>
      </c>
      <c r="G168" s="84">
        <f>+'[6]PRG2'!F168</f>
        <v>0</v>
      </c>
      <c r="H168" s="84">
        <f>+'[6]PROG3'!F168</f>
        <v>0</v>
      </c>
      <c r="I168" s="79">
        <f t="shared" si="2"/>
        <v>0</v>
      </c>
    </row>
    <row r="169" spans="1:9" ht="12.75" hidden="1">
      <c r="A169" s="70"/>
      <c r="B169" s="71"/>
      <c r="C169" s="71"/>
      <c r="D169" s="72">
        <v>9</v>
      </c>
      <c r="E169" s="91" t="s">
        <v>338</v>
      </c>
      <c r="F169" s="84">
        <f>+'[6]PRG1'!F169+'[6]Auditoría'!F169</f>
        <v>0</v>
      </c>
      <c r="G169" s="84">
        <f>+'[6]PRG2'!F169</f>
        <v>0</v>
      </c>
      <c r="H169" s="84">
        <f>+'[6]PROG3'!F169</f>
        <v>0</v>
      </c>
      <c r="I169" s="79">
        <f t="shared" si="2"/>
        <v>0</v>
      </c>
    </row>
    <row r="170" spans="1:9" s="83" customFormat="1" ht="12.75">
      <c r="A170" s="70"/>
      <c r="B170" s="71"/>
      <c r="C170" s="71">
        <v>2</v>
      </c>
      <c r="D170" s="71"/>
      <c r="E170" s="98" t="s">
        <v>339</v>
      </c>
      <c r="F170" s="81">
        <f>SUM(F171:F174)</f>
        <v>27926363.71</v>
      </c>
      <c r="G170" s="81">
        <f>SUM(G171:G174)</f>
        <v>0</v>
      </c>
      <c r="H170" s="81">
        <f>SUM(H171:H174)</f>
        <v>0</v>
      </c>
      <c r="I170" s="79">
        <f t="shared" si="2"/>
        <v>27926363.71</v>
      </c>
    </row>
    <row r="171" spans="1:9" ht="12.75" hidden="1">
      <c r="A171" s="70"/>
      <c r="B171" s="71"/>
      <c r="C171" s="71"/>
      <c r="D171" s="72">
        <v>1</v>
      </c>
      <c r="E171" s="97" t="s">
        <v>340</v>
      </c>
      <c r="F171" s="84">
        <f>+'[6]PRG1'!F171+'[6]Auditoría'!F171</f>
        <v>0</v>
      </c>
      <c r="G171" s="84">
        <f>+'[6]PRG2'!F171</f>
        <v>0</v>
      </c>
      <c r="H171" s="84">
        <f>+'[6]PROG3'!F171</f>
        <v>0</v>
      </c>
      <c r="I171" s="79">
        <f t="shared" si="2"/>
        <v>0</v>
      </c>
    </row>
    <row r="172" spans="1:9" ht="12.75" hidden="1">
      <c r="A172" s="70"/>
      <c r="B172" s="71"/>
      <c r="C172" s="71"/>
      <c r="D172" s="72">
        <v>2</v>
      </c>
      <c r="E172" s="97" t="s">
        <v>640</v>
      </c>
      <c r="F172" s="84">
        <f>+'[6]PRG1'!F172+'[6]Auditoría'!F172</f>
        <v>0</v>
      </c>
      <c r="G172" s="84">
        <f>+'[6]PRG2'!F172</f>
        <v>0</v>
      </c>
      <c r="H172" s="84">
        <f>+'[6]PROG3'!F172</f>
        <v>0</v>
      </c>
      <c r="I172" s="79">
        <f>SUM(F172:H172)</f>
        <v>0</v>
      </c>
    </row>
    <row r="173" spans="1:9" ht="12.75">
      <c r="A173" s="70"/>
      <c r="B173" s="71"/>
      <c r="C173" s="71"/>
      <c r="D173" s="72">
        <v>3</v>
      </c>
      <c r="E173" s="97" t="s">
        <v>465</v>
      </c>
      <c r="F173" s="84">
        <f>+'[6]PRG1'!F173+'[6]Auditoría'!F173</f>
        <v>27926363.71</v>
      </c>
      <c r="G173" s="84">
        <f>+'[6]PRG2'!F173</f>
        <v>0</v>
      </c>
      <c r="H173" s="84">
        <f>+'[6]PROG3'!F173</f>
        <v>0</v>
      </c>
      <c r="I173" s="79">
        <f t="shared" si="2"/>
        <v>27926363.71</v>
      </c>
    </row>
    <row r="174" spans="1:9" ht="12.75" hidden="1">
      <c r="A174" s="70"/>
      <c r="B174" s="71"/>
      <c r="C174" s="71"/>
      <c r="D174" s="72">
        <v>99</v>
      </c>
      <c r="E174" s="97" t="s">
        <v>341</v>
      </c>
      <c r="F174" s="84">
        <f>+'[6]PRG1'!F174+'[6]Auditoría'!F174</f>
        <v>0</v>
      </c>
      <c r="G174" s="84">
        <f>+'[6]PRG2'!F174</f>
        <v>0</v>
      </c>
      <c r="H174" s="84">
        <f>+'[6]PROG3'!F174</f>
        <v>0</v>
      </c>
      <c r="I174" s="79">
        <f t="shared" si="2"/>
        <v>0</v>
      </c>
    </row>
    <row r="175" spans="1:9" s="83" customFormat="1" ht="12.75">
      <c r="A175" s="70"/>
      <c r="B175" s="71"/>
      <c r="C175" s="71">
        <v>3</v>
      </c>
      <c r="D175" s="71"/>
      <c r="E175" s="98" t="s">
        <v>342</v>
      </c>
      <c r="F175" s="81">
        <f>SUM(F176:F181)</f>
        <v>212580836.1720473</v>
      </c>
      <c r="G175" s="81">
        <f>SUM(G176:G181)</f>
        <v>175544050.27</v>
      </c>
      <c r="H175" s="81">
        <f>SUM(H176:H181)</f>
        <v>69095350.01</v>
      </c>
      <c r="I175" s="79">
        <f t="shared" si="2"/>
        <v>457220236.4520473</v>
      </c>
    </row>
    <row r="176" spans="1:9" ht="12.75">
      <c r="A176" s="70"/>
      <c r="B176" s="71"/>
      <c r="C176" s="71"/>
      <c r="D176" s="72">
        <v>1</v>
      </c>
      <c r="E176" s="97" t="s">
        <v>343</v>
      </c>
      <c r="F176" s="84">
        <f>+'[6]PRG1'!F176+'[6]Auditoría'!F176</f>
        <v>139280615.88</v>
      </c>
      <c r="G176" s="84">
        <f>+'[6]PRG2'!F176</f>
        <v>91253050.27000001</v>
      </c>
      <c r="H176" s="84">
        <f>+'[6]PROG3'!F176</f>
        <v>49245350.010000005</v>
      </c>
      <c r="I176" s="79">
        <f t="shared" si="2"/>
        <v>279779016.16</v>
      </c>
    </row>
    <row r="177" spans="1:9" ht="12.75" hidden="1">
      <c r="A177" s="70"/>
      <c r="B177" s="71"/>
      <c r="C177" s="71"/>
      <c r="D177" s="72">
        <v>2</v>
      </c>
      <c r="E177" s="97" t="s">
        <v>344</v>
      </c>
      <c r="F177" s="84">
        <f>+'[6]PRG1'!F177+'[6]Auditoría'!F177</f>
        <v>0</v>
      </c>
      <c r="G177" s="84">
        <f>+'[6]PRG2'!F177</f>
        <v>0</v>
      </c>
      <c r="H177" s="84">
        <f>+'[6]PROG3'!F177</f>
        <v>0</v>
      </c>
      <c r="I177" s="79">
        <f t="shared" si="2"/>
        <v>0</v>
      </c>
    </row>
    <row r="178" spans="1:9" ht="12.75">
      <c r="A178" s="70"/>
      <c r="B178" s="71"/>
      <c r="C178" s="71"/>
      <c r="D178" s="72">
        <v>3</v>
      </c>
      <c r="E178" s="97" t="s">
        <v>345</v>
      </c>
      <c r="F178" s="84">
        <f>+'[6]PRG1'!F178+'[6]Auditoría'!F178</f>
        <v>3046358.13</v>
      </c>
      <c r="G178" s="84">
        <f>+'[6]PRG2'!F178</f>
        <v>0</v>
      </c>
      <c r="H178" s="84">
        <f>+'[6]PROG3'!F178</f>
        <v>0</v>
      </c>
      <c r="I178" s="79">
        <f t="shared" si="2"/>
        <v>3046358.13</v>
      </c>
    </row>
    <row r="179" spans="1:9" ht="12.75">
      <c r="A179" s="70"/>
      <c r="B179" s="71"/>
      <c r="C179" s="71"/>
      <c r="D179" s="72">
        <v>4</v>
      </c>
      <c r="E179" s="97" t="s">
        <v>346</v>
      </c>
      <c r="F179" s="84">
        <f>+'[6]PRG1'!F179+'[6]Auditoría'!F179</f>
        <v>253862.16204728995</v>
      </c>
      <c r="G179" s="84">
        <f>+'[6]PRG2'!F179</f>
        <v>0</v>
      </c>
      <c r="H179" s="84">
        <f>+'[6]PROG3'!F179</f>
        <v>0</v>
      </c>
      <c r="I179" s="79">
        <f t="shared" si="2"/>
        <v>253862.16204728995</v>
      </c>
    </row>
    <row r="180" spans="1:10" ht="25.5" hidden="1">
      <c r="A180" s="70"/>
      <c r="B180" s="71"/>
      <c r="C180" s="71"/>
      <c r="D180" s="72">
        <v>5</v>
      </c>
      <c r="E180" s="91" t="s">
        <v>347</v>
      </c>
      <c r="F180" s="84">
        <f>+'[6]PRG1'!F180+'[6]Auditoría'!F180</f>
        <v>0</v>
      </c>
      <c r="G180" s="84">
        <f>+'[6]PRG2'!F180</f>
        <v>0</v>
      </c>
      <c r="H180" s="84">
        <f>+'[6]PROG3'!F180</f>
        <v>0</v>
      </c>
      <c r="I180" s="79">
        <f t="shared" si="2"/>
        <v>0</v>
      </c>
      <c r="J180" s="67">
        <f>1506735.62+7116350.9</f>
        <v>8623086.52</v>
      </c>
    </row>
    <row r="181" spans="1:9" ht="12.75">
      <c r="A181" s="70"/>
      <c r="B181" s="71"/>
      <c r="C181" s="71"/>
      <c r="D181" s="72">
        <v>99</v>
      </c>
      <c r="E181" s="97" t="s">
        <v>348</v>
      </c>
      <c r="F181" s="84">
        <f>+'[6]PRG1'!F181+'[6]Auditoría'!F181</f>
        <v>70000000</v>
      </c>
      <c r="G181" s="84">
        <f>+'[6]PRG2'!F181</f>
        <v>84291000</v>
      </c>
      <c r="H181" s="84">
        <f>+'[6]PROG3'!F181</f>
        <v>19850000</v>
      </c>
      <c r="I181" s="79">
        <f t="shared" si="2"/>
        <v>174141000</v>
      </c>
    </row>
    <row r="182" spans="1:9" s="83" customFormat="1" ht="25.5" hidden="1">
      <c r="A182" s="70"/>
      <c r="B182" s="71"/>
      <c r="C182" s="71">
        <v>4</v>
      </c>
      <c r="D182" s="71"/>
      <c r="E182" s="99" t="s">
        <v>349</v>
      </c>
      <c r="F182" s="81">
        <f>SUM(F183:F186)</f>
        <v>0</v>
      </c>
      <c r="G182" s="81">
        <f>SUM(G183:G186)</f>
        <v>0</v>
      </c>
      <c r="H182" s="81">
        <f>SUM(H183:H186)</f>
        <v>0</v>
      </c>
      <c r="I182" s="79">
        <f t="shared" si="2"/>
        <v>0</v>
      </c>
    </row>
    <row r="183" spans="1:9" ht="12.75" hidden="1">
      <c r="A183" s="70"/>
      <c r="B183" s="71"/>
      <c r="C183" s="71"/>
      <c r="D183" s="72">
        <v>1</v>
      </c>
      <c r="E183" s="100" t="s">
        <v>350</v>
      </c>
      <c r="F183" s="84">
        <f>+'[6]PRG1'!F183+'[6]Auditoría'!F183</f>
        <v>0</v>
      </c>
      <c r="G183" s="84">
        <f>+'[6]PRG2'!F183</f>
        <v>0</v>
      </c>
      <c r="H183" s="84">
        <f>+'[6]PROG3'!F183</f>
        <v>0</v>
      </c>
      <c r="I183" s="79">
        <f t="shared" si="2"/>
        <v>0</v>
      </c>
    </row>
    <row r="184" spans="1:9" ht="12.75" hidden="1">
      <c r="A184" s="70"/>
      <c r="B184" s="71"/>
      <c r="C184" s="71"/>
      <c r="D184" s="72">
        <v>2</v>
      </c>
      <c r="E184" s="100" t="s">
        <v>351</v>
      </c>
      <c r="F184" s="84">
        <f>+'[6]PRG1'!F184+'[6]Auditoría'!F184</f>
        <v>0</v>
      </c>
      <c r="G184" s="84">
        <f>+'[6]PRG2'!F184</f>
        <v>0</v>
      </c>
      <c r="H184" s="84">
        <f>+'[6]PROG3'!F184</f>
        <v>0</v>
      </c>
      <c r="I184" s="79">
        <f t="shared" si="2"/>
        <v>0</v>
      </c>
    </row>
    <row r="185" spans="1:9" ht="12.75" hidden="1">
      <c r="A185" s="70"/>
      <c r="B185" s="71"/>
      <c r="C185" s="71"/>
      <c r="D185" s="72">
        <v>3</v>
      </c>
      <c r="E185" s="100" t="s">
        <v>352</v>
      </c>
      <c r="F185" s="84">
        <f>+'[6]PRG1'!F185+'[6]Auditoría'!F185</f>
        <v>0</v>
      </c>
      <c r="G185" s="84">
        <f>+'[6]PRG2'!F185</f>
        <v>0</v>
      </c>
      <c r="H185" s="84">
        <f>+'[6]PROG3'!F185</f>
        <v>0</v>
      </c>
      <c r="I185" s="79">
        <f t="shared" si="2"/>
        <v>0</v>
      </c>
    </row>
    <row r="186" spans="1:9" ht="25.5" hidden="1">
      <c r="A186" s="70"/>
      <c r="B186" s="71"/>
      <c r="C186" s="71"/>
      <c r="D186" s="72">
        <v>4</v>
      </c>
      <c r="E186" s="100" t="s">
        <v>353</v>
      </c>
      <c r="F186" s="84">
        <f>+'[6]PRG1'!F186+'[6]Auditoría'!F186</f>
        <v>0</v>
      </c>
      <c r="G186" s="84">
        <f>+'[6]PRG2'!F186</f>
        <v>0</v>
      </c>
      <c r="H186" s="84">
        <f>+'[6]PROG3'!F186</f>
        <v>0</v>
      </c>
      <c r="I186" s="79">
        <f t="shared" si="2"/>
        <v>0</v>
      </c>
    </row>
    <row r="187" spans="1:9" s="83" customFormat="1" ht="12.75" hidden="1">
      <c r="A187" s="70"/>
      <c r="B187" s="71"/>
      <c r="C187" s="71">
        <v>5</v>
      </c>
      <c r="D187" s="71"/>
      <c r="E187" s="98" t="s">
        <v>354</v>
      </c>
      <c r="F187" s="81">
        <f>SUM(F188)</f>
        <v>0</v>
      </c>
      <c r="G187" s="81">
        <f>SUM(G188)</f>
        <v>0</v>
      </c>
      <c r="H187" s="81">
        <f>SUM(H188)</f>
        <v>0</v>
      </c>
      <c r="I187" s="79">
        <f t="shared" si="2"/>
        <v>0</v>
      </c>
    </row>
    <row r="188" spans="1:9" ht="12.75" hidden="1">
      <c r="A188" s="70"/>
      <c r="B188" s="71"/>
      <c r="C188" s="71"/>
      <c r="D188" s="72">
        <v>1</v>
      </c>
      <c r="E188" s="97" t="s">
        <v>354</v>
      </c>
      <c r="F188" s="84">
        <f>+'[6]PRG1'!F188+'[6]Auditoría'!F188</f>
        <v>0</v>
      </c>
      <c r="G188" s="84">
        <f>+'[6]PRG2'!F188</f>
        <v>0</v>
      </c>
      <c r="H188" s="84">
        <f>+'[6]PROG3'!F188</f>
        <v>0</v>
      </c>
      <c r="I188" s="79">
        <f t="shared" si="2"/>
        <v>0</v>
      </c>
    </row>
    <row r="189" spans="1:9" s="83" customFormat="1" ht="12.75">
      <c r="A189" s="70"/>
      <c r="B189" s="71"/>
      <c r="C189" s="71">
        <v>6</v>
      </c>
      <c r="D189" s="71"/>
      <c r="E189" s="98" t="s">
        <v>355</v>
      </c>
      <c r="F189" s="81">
        <f>SUM(F190:F191)</f>
        <v>605000000</v>
      </c>
      <c r="G189" s="81">
        <f>SUM(G190:G191)</f>
        <v>9000000</v>
      </c>
      <c r="H189" s="81">
        <f>SUM(H190:H191)</f>
        <v>2000000</v>
      </c>
      <c r="I189" s="79">
        <f t="shared" si="2"/>
        <v>616000000</v>
      </c>
    </row>
    <row r="190" spans="1:9" ht="12.75">
      <c r="A190" s="70"/>
      <c r="B190" s="71"/>
      <c r="C190" s="71"/>
      <c r="D190" s="72">
        <v>1</v>
      </c>
      <c r="E190" s="97" t="s">
        <v>356</v>
      </c>
      <c r="F190" s="84">
        <f>+'[6]PRG1'!F190+'[6]Auditoría'!F190</f>
        <v>105000000</v>
      </c>
      <c r="G190" s="84">
        <f>+'[6]PRG2'!F190</f>
        <v>9000000</v>
      </c>
      <c r="H190" s="84">
        <f>+'[6]PROG3'!F190</f>
        <v>2000000</v>
      </c>
      <c r="I190" s="79">
        <f t="shared" si="2"/>
        <v>116000000</v>
      </c>
    </row>
    <row r="191" spans="1:9" ht="12.75">
      <c r="A191" s="70"/>
      <c r="B191" s="71"/>
      <c r="C191" s="71"/>
      <c r="D191" s="72">
        <v>2</v>
      </c>
      <c r="E191" s="97" t="s">
        <v>357</v>
      </c>
      <c r="F191" s="84">
        <f>+'[6]PRG1'!F191+'[6]Auditoría'!F191</f>
        <v>500000000</v>
      </c>
      <c r="G191" s="84">
        <f>+'[6]PRG2'!F191</f>
        <v>0</v>
      </c>
      <c r="H191" s="84">
        <f>+'[6]PROG3'!F191</f>
        <v>0</v>
      </c>
      <c r="I191" s="79">
        <f t="shared" si="2"/>
        <v>500000000</v>
      </c>
    </row>
    <row r="192" spans="1:9" ht="12.75">
      <c r="A192" s="70"/>
      <c r="B192" s="71"/>
      <c r="C192" s="71"/>
      <c r="D192" s="72"/>
      <c r="E192" s="24"/>
      <c r="F192" s="84"/>
      <c r="G192" s="84">
        <f>+'[6]PRG2'!F203</f>
        <v>0</v>
      </c>
      <c r="H192" s="84">
        <f>+'[6]PROG3'!F202</f>
        <v>0</v>
      </c>
      <c r="I192" s="79"/>
    </row>
    <row r="193" spans="1:9" s="83" customFormat="1" ht="12.75">
      <c r="A193" s="70" t="s">
        <v>146</v>
      </c>
      <c r="B193" s="71">
        <v>7</v>
      </c>
      <c r="C193" s="71"/>
      <c r="D193" s="71"/>
      <c r="E193" s="13" t="s">
        <v>358</v>
      </c>
      <c r="F193" s="81">
        <f>+F194+F201+F203</f>
        <v>0</v>
      </c>
      <c r="G193" s="81">
        <f>+G194+G201+G203</f>
        <v>0</v>
      </c>
      <c r="H193" s="81">
        <f>+H194+H201+H203</f>
        <v>1867850760.6299999</v>
      </c>
      <c r="I193" s="79">
        <f t="shared" si="2"/>
        <v>1867850760.6299999</v>
      </c>
    </row>
    <row r="194" spans="1:9" s="83" customFormat="1" ht="12.75">
      <c r="A194" s="70"/>
      <c r="B194" s="71"/>
      <c r="C194" s="71">
        <v>1</v>
      </c>
      <c r="D194" s="71"/>
      <c r="E194" s="98" t="s">
        <v>359</v>
      </c>
      <c r="F194" s="81">
        <f>SUM(F195:F200)</f>
        <v>0</v>
      </c>
      <c r="G194" s="81">
        <f>SUM(G195:G200)</f>
        <v>0</v>
      </c>
      <c r="H194" s="81">
        <f>SUM(H195:H200)</f>
        <v>383890710.26</v>
      </c>
      <c r="I194" s="79">
        <f t="shared" si="2"/>
        <v>383890710.26</v>
      </c>
    </row>
    <row r="195" spans="1:9" ht="12.75" hidden="1">
      <c r="A195" s="70"/>
      <c r="B195" s="71"/>
      <c r="C195" s="71"/>
      <c r="D195" s="72">
        <v>1</v>
      </c>
      <c r="E195" s="97" t="s">
        <v>360</v>
      </c>
      <c r="F195" s="84">
        <f>+'[6]PRG1'!F195+'[6]Auditoría'!F195</f>
        <v>0</v>
      </c>
      <c r="G195" s="84">
        <f>+'[6]PRG2'!F195</f>
        <v>0</v>
      </c>
      <c r="H195" s="84">
        <f>+'[6]PROG3'!F195</f>
        <v>0</v>
      </c>
      <c r="I195" s="79">
        <f t="shared" si="2"/>
        <v>0</v>
      </c>
    </row>
    <row r="196" spans="1:9" ht="25.5" hidden="1">
      <c r="A196" s="70"/>
      <c r="B196" s="71"/>
      <c r="C196" s="71"/>
      <c r="D196" s="72">
        <v>2</v>
      </c>
      <c r="E196" s="91" t="s">
        <v>361</v>
      </c>
      <c r="F196" s="84">
        <f>+'[6]PRG1'!F196+'[6]Auditoría'!F196</f>
        <v>0</v>
      </c>
      <c r="G196" s="84">
        <f>+'[6]PRG2'!F196</f>
        <v>0</v>
      </c>
      <c r="H196" s="84">
        <f>+'[6]PROG3'!F196</f>
        <v>0</v>
      </c>
      <c r="I196" s="79">
        <f t="shared" si="2"/>
        <v>0</v>
      </c>
    </row>
    <row r="197" spans="1:9" ht="25.5">
      <c r="A197" s="70"/>
      <c r="B197" s="71"/>
      <c r="C197" s="71"/>
      <c r="D197" s="72">
        <v>3</v>
      </c>
      <c r="E197" s="91" t="s">
        <v>362</v>
      </c>
      <c r="F197" s="84">
        <f>+'[6]PRG1'!F197+'[6]Auditoría'!F197</f>
        <v>0</v>
      </c>
      <c r="G197" s="84">
        <f>+'[6]PRG2'!F197</f>
        <v>0</v>
      </c>
      <c r="H197" s="84">
        <f>+'[6]PROG3'!F197</f>
        <v>383890710.26</v>
      </c>
      <c r="I197" s="79">
        <f t="shared" si="2"/>
        <v>383890710.26</v>
      </c>
    </row>
    <row r="198" spans="1:9" ht="12.75" hidden="1">
      <c r="A198" s="70"/>
      <c r="B198" s="71"/>
      <c r="C198" s="71"/>
      <c r="D198" s="72">
        <v>4</v>
      </c>
      <c r="E198" s="97" t="s">
        <v>363</v>
      </c>
      <c r="F198" s="84">
        <f>+'[6]PRG1'!F198+'[6]Auditoría'!F198</f>
        <v>0</v>
      </c>
      <c r="G198" s="84">
        <f>+'[6]PRG2'!F198</f>
        <v>0</v>
      </c>
      <c r="H198" s="84">
        <f>+'[6]PROG3'!F198</f>
        <v>0</v>
      </c>
      <c r="I198" s="79">
        <f t="shared" si="2"/>
        <v>0</v>
      </c>
    </row>
    <row r="199" spans="1:9" ht="25.5" hidden="1">
      <c r="A199" s="70"/>
      <c r="B199" s="71"/>
      <c r="C199" s="71"/>
      <c r="D199" s="72">
        <v>5</v>
      </c>
      <c r="E199" s="91" t="s">
        <v>364</v>
      </c>
      <c r="F199" s="84">
        <f>+'[6]PRG1'!F199+'[6]Auditoría'!F199</f>
        <v>0</v>
      </c>
      <c r="G199" s="84">
        <f>+'[6]PRG2'!F199</f>
        <v>0</v>
      </c>
      <c r="H199" s="84">
        <f>+'[6]PROG3'!F199</f>
        <v>0</v>
      </c>
      <c r="I199" s="79">
        <f t="shared" si="2"/>
        <v>0</v>
      </c>
    </row>
    <row r="200" spans="1:9" ht="12.75" hidden="1">
      <c r="A200" s="70"/>
      <c r="B200" s="71"/>
      <c r="C200" s="71"/>
      <c r="D200" s="72">
        <v>7</v>
      </c>
      <c r="E200" s="91" t="s">
        <v>365</v>
      </c>
      <c r="F200" s="84">
        <f>+'[6]PRG1'!F200+'[6]Auditoría'!F200</f>
        <v>0</v>
      </c>
      <c r="G200" s="84">
        <f>+'[6]PRG2'!F200</f>
        <v>0</v>
      </c>
      <c r="H200" s="84">
        <f>+'[6]PROG3'!F200</f>
        <v>0</v>
      </c>
      <c r="I200" s="79">
        <f t="shared" si="2"/>
        <v>0</v>
      </c>
    </row>
    <row r="201" spans="1:9" s="83" customFormat="1" ht="12.75" hidden="1">
      <c r="A201" s="70"/>
      <c r="B201" s="71"/>
      <c r="C201" s="71">
        <v>2</v>
      </c>
      <c r="D201" s="71"/>
      <c r="E201" s="98" t="s">
        <v>366</v>
      </c>
      <c r="F201" s="81">
        <f>SUM(F202)</f>
        <v>0</v>
      </c>
      <c r="G201" s="81">
        <f>SUM(G202)</f>
        <v>0</v>
      </c>
      <c r="H201" s="81">
        <f>SUM(H202)</f>
        <v>0</v>
      </c>
      <c r="I201" s="79">
        <f t="shared" si="2"/>
        <v>0</v>
      </c>
    </row>
    <row r="202" spans="1:9" ht="12.75" hidden="1">
      <c r="A202" s="70"/>
      <c r="B202" s="71"/>
      <c r="C202" s="71"/>
      <c r="D202" s="72">
        <v>1</v>
      </c>
      <c r="E202" s="97" t="s">
        <v>366</v>
      </c>
      <c r="F202" s="84">
        <f>+'[6]PRG1'!F202+'[6]Auditoría'!F202</f>
        <v>0</v>
      </c>
      <c r="G202" s="84">
        <f>+'[6]PRG2'!F202</f>
        <v>0</v>
      </c>
      <c r="H202" s="84">
        <f>+'[6]PROG3'!F202</f>
        <v>0</v>
      </c>
      <c r="I202" s="79">
        <f t="shared" si="2"/>
        <v>0</v>
      </c>
    </row>
    <row r="203" spans="1:9" s="83" customFormat="1" ht="25.5">
      <c r="A203" s="70"/>
      <c r="B203" s="71"/>
      <c r="C203" s="71">
        <v>3</v>
      </c>
      <c r="D203" s="71"/>
      <c r="E203" s="99" t="s">
        <v>367</v>
      </c>
      <c r="F203" s="81">
        <f>SUM(F204:F207)</f>
        <v>0</v>
      </c>
      <c r="G203" s="81">
        <f>SUM(G204:G207)</f>
        <v>0</v>
      </c>
      <c r="H203" s="81">
        <f>SUM(H204:H207)</f>
        <v>1483960050.37</v>
      </c>
      <c r="I203" s="79">
        <f t="shared" si="2"/>
        <v>1483960050.37</v>
      </c>
    </row>
    <row r="204" spans="1:9" ht="12.75">
      <c r="A204" s="70"/>
      <c r="B204" s="71"/>
      <c r="C204" s="71"/>
      <c r="D204" s="72">
        <v>1</v>
      </c>
      <c r="E204" s="100" t="s">
        <v>368</v>
      </c>
      <c r="F204" s="84">
        <f>+'[6]PRG1'!F204+'[6]Auditoría'!F204</f>
        <v>0</v>
      </c>
      <c r="G204" s="84">
        <f>+'[6]PRG2'!F204</f>
        <v>0</v>
      </c>
      <c r="H204" s="84">
        <f>+'[6]PROG3'!F204</f>
        <v>1483960050.37</v>
      </c>
      <c r="I204" s="79">
        <f t="shared" si="2"/>
        <v>1483960050.37</v>
      </c>
    </row>
    <row r="205" spans="1:9" ht="12.75" hidden="1">
      <c r="A205" s="70"/>
      <c r="B205" s="71"/>
      <c r="C205" s="71"/>
      <c r="D205" s="72">
        <v>2</v>
      </c>
      <c r="E205" s="100" t="s">
        <v>369</v>
      </c>
      <c r="F205" s="84">
        <f>+'[6]PRG1'!F205+'[6]Auditoría'!F205</f>
        <v>0</v>
      </c>
      <c r="G205" s="84">
        <f>+'[6]PRG2'!F205</f>
        <v>0</v>
      </c>
      <c r="H205" s="84">
        <f>+'[6]PROG3'!F205</f>
        <v>0</v>
      </c>
      <c r="I205" s="79">
        <f t="shared" si="2"/>
        <v>0</v>
      </c>
    </row>
    <row r="206" spans="1:9" ht="12.75" hidden="1">
      <c r="A206" s="70"/>
      <c r="B206" s="71"/>
      <c r="C206" s="71"/>
      <c r="D206" s="72">
        <v>3</v>
      </c>
      <c r="E206" s="100" t="s">
        <v>370</v>
      </c>
      <c r="F206" s="84">
        <f>+'[6]PRG1'!F206+'[6]Auditoría'!F206</f>
        <v>0</v>
      </c>
      <c r="G206" s="84">
        <f>+'[6]PRG2'!F206</f>
        <v>0</v>
      </c>
      <c r="H206" s="84">
        <f>+'[6]PROG3'!F206</f>
        <v>0</v>
      </c>
      <c r="I206" s="79">
        <f t="shared" si="2"/>
        <v>0</v>
      </c>
    </row>
    <row r="207" spans="1:9" ht="25.5" hidden="1">
      <c r="A207" s="70"/>
      <c r="B207" s="71"/>
      <c r="C207" s="71"/>
      <c r="D207" s="72">
        <v>99</v>
      </c>
      <c r="E207" s="100" t="s">
        <v>371</v>
      </c>
      <c r="F207" s="84">
        <f>+'[6]PRG1'!F207+'[6]Auditoría'!F207</f>
        <v>0</v>
      </c>
      <c r="G207" s="84">
        <f>+'[6]PRG2'!F207</f>
        <v>0</v>
      </c>
      <c r="H207" s="84">
        <f>+'[6]PROG3'!F207</f>
        <v>0</v>
      </c>
      <c r="I207" s="79">
        <f t="shared" si="2"/>
        <v>0</v>
      </c>
    </row>
    <row r="208" spans="1:9" ht="12.75" hidden="1">
      <c r="A208" s="70"/>
      <c r="B208" s="71"/>
      <c r="C208" s="71"/>
      <c r="D208" s="72"/>
      <c r="E208" s="100"/>
      <c r="F208" s="84"/>
      <c r="G208" s="84">
        <f>+'[6]PRG2'!F220</f>
        <v>0</v>
      </c>
      <c r="H208" s="84">
        <f>+'[6]PROG3'!F219</f>
        <v>0</v>
      </c>
      <c r="I208" s="79">
        <f t="shared" si="2"/>
        <v>0</v>
      </c>
    </row>
    <row r="209" spans="1:9" ht="12.75">
      <c r="A209" s="70" t="s">
        <v>146</v>
      </c>
      <c r="B209" s="71">
        <v>8</v>
      </c>
      <c r="C209" s="71"/>
      <c r="D209" s="72"/>
      <c r="E209" s="98" t="s">
        <v>189</v>
      </c>
      <c r="F209" s="81">
        <f>SUM(F210:F212)</f>
        <v>0</v>
      </c>
      <c r="G209" s="81">
        <f>SUM(G211:G212)</f>
        <v>285000000</v>
      </c>
      <c r="H209" s="81">
        <f>SUM(H210:H211)</f>
        <v>0</v>
      </c>
      <c r="I209" s="79">
        <f t="shared" si="2"/>
        <v>285000000</v>
      </c>
    </row>
    <row r="210" spans="1:9" ht="12.75" hidden="1">
      <c r="A210" s="70"/>
      <c r="B210" s="71"/>
      <c r="C210" s="71">
        <v>2</v>
      </c>
      <c r="D210" s="72"/>
      <c r="E210" s="91" t="s">
        <v>372</v>
      </c>
      <c r="F210" s="84">
        <f>+'[6]PRG1'!F210+'[6]Auditoría'!F210</f>
        <v>0</v>
      </c>
      <c r="G210" s="84">
        <f>+'[6]PRG2'!F210</f>
        <v>0</v>
      </c>
      <c r="H210" s="84">
        <f>+'[6]PROG3'!F210</f>
        <v>0</v>
      </c>
      <c r="I210" s="79">
        <f t="shared" si="2"/>
        <v>0</v>
      </c>
    </row>
    <row r="211" spans="1:9" ht="25.5" hidden="1">
      <c r="A211" s="70"/>
      <c r="B211" s="71"/>
      <c r="C211" s="71"/>
      <c r="D211" s="97">
        <v>5</v>
      </c>
      <c r="E211" s="96" t="s">
        <v>373</v>
      </c>
      <c r="F211" s="84">
        <f>+'[6]PRG1'!F211+'[6]Auditoría'!F211</f>
        <v>0</v>
      </c>
      <c r="G211" s="84">
        <f>+'[6]PRG2'!F211</f>
        <v>0</v>
      </c>
      <c r="H211" s="84">
        <f>+'[6]PROG3'!F211</f>
        <v>0</v>
      </c>
      <c r="I211" s="79">
        <f t="shared" si="2"/>
        <v>0</v>
      </c>
    </row>
    <row r="212" spans="1:9" ht="25.5">
      <c r="A212" s="70"/>
      <c r="B212" s="71"/>
      <c r="C212" s="71"/>
      <c r="D212" s="97">
        <v>6</v>
      </c>
      <c r="E212" s="96" t="s">
        <v>509</v>
      </c>
      <c r="F212" s="84">
        <f>+'[6]PRG1'!F212+'[6]Auditoría'!F212</f>
        <v>0</v>
      </c>
      <c r="G212" s="84">
        <f>+'[6]PRG2'!F212</f>
        <v>285000000</v>
      </c>
      <c r="H212" s="84">
        <f>+'[6]PROG3'!F212</f>
        <v>0</v>
      </c>
      <c r="I212" s="79">
        <f t="shared" si="2"/>
        <v>285000000</v>
      </c>
    </row>
    <row r="213" spans="1:9" ht="12.75">
      <c r="A213" s="70"/>
      <c r="B213" s="71"/>
      <c r="C213" s="71"/>
      <c r="D213" s="72"/>
      <c r="E213" s="91"/>
      <c r="F213" s="84"/>
      <c r="G213" s="84"/>
      <c r="H213" s="84"/>
      <c r="I213" s="79"/>
    </row>
    <row r="214" spans="1:9" ht="13.5" thickBot="1">
      <c r="A214" s="199"/>
      <c r="B214" s="202"/>
      <c r="C214" s="202"/>
      <c r="D214" s="212"/>
      <c r="E214" s="93"/>
      <c r="F214" s="94"/>
      <c r="G214" s="94"/>
      <c r="H214" s="94"/>
      <c r="I214" s="95"/>
    </row>
    <row r="215" spans="1:9" ht="13.5" hidden="1" thickBot="1">
      <c r="A215" s="70" t="s">
        <v>146</v>
      </c>
      <c r="B215" s="71">
        <v>9</v>
      </c>
      <c r="C215" s="71"/>
      <c r="D215" s="72"/>
      <c r="E215" s="90" t="s">
        <v>190</v>
      </c>
      <c r="F215" s="81">
        <f>+F216+F219</f>
        <v>0</v>
      </c>
      <c r="G215" s="81">
        <f>+G216+G219</f>
        <v>0</v>
      </c>
      <c r="H215" s="81">
        <f>+H216+H219</f>
        <v>3449400.86</v>
      </c>
      <c r="I215" s="79">
        <f t="shared" si="2"/>
        <v>3449400.86</v>
      </c>
    </row>
    <row r="216" spans="1:9" ht="13.5" hidden="1" thickBot="1">
      <c r="A216" s="70"/>
      <c r="B216" s="71"/>
      <c r="C216" s="71">
        <v>1</v>
      </c>
      <c r="D216" s="72"/>
      <c r="E216" s="90" t="s">
        <v>374</v>
      </c>
      <c r="F216" s="84">
        <f>SUM(F217)</f>
        <v>0</v>
      </c>
      <c r="G216" s="84">
        <f>SUM(G217)</f>
        <v>0</v>
      </c>
      <c r="H216" s="84">
        <f>SUM(H217)</f>
        <v>0</v>
      </c>
      <c r="I216" s="79">
        <f t="shared" si="2"/>
        <v>0</v>
      </c>
    </row>
    <row r="217" spans="1:9" ht="13.5" hidden="1" thickBot="1">
      <c r="A217" s="70"/>
      <c r="B217" s="71"/>
      <c r="C217" s="71"/>
      <c r="D217" s="72">
        <v>1</v>
      </c>
      <c r="E217" s="91" t="s">
        <v>375</v>
      </c>
      <c r="F217" s="84">
        <f>+'[6]PRG1'!F217+'[6]Auditoría'!F217</f>
        <v>0</v>
      </c>
      <c r="G217" s="84">
        <f>+'[6]PRG2'!F217</f>
        <v>0</v>
      </c>
      <c r="H217" s="84">
        <f>+'[6]PROG3'!F217</f>
        <v>0</v>
      </c>
      <c r="I217" s="79">
        <f>SUM(F217:H217)</f>
        <v>0</v>
      </c>
    </row>
    <row r="218" spans="1:9" ht="13.5" hidden="1" thickBot="1">
      <c r="A218" s="70"/>
      <c r="B218" s="71"/>
      <c r="C218" s="71"/>
      <c r="D218" s="72"/>
      <c r="E218" s="91"/>
      <c r="F218" s="84"/>
      <c r="G218" s="84"/>
      <c r="H218" s="84">
        <f>+'[6]PROG3'!F228</f>
        <v>0</v>
      </c>
      <c r="I218" s="79">
        <f>SUM(F218:H218)</f>
        <v>0</v>
      </c>
    </row>
    <row r="219" spans="1:9" ht="13.5" hidden="1" thickBot="1">
      <c r="A219" s="70"/>
      <c r="B219" s="71"/>
      <c r="C219" s="71">
        <v>2</v>
      </c>
      <c r="D219" s="72"/>
      <c r="E219" s="90" t="s">
        <v>376</v>
      </c>
      <c r="F219" s="81">
        <f>SUM(F220:F221)</f>
        <v>0</v>
      </c>
      <c r="G219" s="81">
        <f>SUM(G220:G221)</f>
        <v>0</v>
      </c>
      <c r="H219" s="81">
        <f>SUM(H220:H221)</f>
        <v>3449400.86</v>
      </c>
      <c r="I219" s="79">
        <f>SUM(F219:H219)</f>
        <v>3449400.86</v>
      </c>
    </row>
    <row r="220" spans="1:9" ht="13.5" hidden="1" thickBot="1">
      <c r="A220" s="70"/>
      <c r="B220" s="71"/>
      <c r="C220" s="71"/>
      <c r="D220" s="72">
        <v>1</v>
      </c>
      <c r="E220" s="91" t="s">
        <v>377</v>
      </c>
      <c r="F220" s="84">
        <f>+'[6]PRG1'!F220+'[6]Auditoría'!F220</f>
        <v>0</v>
      </c>
      <c r="G220" s="84">
        <f>+'[6]PRG2'!F220</f>
        <v>0</v>
      </c>
      <c r="H220" s="84">
        <f>+'[6]PROG3'!F220</f>
        <v>3449400.86</v>
      </c>
      <c r="I220" s="79">
        <f>SUM(F220:H220)</f>
        <v>3449400.86</v>
      </c>
    </row>
    <row r="221" spans="1:9" ht="26.25" hidden="1" thickBot="1">
      <c r="A221" s="199"/>
      <c r="B221" s="202"/>
      <c r="C221" s="202"/>
      <c r="D221" s="212">
        <v>2</v>
      </c>
      <c r="E221" s="93" t="s">
        <v>378</v>
      </c>
      <c r="F221" s="84">
        <f>+'[6]PRG1'!F221+'[6]Auditoría'!F221</f>
        <v>0</v>
      </c>
      <c r="G221" s="84">
        <f>+'[6]PRG2'!F221</f>
        <v>0</v>
      </c>
      <c r="H221" s="84">
        <f>+'[6]PROG3'!F221</f>
        <v>0</v>
      </c>
      <c r="I221" s="95">
        <f>SUM(F221:H221)</f>
        <v>0</v>
      </c>
    </row>
    <row r="222" spans="1:9" ht="13.5" thickBot="1">
      <c r="A222" s="218"/>
      <c r="B222" s="219"/>
      <c r="C222" s="219"/>
      <c r="D222" s="220"/>
      <c r="E222" s="219" t="s">
        <v>379</v>
      </c>
      <c r="F222" s="226">
        <f>+F13+F45+F102+F132+F137+F161+F193+F209+F215</f>
        <v>9754429064.720594</v>
      </c>
      <c r="G222" s="226">
        <f>+G13+G45+G102+G132+G137+G161+G193+G209+G215</f>
        <v>11721876135.35481</v>
      </c>
      <c r="H222" s="226">
        <f>+H13+H45+H102+H132+H137+H161+H193+H209+H215</f>
        <v>7664210780.733231</v>
      </c>
      <c r="I222" s="221">
        <f>+F222+G222+H222</f>
        <v>29140515980.808636</v>
      </c>
    </row>
    <row r="224" spans="6:9" ht="12.75">
      <c r="F224" s="222" t="s">
        <v>466</v>
      </c>
      <c r="G224" s="222"/>
      <c r="H224" s="227"/>
      <c r="I224" s="228">
        <f>+'[7]RELACION INGRESO GASTO DET.15'!$I$539</f>
        <v>12921628178.075201</v>
      </c>
    </row>
    <row r="225" spans="6:10" ht="12.75">
      <c r="F225" s="222" t="s">
        <v>467</v>
      </c>
      <c r="G225" s="222"/>
      <c r="H225" s="227"/>
      <c r="I225" s="228">
        <f>+'[7]INGRESOS LIBRES DETALLE Nº17'!$H$217</f>
        <v>16218887802.734798</v>
      </c>
      <c r="J225" s="80">
        <f>+I222-I13</f>
        <v>18621814149.23703</v>
      </c>
    </row>
    <row r="226" spans="6:9" ht="12.75">
      <c r="F226" s="222" t="s">
        <v>461</v>
      </c>
      <c r="G226" s="222"/>
      <c r="H226" s="227"/>
      <c r="I226" s="228">
        <f>SUM(I224:I225)</f>
        <v>29140515980.809998</v>
      </c>
    </row>
    <row r="227" spans="6:9" ht="12.75">
      <c r="F227" s="67" t="s">
        <v>468</v>
      </c>
      <c r="I227" s="86">
        <f>+I13+I45+I102+I132</f>
        <v>19670544400.91683</v>
      </c>
    </row>
    <row r="228" spans="5:9" ht="12.75">
      <c r="E228" s="80" t="s">
        <v>146</v>
      </c>
      <c r="F228" s="67" t="s">
        <v>186</v>
      </c>
      <c r="I228" s="86">
        <f>+I137</f>
        <v>4166137222.0030003</v>
      </c>
    </row>
    <row r="229" spans="5:9" ht="12.75">
      <c r="E229" s="67" t="s">
        <v>146</v>
      </c>
      <c r="F229" s="67" t="s">
        <v>462</v>
      </c>
      <c r="I229" s="86">
        <f>+I161+I193</f>
        <v>5015384957.028808</v>
      </c>
    </row>
    <row r="230" spans="6:9" ht="12.75">
      <c r="F230" s="67" t="s">
        <v>463</v>
      </c>
      <c r="I230" s="82">
        <f>+I209</f>
        <v>285000000</v>
      </c>
    </row>
    <row r="231" spans="6:9" ht="12.75">
      <c r="F231" s="67" t="s">
        <v>190</v>
      </c>
      <c r="I231" s="86">
        <f>+I215</f>
        <v>3449400.86</v>
      </c>
    </row>
    <row r="232" spans="5:9" ht="12.75">
      <c r="E232" s="67" t="s">
        <v>469</v>
      </c>
      <c r="F232" s="85" t="s">
        <v>470</v>
      </c>
      <c r="G232" s="85"/>
      <c r="H232" s="86"/>
      <c r="I232" s="86">
        <f>SUM(I227:I231)</f>
        <v>29140515980.80864</v>
      </c>
    </row>
    <row r="234" spans="6:9" ht="12.75">
      <c r="F234" s="67" t="s">
        <v>471</v>
      </c>
      <c r="I234" s="86">
        <f>+I226-I232</f>
        <v>0.0013580322265625</v>
      </c>
    </row>
    <row r="236" spans="6:10" ht="12.75">
      <c r="F236" s="80"/>
      <c r="G236" s="80"/>
      <c r="H236" s="82"/>
      <c r="I236" s="82">
        <f>+I222-'[4]Detalle General de Egresos'!$E$7</f>
        <v>6054682854.80788</v>
      </c>
      <c r="J236" s="85">
        <f>+I237-I234</f>
        <v>7994952441.705356</v>
      </c>
    </row>
    <row r="237" ht="12.75">
      <c r="I237" s="229">
        <f>+'[6]PRG1'!H241+'[6]PRG2'!H268+'[6]Auditoría'!H222+'[6]PRG3-'!E125</f>
        <v>7994952441.706714</v>
      </c>
    </row>
    <row r="238" ht="12.75">
      <c r="I238" s="229">
        <f>+I234-I237</f>
        <v>-7994952441.705356</v>
      </c>
    </row>
  </sheetData>
  <sheetProtection/>
  <mergeCells count="6">
    <mergeCell ref="A1:I1"/>
    <mergeCell ref="A2:I2"/>
    <mergeCell ref="A3:I3"/>
    <mergeCell ref="A5:I5"/>
    <mergeCell ref="A10:D10"/>
    <mergeCell ref="F10:I10"/>
  </mergeCells>
  <printOptions/>
  <pageMargins left="0.75" right="0.75" top="1" bottom="1" header="0" footer="0"/>
  <pageSetup horizontalDpi="300" verticalDpi="300" orientation="portrait" scale="51" r:id="rId1"/>
  <rowBreaks count="1" manualBreakCount="1">
    <brk id="96" max="8" man="1"/>
  </rowBreaks>
</worksheet>
</file>

<file path=xl/worksheets/sheet5.xml><?xml version="1.0" encoding="utf-8"?>
<worksheet xmlns="http://schemas.openxmlformats.org/spreadsheetml/2006/main" xmlns:r="http://schemas.openxmlformats.org/officeDocument/2006/relationships">
  <dimension ref="A1:M419"/>
  <sheetViews>
    <sheetView view="pageBreakPreview" zoomScaleNormal="75" zoomScaleSheetLayoutView="100" zoomScalePageLayoutView="0" workbookViewId="0" topLeftCell="A166">
      <selection activeCell="H117" sqref="H117"/>
    </sheetView>
  </sheetViews>
  <sheetFormatPr defaultColWidth="11.421875" defaultRowHeight="12.75"/>
  <cols>
    <col min="1" max="1" width="21.28125" style="126" customWidth="1"/>
    <col min="2" max="2" width="41.7109375" style="126" customWidth="1"/>
    <col min="3" max="3" width="25.7109375" style="103" customWidth="1"/>
    <col min="4" max="4" width="4.7109375" style="103" customWidth="1"/>
    <col min="5" max="5" width="5.57421875" style="103" customWidth="1"/>
    <col min="6" max="6" width="4.7109375" style="103" customWidth="1"/>
    <col min="7" max="7" width="56.140625" style="186" bestFit="1" customWidth="1"/>
    <col min="8" max="8" width="25.7109375" style="269" customWidth="1"/>
    <col min="9" max="10" width="25.7109375" style="102" customWidth="1"/>
    <col min="11" max="11" width="19.140625" style="403" customWidth="1"/>
    <col min="12" max="12" width="17.7109375" style="102" bestFit="1" customWidth="1"/>
    <col min="13" max="13" width="20.140625" style="103" bestFit="1" customWidth="1"/>
    <col min="14" max="16384" width="11.421875" style="103" customWidth="1"/>
  </cols>
  <sheetData>
    <row r="1" spans="1:10" ht="12.75">
      <c r="A1" s="533" t="s">
        <v>0</v>
      </c>
      <c r="B1" s="534"/>
      <c r="C1" s="534"/>
      <c r="D1" s="534"/>
      <c r="E1" s="534"/>
      <c r="F1" s="534"/>
      <c r="G1" s="534"/>
      <c r="H1" s="535"/>
      <c r="I1" s="105"/>
      <c r="J1" s="105"/>
    </row>
    <row r="2" spans="1:10" ht="12.75">
      <c r="A2" s="536" t="s">
        <v>179</v>
      </c>
      <c r="B2" s="537"/>
      <c r="C2" s="537"/>
      <c r="D2" s="537"/>
      <c r="E2" s="537"/>
      <c r="F2" s="537"/>
      <c r="G2" s="537"/>
      <c r="H2" s="538"/>
      <c r="I2" s="105"/>
      <c r="J2" s="105"/>
    </row>
    <row r="3" spans="1:10" ht="12.75">
      <c r="A3" s="536" t="s">
        <v>727</v>
      </c>
      <c r="B3" s="537"/>
      <c r="C3" s="537"/>
      <c r="D3" s="537"/>
      <c r="E3" s="537"/>
      <c r="F3" s="537"/>
      <c r="G3" s="537"/>
      <c r="H3" s="538"/>
      <c r="I3" s="105"/>
      <c r="J3" s="105"/>
    </row>
    <row r="4" spans="1:10" ht="12.75">
      <c r="A4" s="536" t="s">
        <v>380</v>
      </c>
      <c r="B4" s="537"/>
      <c r="C4" s="537"/>
      <c r="D4" s="537"/>
      <c r="E4" s="537"/>
      <c r="F4" s="537"/>
      <c r="G4" s="537"/>
      <c r="H4" s="538"/>
      <c r="I4" s="105"/>
      <c r="J4" s="105"/>
    </row>
    <row r="5" spans="1:10" ht="12.75">
      <c r="A5" s="536" t="s">
        <v>381</v>
      </c>
      <c r="B5" s="537"/>
      <c r="C5" s="537"/>
      <c r="D5" s="537"/>
      <c r="E5" s="537"/>
      <c r="F5" s="537"/>
      <c r="G5" s="537"/>
      <c r="H5" s="538"/>
      <c r="I5" s="105"/>
      <c r="J5" s="105"/>
    </row>
    <row r="6" spans="1:10" ht="13.5" thickBot="1">
      <c r="A6" s="106"/>
      <c r="B6" s="107"/>
      <c r="C6" s="108"/>
      <c r="D6" s="108"/>
      <c r="E6" s="108"/>
      <c r="F6" s="108"/>
      <c r="G6" s="109"/>
      <c r="H6" s="257"/>
      <c r="I6" s="180"/>
      <c r="J6" s="180"/>
    </row>
    <row r="7" spans="1:10" ht="105.75" customHeight="1" thickBot="1">
      <c r="A7" s="230" t="s">
        <v>3</v>
      </c>
      <c r="B7" s="208" t="s">
        <v>382</v>
      </c>
      <c r="C7" s="208" t="s">
        <v>383</v>
      </c>
      <c r="D7" s="231" t="s">
        <v>384</v>
      </c>
      <c r="E7" s="232" t="s">
        <v>385</v>
      </c>
      <c r="F7" s="231" t="s">
        <v>386</v>
      </c>
      <c r="G7" s="101" t="s">
        <v>387</v>
      </c>
      <c r="H7" s="258" t="s">
        <v>383</v>
      </c>
      <c r="I7" s="105"/>
      <c r="J7" s="105"/>
    </row>
    <row r="8" spans="1:10" ht="34.5" customHeight="1">
      <c r="A8" s="233" t="s">
        <v>146</v>
      </c>
      <c r="B8" s="234" t="s">
        <v>146</v>
      </c>
      <c r="C8" s="235"/>
      <c r="D8" s="101"/>
      <c r="E8" s="101"/>
      <c r="F8" s="101"/>
      <c r="G8" s="171"/>
      <c r="H8" s="172"/>
      <c r="I8" s="180"/>
      <c r="J8" s="180"/>
    </row>
    <row r="9" spans="1:11" ht="12.75">
      <c r="A9" s="111" t="str">
        <f>+'[7]Clasific. Económica de Ingresos'!A16</f>
        <v>1.1.2.1.01.00.0.0.000</v>
      </c>
      <c r="B9" s="159" t="s">
        <v>388</v>
      </c>
      <c r="C9" s="114">
        <f>SUM('[7]Clasific. Económica de Ingresos'!C16)</f>
        <v>6300000000</v>
      </c>
      <c r="D9" s="105"/>
      <c r="E9" s="105"/>
      <c r="F9" s="105"/>
      <c r="G9" s="113"/>
      <c r="H9" s="129"/>
      <c r="I9" s="236"/>
      <c r="J9" s="236"/>
      <c r="K9" s="403" t="s">
        <v>146</v>
      </c>
    </row>
    <row r="10" spans="1:13" ht="12.75">
      <c r="A10" s="104"/>
      <c r="B10" s="105"/>
      <c r="C10" s="114"/>
      <c r="D10" s="105" t="s">
        <v>389</v>
      </c>
      <c r="E10" s="105" t="s">
        <v>390</v>
      </c>
      <c r="F10" s="105" t="s">
        <v>391</v>
      </c>
      <c r="G10" s="113" t="s">
        <v>392</v>
      </c>
      <c r="H10" s="256">
        <f>+C9*0.1</f>
        <v>630000000</v>
      </c>
      <c r="I10" s="236"/>
      <c r="J10" s="138"/>
      <c r="K10" s="403">
        <f>+H10+H133+H175+H181+H164+H213+H149+H159+H192+H102+H121+H218+H85+H256+H187+H170+H225+H197+H92+H237+H291</f>
        <v>6734889543.237351</v>
      </c>
      <c r="L10" s="102">
        <f>+K10+K11+H103+H122</f>
        <v>9754429064.720594</v>
      </c>
      <c r="M10" s="115">
        <f>+L10-'[7]Egresos Programa I General'!E16</f>
        <v>0</v>
      </c>
    </row>
    <row r="11" spans="1:13" ht="12.75">
      <c r="A11" s="104"/>
      <c r="B11" s="105"/>
      <c r="C11" s="114"/>
      <c r="D11" s="105" t="s">
        <v>389</v>
      </c>
      <c r="E11" s="105" t="s">
        <v>393</v>
      </c>
      <c r="F11" s="105" t="s">
        <v>391</v>
      </c>
      <c r="G11" s="113" t="str">
        <f>+'[7]ProgramaI'!B24</f>
        <v>Aporte Junta Admva.Registro Nac. Ley 7509y 7729</v>
      </c>
      <c r="H11" s="256">
        <f>+'[7]RELACION INGRESO GASTO DET.15'!I18</f>
        <v>189000000</v>
      </c>
      <c r="I11" s="236"/>
      <c r="J11" s="236"/>
      <c r="K11" s="404">
        <f>+H11+H12+H13+H67+H68+H69+H128+H129+H262+H263+H245+H264+H70+H71+H244+H246+H238+H104+H226+H75</f>
        <v>2546387596.23676</v>
      </c>
      <c r="M11" s="115"/>
    </row>
    <row r="12" spans="1:13" ht="12.75">
      <c r="A12" s="104"/>
      <c r="B12" s="105"/>
      <c r="C12" s="114"/>
      <c r="D12" s="105" t="s">
        <v>389</v>
      </c>
      <c r="E12" s="105" t="s">
        <v>393</v>
      </c>
      <c r="F12" s="105" t="s">
        <v>391</v>
      </c>
      <c r="G12" s="113" t="str">
        <f>+'[7]ProgramaI'!B29</f>
        <v>Juntas de Educación, Ley 7509 y 7729</v>
      </c>
      <c r="H12" s="256">
        <f>+'[7]RELACION INGRESO GASTO DET.15'!I15</f>
        <v>630000000</v>
      </c>
      <c r="I12" s="236"/>
      <c r="J12" s="236"/>
      <c r="M12" s="115"/>
    </row>
    <row r="13" spans="1:13" ht="15" customHeight="1">
      <c r="A13" s="104"/>
      <c r="B13" s="105"/>
      <c r="C13" s="114"/>
      <c r="D13" s="105" t="s">
        <v>389</v>
      </c>
      <c r="E13" s="105" t="s">
        <v>393</v>
      </c>
      <c r="F13" s="105" t="s">
        <v>391</v>
      </c>
      <c r="G13" s="260" t="str">
        <f>+'[7]ProgramaI'!B22</f>
        <v>Organo Normalización Técnica M.de Hacienda </v>
      </c>
      <c r="H13" s="256">
        <f>+'[7]RELACION INGRESO GASTO DET.15'!I21</f>
        <v>63000000</v>
      </c>
      <c r="I13" s="236"/>
      <c r="J13" s="236"/>
      <c r="M13" s="115"/>
    </row>
    <row r="14" spans="1:13" ht="12.75">
      <c r="A14" s="104"/>
      <c r="B14" s="105"/>
      <c r="C14" s="114"/>
      <c r="D14" s="105" t="s">
        <v>394</v>
      </c>
      <c r="E14" s="105" t="s">
        <v>390</v>
      </c>
      <c r="F14" s="105"/>
      <c r="G14" s="113" t="str">
        <f>+'[7]Egresos Programa II General'!B11</f>
        <v>Aseo de Vías y Sitios Públicos</v>
      </c>
      <c r="H14" s="256">
        <f>+'[7]INGRESOS LIBRES DETALLE Nº17'!E12</f>
        <v>26258700</v>
      </c>
      <c r="I14" s="236"/>
      <c r="J14" s="236"/>
      <c r="K14" s="405">
        <f>+H14+H188</f>
        <v>620258700.00261</v>
      </c>
      <c r="L14" s="102">
        <f>+K14+H18+H19+H22+H23+K24+H25+H26+H29+H165+H160+H150+H134+H182+H193+H214+H219+H198</f>
        <v>9669608730.945269</v>
      </c>
      <c r="M14" s="115">
        <f>+'[7]Egresos Programa II General'!C44-'Origen y Aplicación (2)'!L14</f>
        <v>2052267404.4095402</v>
      </c>
    </row>
    <row r="15" spans="1:13" ht="12.75" hidden="1">
      <c r="A15" s="104"/>
      <c r="B15" s="105"/>
      <c r="C15" s="114"/>
      <c r="D15" s="105" t="s">
        <v>394</v>
      </c>
      <c r="E15" s="105" t="s">
        <v>397</v>
      </c>
      <c r="F15" s="105"/>
      <c r="G15" s="113" t="str">
        <f>+'[7]Egresos Programa II General'!B13</f>
        <v>Recolección de Basuras</v>
      </c>
      <c r="H15" s="256">
        <f>+'[7]INGRESOS LIBRES DETALLE Nº17'!E13</f>
        <v>0</v>
      </c>
      <c r="I15" s="236"/>
      <c r="J15" s="236"/>
      <c r="K15" s="405">
        <f>+H15+H182</f>
        <v>3667146446.337099</v>
      </c>
      <c r="M15" s="115"/>
    </row>
    <row r="16" spans="1:13" ht="12.75" hidden="1">
      <c r="A16" s="104"/>
      <c r="B16" s="105"/>
      <c r="C16" s="114"/>
      <c r="D16" s="105" t="s">
        <v>394</v>
      </c>
      <c r="E16" s="105" t="s">
        <v>420</v>
      </c>
      <c r="F16" s="105"/>
      <c r="G16" s="113" t="str">
        <f>+'[7]Egresos Programa II General'!B15</f>
        <v>Parques Obras de Ornato</v>
      </c>
      <c r="H16" s="256">
        <f>+'[7]INGRESOS LIBRES DETALLE Nº17'!E14</f>
        <v>0</v>
      </c>
      <c r="I16" s="236"/>
      <c r="J16" s="236"/>
      <c r="K16" s="405">
        <f>+H16+H193</f>
        <v>231999999.99926797</v>
      </c>
      <c r="M16" s="115"/>
    </row>
    <row r="17" spans="1:13" ht="12.75">
      <c r="A17" s="104"/>
      <c r="B17" s="105"/>
      <c r="C17" s="114"/>
      <c r="D17" s="105" t="s">
        <v>394</v>
      </c>
      <c r="E17" s="105" t="s">
        <v>400</v>
      </c>
      <c r="F17" s="105"/>
      <c r="G17" s="113" t="str">
        <f>+'[7]Egresos Programa II General'!B19</f>
        <v>Mercados, Plazas y Ferias</v>
      </c>
      <c r="H17" s="256">
        <f>+'[7]INGRESOS LIBRES DETALLE Nº17'!E16</f>
        <v>42967463.7</v>
      </c>
      <c r="I17" s="236"/>
      <c r="J17" s="236"/>
      <c r="K17" s="405">
        <f>+H17+H150+H219+H160+H155</f>
        <v>303517463.7038135</v>
      </c>
      <c r="M17" s="115"/>
    </row>
    <row r="18" spans="1:11" ht="12.75">
      <c r="A18" s="104"/>
      <c r="B18" s="105"/>
      <c r="C18" s="114"/>
      <c r="D18" s="105" t="s">
        <v>394</v>
      </c>
      <c r="E18" s="105" t="s">
        <v>395</v>
      </c>
      <c r="F18" s="105" t="s">
        <v>391</v>
      </c>
      <c r="G18" s="113" t="str">
        <f>+'[7]Egresos Programa II General'!B21</f>
        <v>Educativos, Culturales y Deportivos</v>
      </c>
      <c r="H18" s="256">
        <f>+'[7]INGRESOS LIBRES DETALLE Nº17'!E17</f>
        <v>178150979.39</v>
      </c>
      <c r="I18" s="236"/>
      <c r="J18" s="236"/>
      <c r="K18" s="403">
        <f>+H18</f>
        <v>178150979.39</v>
      </c>
    </row>
    <row r="19" spans="1:12" ht="12.75">
      <c r="A19" s="104"/>
      <c r="B19" s="105"/>
      <c r="C19" s="114"/>
      <c r="D19" s="105" t="s">
        <v>394</v>
      </c>
      <c r="E19" s="105">
        <v>10</v>
      </c>
      <c r="F19" s="105"/>
      <c r="G19" s="113" t="str">
        <f>+'[7]Egresos Programa II General'!B23</f>
        <v>Servicios Sociales Complementarios</v>
      </c>
      <c r="H19" s="256">
        <f>+'[7]INGRESOS LIBRES DETALLE Nº17'!E18</f>
        <v>630555686</v>
      </c>
      <c r="I19" s="236"/>
      <c r="J19" s="236"/>
      <c r="K19" s="403">
        <f>+H19+H283+H278+H326+H202+H330</f>
        <v>895096540.31</v>
      </c>
      <c r="L19" s="102">
        <v>303000</v>
      </c>
    </row>
    <row r="20" spans="1:11" ht="12.75">
      <c r="A20" s="104"/>
      <c r="B20" s="105"/>
      <c r="C20" s="114"/>
      <c r="D20" s="105" t="s">
        <v>394</v>
      </c>
      <c r="E20" s="105">
        <v>11</v>
      </c>
      <c r="F20" s="105"/>
      <c r="G20" s="113" t="s">
        <v>483</v>
      </c>
      <c r="H20" s="256">
        <f>+'[7]INGRESOS LIBRES DETALLE Nº17'!E19</f>
        <v>98000000</v>
      </c>
      <c r="I20" s="236"/>
      <c r="J20" s="236"/>
      <c r="K20" s="403">
        <f>+H20+H214</f>
        <v>228499999.99810413</v>
      </c>
    </row>
    <row r="21" spans="1:11" ht="12.75" hidden="1">
      <c r="A21" s="104"/>
      <c r="B21" s="105"/>
      <c r="C21" s="114"/>
      <c r="D21" s="105" t="s">
        <v>394</v>
      </c>
      <c r="E21" s="105">
        <v>13</v>
      </c>
      <c r="F21" s="105"/>
      <c r="G21" s="113" t="str">
        <f>+'[7]Egresos Programa II General'!B27</f>
        <v>Alcantarillados Sanitarios</v>
      </c>
      <c r="H21" s="256">
        <f>+'[7]INGRESOS LIBRES DETALLE Nº17'!E20</f>
        <v>0</v>
      </c>
      <c r="I21" s="236"/>
      <c r="J21" s="236"/>
      <c r="K21" s="403">
        <f>+H21+H310+H165</f>
        <v>660599999.9993863</v>
      </c>
    </row>
    <row r="22" spans="1:11" ht="12.75">
      <c r="A22" s="104"/>
      <c r="B22" s="105"/>
      <c r="C22" s="114"/>
      <c r="D22" s="105" t="s">
        <v>394</v>
      </c>
      <c r="E22" s="105">
        <v>18</v>
      </c>
      <c r="F22" s="105"/>
      <c r="G22" s="113" t="str">
        <f>+'[7]Egresos Programa II General'!B29</f>
        <v>Reparaciones Menores de Maquinaria y Equipo</v>
      </c>
      <c r="H22" s="256">
        <f>+'[7]INGRESOS LIBRES DETALLE Nº17'!E21</f>
        <v>49015913.66</v>
      </c>
      <c r="I22" s="236"/>
      <c r="J22" s="236"/>
      <c r="K22" s="403">
        <f>+H22</f>
        <v>49015913.66</v>
      </c>
    </row>
    <row r="23" spans="1:13" ht="12.75">
      <c r="A23" s="104"/>
      <c r="B23" s="105"/>
      <c r="C23" s="114"/>
      <c r="D23" s="105" t="s">
        <v>394</v>
      </c>
      <c r="E23" s="105">
        <v>23</v>
      </c>
      <c r="F23" s="105"/>
      <c r="G23" s="113" t="str">
        <f>+'[7]Egresos Programa II General'!B31</f>
        <v>Seguridad y Vigilancia en la Comunidad</v>
      </c>
      <c r="H23" s="256">
        <f>+'[7]INGRESOS LIBRES DETALLE Nº17'!E22</f>
        <v>650024137.5600001</v>
      </c>
      <c r="I23" s="236"/>
      <c r="J23" s="236"/>
      <c r="K23" s="403">
        <f>+H23+H239+H272</f>
        <v>714824137.5600001</v>
      </c>
      <c r="L23" s="102">
        <f>+H41+H42+H43+H81+H272+H306+H318</f>
        <v>880854813.8097734</v>
      </c>
      <c r="M23" s="102"/>
    </row>
    <row r="24" spans="1:11" ht="12.75">
      <c r="A24" s="104"/>
      <c r="B24" s="105"/>
      <c r="C24" s="114"/>
      <c r="D24" s="105" t="s">
        <v>394</v>
      </c>
      <c r="E24" s="105">
        <v>25</v>
      </c>
      <c r="F24" s="105"/>
      <c r="G24" s="113" t="str">
        <f>+'[7]Egresos Programa II General'!B33</f>
        <v>Protección del Medio Ambiente</v>
      </c>
      <c r="H24" s="256">
        <f>+'[7]INGRESOS LIBRES DETALLE Nº17'!E23</f>
        <v>149001040.47</v>
      </c>
      <c r="I24" s="236"/>
      <c r="J24" s="236"/>
      <c r="K24" s="403">
        <f>+H24+H130</f>
        <v>173706040.47</v>
      </c>
    </row>
    <row r="25" spans="1:12" ht="12.75" hidden="1">
      <c r="A25" s="104"/>
      <c r="B25" s="105"/>
      <c r="C25" s="114"/>
      <c r="D25" s="105" t="s">
        <v>394</v>
      </c>
      <c r="E25" s="105">
        <v>27</v>
      </c>
      <c r="F25" s="105"/>
      <c r="G25" s="113" t="s">
        <v>472</v>
      </c>
      <c r="H25" s="256">
        <f>+'[7]INGRESOS LIBRES DETALLE Nº17'!E24</f>
        <v>0</v>
      </c>
      <c r="I25" s="236"/>
      <c r="J25" s="236"/>
      <c r="K25" s="403">
        <f>+H25</f>
        <v>0</v>
      </c>
      <c r="L25" s="102" t="e">
        <f>+#REF!+#REF!+#REF!+#REF!+#REF!+#REF!+#REF!+#REF!+#REF!+#REF!+#REF!+#REF!+#REF!+#REF!+#REF!+#REF!+H298</f>
        <v>#REF!</v>
      </c>
    </row>
    <row r="26" spans="1:11" ht="12.75">
      <c r="A26" s="104"/>
      <c r="B26" s="105"/>
      <c r="C26" s="114"/>
      <c r="D26" s="105" t="s">
        <v>394</v>
      </c>
      <c r="E26" s="105">
        <v>28</v>
      </c>
      <c r="F26" s="105"/>
      <c r="G26" s="113" t="str">
        <f>+'[7]Egresos Programa II General'!B37</f>
        <v>Atención Emergencias Cantonales</v>
      </c>
      <c r="H26" s="256">
        <f>+'[7]INGRESOS LIBRES DETALLE Nº17'!E25</f>
        <v>56538935.46</v>
      </c>
      <c r="I26" s="236"/>
      <c r="J26" s="236"/>
      <c r="K26" s="403">
        <f>+H26</f>
        <v>56538935.46</v>
      </c>
    </row>
    <row r="27" spans="1:11" ht="12.75">
      <c r="A27" s="104"/>
      <c r="B27" s="105"/>
      <c r="C27" s="114"/>
      <c r="D27" s="105" t="s">
        <v>394</v>
      </c>
      <c r="E27" s="105">
        <v>29</v>
      </c>
      <c r="F27" s="105"/>
      <c r="G27" s="113" t="s">
        <v>473</v>
      </c>
      <c r="H27" s="256">
        <f>+'[7]INGRESOS LIBRES DETALLE Nº17'!E26</f>
        <v>76863586.4</v>
      </c>
      <c r="I27" s="406"/>
      <c r="J27" s="406"/>
      <c r="K27" s="403">
        <f>+H27+H198+H257</f>
        <v>132423586.39635022</v>
      </c>
    </row>
    <row r="28" spans="1:11" ht="12.75" hidden="1">
      <c r="A28" s="104"/>
      <c r="B28" s="105"/>
      <c r="C28" s="114"/>
      <c r="D28" s="105" t="s">
        <v>394</v>
      </c>
      <c r="E28" s="105">
        <v>30</v>
      </c>
      <c r="F28" s="105"/>
      <c r="G28" s="113" t="s">
        <v>474</v>
      </c>
      <c r="H28" s="256">
        <f>+'[7]INGRESOS LIBRES DETALLE Nº17'!E27</f>
        <v>0</v>
      </c>
      <c r="I28" s="236"/>
      <c r="J28" s="236"/>
      <c r="K28" s="403">
        <f>+H28+H171+H311</f>
        <v>1142095500.0018082</v>
      </c>
    </row>
    <row r="29" spans="1:12" ht="12.75" hidden="1">
      <c r="A29" s="104"/>
      <c r="B29" s="105"/>
      <c r="C29" s="114"/>
      <c r="D29" s="105" t="s">
        <v>394</v>
      </c>
      <c r="E29" s="105">
        <v>31</v>
      </c>
      <c r="F29" s="105"/>
      <c r="G29" s="113" t="str">
        <f>+'[7]Egresos Programa II General'!B43</f>
        <v>Aporte en Especie para Servicios Y Proyectos Comunitarios</v>
      </c>
      <c r="H29" s="256"/>
      <c r="I29" s="236"/>
      <c r="J29" s="236"/>
      <c r="L29" s="102" t="e">
        <f>+H77+H87+H106+#REF!+#REF!+H238+H239+H246+H284+H292+H92+H108</f>
        <v>#REF!</v>
      </c>
    </row>
    <row r="30" spans="1:10" ht="30" customHeight="1">
      <c r="A30" s="104"/>
      <c r="B30" s="105"/>
      <c r="C30" s="114"/>
      <c r="D30" s="105" t="s">
        <v>396</v>
      </c>
      <c r="E30" s="105" t="s">
        <v>390</v>
      </c>
      <c r="F30" s="105" t="s">
        <v>399</v>
      </c>
      <c r="G30" s="211" t="str">
        <f>+'[7]Egresos Programa III General'!B15</f>
        <v>Mejoras CENCINAI  la Garita</v>
      </c>
      <c r="H30" s="256">
        <f>+'[7]Egresos Programa III General'!C15</f>
        <v>10000000</v>
      </c>
      <c r="I30" s="236"/>
      <c r="J30" s="236"/>
    </row>
    <row r="31" spans="1:10" ht="30" customHeight="1">
      <c r="A31" s="104"/>
      <c r="B31" s="105"/>
      <c r="C31" s="114"/>
      <c r="D31" s="105" t="s">
        <v>396</v>
      </c>
      <c r="E31" s="105" t="s">
        <v>390</v>
      </c>
      <c r="F31" s="105" t="s">
        <v>393</v>
      </c>
      <c r="G31" s="211" t="str">
        <f>+'[7]Egresos Programa III General'!B16</f>
        <v>Mejoramiento de Infraestructura CENCINAI de la Guácima</v>
      </c>
      <c r="H31" s="256">
        <f>+'[7]Egresos Programa III General'!C16</f>
        <v>15000000</v>
      </c>
      <c r="I31" s="236"/>
      <c r="J31" s="236">
        <f>+H31+H372</f>
        <v>15000000</v>
      </c>
    </row>
    <row r="32" spans="1:10" ht="30" customHeight="1">
      <c r="A32" s="104"/>
      <c r="B32" s="105"/>
      <c r="C32" s="114"/>
      <c r="D32" s="105" t="s">
        <v>396</v>
      </c>
      <c r="E32" s="105" t="s">
        <v>390</v>
      </c>
      <c r="F32" s="105" t="s">
        <v>420</v>
      </c>
      <c r="G32" s="211" t="str">
        <f>+'[7]Egresos Programa III General'!B17</f>
        <v>Mejoras en la infraestructura del CENCINAI de Villa Bonita</v>
      </c>
      <c r="H32" s="256">
        <f>+'[7]Egresos Programa III General'!C17</f>
        <v>24844177.26</v>
      </c>
      <c r="I32" s="236"/>
      <c r="J32" s="236"/>
    </row>
    <row r="33" spans="1:10" ht="30" customHeight="1">
      <c r="A33" s="104"/>
      <c r="B33" s="105"/>
      <c r="C33" s="114"/>
      <c r="D33" s="105" t="s">
        <v>396</v>
      </c>
      <c r="E33" s="105" t="s">
        <v>390</v>
      </c>
      <c r="F33" s="105" t="s">
        <v>405</v>
      </c>
      <c r="G33" s="211" t="str">
        <f>+'[7]Egresos Programa III General'!B18</f>
        <v> Mejoras Infraestructura CENCINAI de Ciruelas San Antonio</v>
      </c>
      <c r="H33" s="256">
        <f>+'[7]Egresos Programa III General'!C18</f>
        <v>24844177.27</v>
      </c>
      <c r="I33" s="236"/>
      <c r="J33" s="236"/>
    </row>
    <row r="34" spans="1:10" ht="30" customHeight="1">
      <c r="A34" s="104"/>
      <c r="B34" s="105"/>
      <c r="C34" s="114"/>
      <c r="D34" s="105" t="s">
        <v>396</v>
      </c>
      <c r="E34" s="105" t="s">
        <v>390</v>
      </c>
      <c r="F34" s="105" t="s">
        <v>400</v>
      </c>
      <c r="G34" s="211" t="str">
        <f>+'[7]Egresos Programa III General'!B19</f>
        <v>Mejoras en el Cementerio de San Rafael </v>
      </c>
      <c r="H34" s="256">
        <f>+'[7]Egresos Programa III General'!C19</f>
        <v>10000000</v>
      </c>
      <c r="I34" s="236"/>
      <c r="J34" s="236"/>
    </row>
    <row r="35" spans="1:10" ht="30" customHeight="1">
      <c r="A35" s="104"/>
      <c r="B35" s="105"/>
      <c r="C35" s="114"/>
      <c r="D35" s="105" t="s">
        <v>396</v>
      </c>
      <c r="E35" s="105" t="s">
        <v>390</v>
      </c>
      <c r="F35" s="105" t="s">
        <v>568</v>
      </c>
      <c r="G35" s="211" t="str">
        <f>+'[7]Egresos Programa III General'!B20</f>
        <v>Construcción salón multiuso Urbanización La Paz</v>
      </c>
      <c r="H35" s="256">
        <f>+'[7]Egresos Programa III General'!C20</f>
        <v>10000000</v>
      </c>
      <c r="I35" s="236"/>
      <c r="J35" s="236"/>
    </row>
    <row r="36" spans="1:10" ht="30" customHeight="1">
      <c r="A36" s="104"/>
      <c r="B36" s="105"/>
      <c r="C36" s="114"/>
      <c r="D36" s="105" t="s">
        <v>396</v>
      </c>
      <c r="E36" s="105" t="s">
        <v>390</v>
      </c>
      <c r="F36" s="105" t="s">
        <v>395</v>
      </c>
      <c r="G36" s="211" t="str">
        <f>+'[7]Egresos Programa III General'!B21</f>
        <v> Construcción de gimnasio multiuso de Occidente</v>
      </c>
      <c r="H36" s="256">
        <f>+'[7]Egresos Programa III General'!C21</f>
        <v>15000000</v>
      </c>
      <c r="I36" s="236"/>
      <c r="J36" s="236"/>
    </row>
    <row r="37" spans="1:10" ht="30" customHeight="1">
      <c r="A37" s="104"/>
      <c r="B37" s="105"/>
      <c r="C37" s="114"/>
      <c r="D37" s="105" t="s">
        <v>396</v>
      </c>
      <c r="E37" s="105" t="s">
        <v>390</v>
      </c>
      <c r="F37" s="105">
        <v>10</v>
      </c>
      <c r="G37" s="211" t="str">
        <f>+'[7]Egresos Programa III General'!B22</f>
        <v>Salón Multiuso en Urbanización La Perla del Distrito de San Rafael</v>
      </c>
      <c r="H37" s="256">
        <f>+'[7]Egresos Programa III General'!C22</f>
        <v>15000000</v>
      </c>
      <c r="I37" s="236"/>
      <c r="J37" s="236"/>
    </row>
    <row r="38" spans="1:10" ht="30" customHeight="1">
      <c r="A38" s="104"/>
      <c r="B38" s="105"/>
      <c r="C38" s="114"/>
      <c r="D38" s="105" t="s">
        <v>396</v>
      </c>
      <c r="E38" s="105" t="s">
        <v>390</v>
      </c>
      <c r="F38" s="105">
        <v>11</v>
      </c>
      <c r="G38" s="211" t="str">
        <f>+'[7]Egresos Programa III General'!B23</f>
        <v>Construcción Salón Comunal Urbanización Las Abras Distrito de San Rafael</v>
      </c>
      <c r="H38" s="256">
        <f>+'[7]Egresos Programa III General'!C23</f>
        <v>20000000</v>
      </c>
      <c r="I38" s="236"/>
      <c r="J38" s="236"/>
    </row>
    <row r="39" spans="1:10" ht="30" customHeight="1">
      <c r="A39" s="104"/>
      <c r="B39" s="105"/>
      <c r="C39" s="114"/>
      <c r="D39" s="105" t="s">
        <v>396</v>
      </c>
      <c r="E39" s="105" t="s">
        <v>390</v>
      </c>
      <c r="F39" s="105">
        <v>12</v>
      </c>
      <c r="G39" s="211" t="str">
        <f>+'[7]Egresos Programa III General'!B24</f>
        <v>Construcción Salón multiuso Urbanización San Gerardo, Distrito de San Rafael</v>
      </c>
      <c r="H39" s="256">
        <f>+'[7]Egresos Programa III General'!C24</f>
        <v>20000000</v>
      </c>
      <c r="I39" s="236"/>
      <c r="J39" s="236"/>
    </row>
    <row r="40" spans="1:10" ht="30" customHeight="1">
      <c r="A40" s="104"/>
      <c r="B40" s="105"/>
      <c r="C40" s="114"/>
      <c r="D40" s="105" t="s">
        <v>396</v>
      </c>
      <c r="E40" s="105" t="s">
        <v>390</v>
      </c>
      <c r="F40" s="105">
        <v>13</v>
      </c>
      <c r="G40" s="211" t="str">
        <f>+'[7]Egresos Programa III General'!B25</f>
        <v>Construcción Centro de Cuidados Paliativos de San Rafael de Alajuela</v>
      </c>
      <c r="H40" s="256">
        <f>+'[7]Egresos Programa III General'!C25</f>
        <v>20000000</v>
      </c>
      <c r="I40" s="236"/>
      <c r="J40" s="236"/>
    </row>
    <row r="41" spans="1:12" ht="12.75">
      <c r="A41" s="104"/>
      <c r="B41" s="105"/>
      <c r="C41" s="114"/>
      <c r="D41" s="105" t="s">
        <v>396</v>
      </c>
      <c r="E41" s="105" t="s">
        <v>397</v>
      </c>
      <c r="F41" s="105" t="s">
        <v>390</v>
      </c>
      <c r="G41" s="113" t="s">
        <v>398</v>
      </c>
      <c r="H41" s="256">
        <f>+'[7]Egresos Programa III General'!C41-'Origen y Aplicación (2)'!H302-H207-H81-H318</f>
        <v>577038683.6897733</v>
      </c>
      <c r="I41" s="236"/>
      <c r="J41" s="236">
        <f>+H41+H302+H81+H318</f>
        <v>811186286.4902471</v>
      </c>
      <c r="K41" s="407">
        <f>H318+H41+H302+H81</f>
        <v>811186286.4902471</v>
      </c>
      <c r="L41" s="102" t="e">
        <f>+H70+H71+H72+H98+H112+H115+H155+H209+#REF!+#REF!+H252+H285+H286+H287+H294+H61</f>
        <v>#REF!</v>
      </c>
    </row>
    <row r="42" spans="1:11" ht="12.75" hidden="1">
      <c r="A42" s="104"/>
      <c r="B42" s="105"/>
      <c r="C42" s="114"/>
      <c r="D42" s="105" t="s">
        <v>396</v>
      </c>
      <c r="E42" s="105" t="s">
        <v>397</v>
      </c>
      <c r="F42" s="105" t="s">
        <v>397</v>
      </c>
      <c r="G42" s="113" t="s">
        <v>487</v>
      </c>
      <c r="H42" s="256">
        <f>+'[7]Egresos Programa III General'!C42-H303</f>
        <v>0</v>
      </c>
      <c r="I42" s="236"/>
      <c r="J42" s="236"/>
      <c r="K42" s="403" t="e">
        <f>+H42+H94+H98+H108+H209+#REF!+H251+H265+H287</f>
        <v>#REF!</v>
      </c>
    </row>
    <row r="43" spans="1:12" ht="12.75">
      <c r="A43" s="104"/>
      <c r="B43" s="105"/>
      <c r="C43" s="114"/>
      <c r="D43" s="105" t="s">
        <v>396</v>
      </c>
      <c r="E43" s="105" t="s">
        <v>397</v>
      </c>
      <c r="F43" s="105" t="s">
        <v>399</v>
      </c>
      <c r="G43" s="113" t="s">
        <v>486</v>
      </c>
      <c r="H43" s="256">
        <f>+'[7]Egresos Programa III General'!C43-H304-H333</f>
        <v>215894110.1400001</v>
      </c>
      <c r="I43" s="236"/>
      <c r="J43" s="236">
        <f>+H43+H124</f>
        <v>215894110.1400001</v>
      </c>
      <c r="K43" s="403">
        <f>+H43+H81+H86+H304+H318+H258</f>
        <v>1237007112.8400002</v>
      </c>
      <c r="L43" s="102" t="e">
        <f>+H43+H41+K63+#REF!</f>
        <v>#VALUE!</v>
      </c>
    </row>
    <row r="44" ht="12.75" hidden="1"/>
    <row r="45" spans="1:10" ht="12.75" hidden="1">
      <c r="A45" s="104"/>
      <c r="B45" s="105"/>
      <c r="C45" s="114"/>
      <c r="D45" s="105" t="s">
        <v>396</v>
      </c>
      <c r="E45" s="105" t="s">
        <v>397</v>
      </c>
      <c r="F45" s="105" t="s">
        <v>420</v>
      </c>
      <c r="G45" s="113" t="str">
        <f>+'[7]Egresos Programa III General'!B45</f>
        <v>Asfaltado de Urbanización San Gerardo En San Rafael</v>
      </c>
      <c r="H45" s="259">
        <f>+'[7]Egresos Programa III General'!C45</f>
        <v>0</v>
      </c>
      <c r="I45" s="236"/>
      <c r="J45" s="236"/>
    </row>
    <row r="46" spans="1:10" ht="12.75" hidden="1">
      <c r="A46" s="104"/>
      <c r="B46" s="179"/>
      <c r="C46" s="114"/>
      <c r="D46" s="105" t="s">
        <v>396</v>
      </c>
      <c r="E46" s="105" t="s">
        <v>397</v>
      </c>
      <c r="F46" s="105" t="s">
        <v>405</v>
      </c>
      <c r="G46" s="261" t="str">
        <f>+'[7]Egresos Programa III General'!B46</f>
        <v>Carpeta Asfaltica en Urbanización las Melisas</v>
      </c>
      <c r="H46" s="259">
        <f>+'[7]Egresos Programa III General'!C46</f>
        <v>0</v>
      </c>
      <c r="I46" s="244"/>
      <c r="J46" s="244"/>
    </row>
    <row r="47" spans="1:11" ht="27" customHeight="1">
      <c r="A47" s="104"/>
      <c r="B47" s="105"/>
      <c r="C47" s="114"/>
      <c r="D47" s="105" t="s">
        <v>396</v>
      </c>
      <c r="E47" s="105" t="s">
        <v>405</v>
      </c>
      <c r="F47" s="105" t="s">
        <v>390</v>
      </c>
      <c r="G47" s="113" t="s">
        <v>484</v>
      </c>
      <c r="H47" s="256">
        <f>526537267.33+7000000</f>
        <v>533537267.33</v>
      </c>
      <c r="I47" s="236"/>
      <c r="J47" s="236"/>
      <c r="K47" s="403">
        <f>+H47+H87+H105+H287+H335</f>
        <v>1466188106.6706908</v>
      </c>
    </row>
    <row r="48" spans="1:10" ht="12.75">
      <c r="A48" s="104"/>
      <c r="B48" s="105"/>
      <c r="C48" s="114"/>
      <c r="D48" s="105" t="s">
        <v>396</v>
      </c>
      <c r="E48" s="105" t="s">
        <v>405</v>
      </c>
      <c r="F48" s="105" t="s">
        <v>399</v>
      </c>
      <c r="G48" s="417" t="str">
        <f>+'[7]Egresos Programa III General'!B99</f>
        <v>Plan de Dearrollo Informático</v>
      </c>
      <c r="H48" s="259">
        <f>+'[7]Egresos Programa III General'!C99</f>
        <v>100000000</v>
      </c>
      <c r="I48" s="236"/>
      <c r="J48" s="236"/>
    </row>
    <row r="49" spans="1:10" ht="12.75">
      <c r="A49" s="104"/>
      <c r="B49" s="105"/>
      <c r="C49" s="114"/>
      <c r="D49" s="105" t="s">
        <v>396</v>
      </c>
      <c r="E49" s="105" t="s">
        <v>405</v>
      </c>
      <c r="F49" s="105" t="s">
        <v>420</v>
      </c>
      <c r="G49" s="417" t="str">
        <f>+'[7]Egresos Programa III General'!B101</f>
        <v>Alajuela Ciudad Segura</v>
      </c>
      <c r="H49" s="259">
        <f>+'[7]Egresos Programa III General'!C101-H336</f>
        <v>10000000</v>
      </c>
      <c r="I49" s="236"/>
      <c r="J49" s="236"/>
    </row>
    <row r="50" spans="1:11" ht="12.75">
      <c r="A50" s="104"/>
      <c r="B50" s="105"/>
      <c r="C50" s="114"/>
      <c r="D50" s="105" t="s">
        <v>396</v>
      </c>
      <c r="E50" s="105" t="s">
        <v>405</v>
      </c>
      <c r="F50" s="105" t="s">
        <v>405</v>
      </c>
      <c r="G50" s="211" t="str">
        <f>+'[7]Egresos Programa III General'!B102</f>
        <v>Plan Mercadeo Turistico de Alajuela</v>
      </c>
      <c r="H50" s="147">
        <f>+'[7]Egresos Programa III General'!C102</f>
        <v>30000000</v>
      </c>
      <c r="I50" s="244"/>
      <c r="J50" s="244"/>
      <c r="K50" s="403">
        <f>+H50+H107+H75</f>
        <v>110253318.53106</v>
      </c>
    </row>
    <row r="51" spans="1:11" ht="25.5">
      <c r="A51" s="104"/>
      <c r="B51" s="105"/>
      <c r="C51" s="114"/>
      <c r="D51" s="105" t="s">
        <v>396</v>
      </c>
      <c r="E51" s="105" t="s">
        <v>405</v>
      </c>
      <c r="F51" s="105" t="s">
        <v>400</v>
      </c>
      <c r="G51" s="211" t="str">
        <f>+'[7]Egresos Programa III General'!B103</f>
        <v>Instalación de juegos infantiles de Urbanización la Melisas</v>
      </c>
      <c r="H51" s="259">
        <f>+'[7]Egresos Programa III General'!C103</f>
        <v>10000000</v>
      </c>
      <c r="I51" s="236"/>
      <c r="J51" s="236"/>
      <c r="K51" s="403" t="e">
        <f>+H51+#REF!</f>
        <v>#REF!</v>
      </c>
    </row>
    <row r="52" spans="1:10" ht="12.75">
      <c r="A52" s="104"/>
      <c r="B52" s="105"/>
      <c r="C52" s="114"/>
      <c r="D52" s="105" t="s">
        <v>396</v>
      </c>
      <c r="E52" s="105" t="s">
        <v>405</v>
      </c>
      <c r="F52" s="105">
        <v>10</v>
      </c>
      <c r="G52" s="113" t="str">
        <f>+'[7]Egresos Programa III General'!B106</f>
        <v>Mejora áreas recreativas Urbanización Silvia Eugenia</v>
      </c>
      <c r="H52" s="259">
        <f>+'[7]Egresos Programa III General'!C106</f>
        <v>20000000</v>
      </c>
      <c r="I52" s="236"/>
      <c r="J52" s="236"/>
    </row>
    <row r="53" spans="1:10" ht="25.5">
      <c r="A53" s="104"/>
      <c r="B53" s="105"/>
      <c r="C53" s="114"/>
      <c r="D53" s="105" t="s">
        <v>396</v>
      </c>
      <c r="E53" s="105" t="s">
        <v>405</v>
      </c>
      <c r="F53" s="105">
        <v>11</v>
      </c>
      <c r="G53" s="211" t="str">
        <f>+'[7]Egresos Programa III General'!B107</f>
        <v>Compra de Terreno para Salón Comunal Río Segundo</v>
      </c>
      <c r="H53" s="259">
        <f>+'[7]Egresos Programa III General'!C107-H349</f>
        <v>50000000</v>
      </c>
      <c r="I53" s="236"/>
      <c r="J53" s="236"/>
    </row>
    <row r="54" spans="1:10" ht="25.5">
      <c r="A54" s="104"/>
      <c r="B54" s="105"/>
      <c r="C54" s="114"/>
      <c r="D54" s="105" t="s">
        <v>396</v>
      </c>
      <c r="E54" s="105" t="s">
        <v>405</v>
      </c>
      <c r="F54" s="105">
        <v>12</v>
      </c>
      <c r="G54" s="211" t="str">
        <f>+'[7]Egresos Programa III General'!B108</f>
        <v>Equipamiento parque infantil urbanización Sacramento</v>
      </c>
      <c r="H54" s="259">
        <f>+'[7]Egresos Programa III General'!C108</f>
        <v>10000000</v>
      </c>
      <c r="I54" s="236"/>
      <c r="J54" s="236"/>
    </row>
    <row r="55" spans="1:10" ht="25.5">
      <c r="A55" s="104"/>
      <c r="B55" s="105"/>
      <c r="C55" s="114"/>
      <c r="D55" s="105" t="s">
        <v>396</v>
      </c>
      <c r="E55" s="105" t="s">
        <v>405</v>
      </c>
      <c r="F55" s="105">
        <v>13</v>
      </c>
      <c r="G55" s="211" t="str">
        <f>+'[7]Egresos Programa III General'!B109</f>
        <v> Mejoras en la cancha multiuso de la Urbanización María Auxiliadora, Distrito de San Rafael</v>
      </c>
      <c r="H55" s="259">
        <f>+'[7]Egresos Programa III General'!C109</f>
        <v>10000000</v>
      </c>
      <c r="I55" s="236"/>
      <c r="J55" s="236"/>
    </row>
    <row r="56" spans="1:10" ht="25.5">
      <c r="A56" s="104"/>
      <c r="B56" s="105"/>
      <c r="C56" s="114"/>
      <c r="D56" s="105" t="s">
        <v>396</v>
      </c>
      <c r="E56" s="105" t="s">
        <v>405</v>
      </c>
      <c r="F56" s="105">
        <v>13</v>
      </c>
      <c r="G56" s="211" t="str">
        <f>+'[7]Egresos Programa III General'!B110</f>
        <v> Mejoramiento plaza de deportes INVU Las Cañas de Desamparado</v>
      </c>
      <c r="H56" s="259">
        <f>+'[7]Egresos Programa III General'!C110</f>
        <v>22000000</v>
      </c>
      <c r="I56" s="236"/>
      <c r="J56" s="236">
        <f>+H56+H81</f>
        <v>26500000</v>
      </c>
    </row>
    <row r="57" spans="1:10" ht="27" customHeight="1">
      <c r="A57" s="104"/>
      <c r="B57" s="105"/>
      <c r="C57" s="114"/>
      <c r="D57" s="105" t="s">
        <v>396</v>
      </c>
      <c r="E57" s="105" t="s">
        <v>405</v>
      </c>
      <c r="F57" s="105">
        <v>15</v>
      </c>
      <c r="G57" s="211" t="str">
        <f>+'[7]Egresos Programa III General'!B111</f>
        <v>Mejoras infraestructura en cancha de futbol de la Urbanización Gregorio José Ramírez, Montecillos</v>
      </c>
      <c r="H57" s="259">
        <f>+'[7]Egresos Programa III General'!C111</f>
        <v>22547438.61</v>
      </c>
      <c r="I57" s="236"/>
      <c r="J57" s="236"/>
    </row>
    <row r="58" spans="1:10" ht="12.75" hidden="1">
      <c r="A58" s="104"/>
      <c r="B58" s="105"/>
      <c r="C58" s="114"/>
      <c r="D58" s="105" t="s">
        <v>396</v>
      </c>
      <c r="E58" s="105" t="s">
        <v>405</v>
      </c>
      <c r="F58" s="105">
        <v>16</v>
      </c>
      <c r="G58" s="211" t="str">
        <f>+'[7]Egresos Programa III General'!B112</f>
        <v>III-06-16</v>
      </c>
      <c r="H58" s="259">
        <f>+'[7]Egresos Programa III General'!C112</f>
        <v>0</v>
      </c>
      <c r="I58" s="236"/>
      <c r="J58" s="236"/>
    </row>
    <row r="59" spans="1:10" ht="12.75" hidden="1">
      <c r="A59" s="104"/>
      <c r="B59" s="105"/>
      <c r="C59" s="114"/>
      <c r="D59" s="105" t="s">
        <v>396</v>
      </c>
      <c r="E59" s="105" t="s">
        <v>405</v>
      </c>
      <c r="F59" s="105">
        <v>17</v>
      </c>
      <c r="G59" s="211" t="str">
        <f>+'[7]Egresos Programa III General'!B113</f>
        <v>III-06-17</v>
      </c>
      <c r="H59" s="147">
        <f>+'[7]Egresos Programa III General'!C113</f>
        <v>0</v>
      </c>
      <c r="I59" s="244"/>
      <c r="J59" s="244"/>
    </row>
    <row r="60" spans="1:10" ht="25.5">
      <c r="A60" s="104"/>
      <c r="B60" s="105"/>
      <c r="C60" s="114"/>
      <c r="D60" s="105" t="s">
        <v>396</v>
      </c>
      <c r="E60" s="105" t="s">
        <v>400</v>
      </c>
      <c r="F60" s="105"/>
      <c r="G60" s="211" t="s">
        <v>731</v>
      </c>
      <c r="H60" s="259">
        <v>240890710.26</v>
      </c>
      <c r="I60" s="236"/>
      <c r="J60" s="236">
        <f>+H60+H350</f>
        <v>383890710.26</v>
      </c>
    </row>
    <row r="61" spans="1:12" s="119" customFormat="1" ht="12.75">
      <c r="A61" s="117"/>
      <c r="B61" s="112"/>
      <c r="C61" s="114"/>
      <c r="D61" s="105" t="s">
        <v>396</v>
      </c>
      <c r="E61" s="105" t="s">
        <v>400</v>
      </c>
      <c r="F61" s="105"/>
      <c r="G61" s="113" t="s">
        <v>401</v>
      </c>
      <c r="H61" s="259">
        <f>1114460050.37+309500000-H76-H98-H115-H209-H252-H267-H258-H351-H286+60000000</f>
        <v>794026992.7999997</v>
      </c>
      <c r="I61" s="236"/>
      <c r="J61" s="236">
        <f>+H61+H351</f>
        <v>1107526992.7999997</v>
      </c>
      <c r="K61" s="408" t="e">
        <f>+H61+H60+H62+H114+H292+H306+H75+H115</f>
        <v>#VALUE!</v>
      </c>
      <c r="L61" s="118"/>
    </row>
    <row r="62" spans="1:12" s="119" customFormat="1" ht="13.5" thickBot="1">
      <c r="A62" s="106"/>
      <c r="B62" s="107"/>
      <c r="C62" s="175"/>
      <c r="D62" s="174" t="s">
        <v>396</v>
      </c>
      <c r="E62" s="174" t="s">
        <v>400</v>
      </c>
      <c r="F62" s="174"/>
      <c r="G62" s="176" t="s">
        <v>632</v>
      </c>
      <c r="H62" s="276" t="s">
        <v>146</v>
      </c>
      <c r="I62" s="236"/>
      <c r="J62" s="236">
        <f>SUM(J60:J61)</f>
        <v>1491417703.0599997</v>
      </c>
      <c r="K62" s="408" t="e">
        <f>+J62-H62</f>
        <v>#VALUE!</v>
      </c>
      <c r="L62" s="118" t="e">
        <f>+K62-75000000</f>
        <v>#VALUE!</v>
      </c>
    </row>
    <row r="63" spans="1:12" s="125" customFormat="1" ht="13.5" thickBot="1">
      <c r="A63" s="120" t="s">
        <v>402</v>
      </c>
      <c r="B63" s="157"/>
      <c r="C63" s="121">
        <f>SUM(C9)</f>
        <v>6300000000</v>
      </c>
      <c r="D63" s="122"/>
      <c r="E63" s="122"/>
      <c r="F63" s="122"/>
      <c r="G63" s="123"/>
      <c r="H63" s="333">
        <f>SUM(H10:H62)</f>
        <v>6299999999.999773</v>
      </c>
      <c r="I63" s="237">
        <f>+C63-H63</f>
        <v>0.0002269744873046875</v>
      </c>
      <c r="J63" s="237"/>
      <c r="K63" s="409" t="e">
        <f>+H62+H88+H233</f>
        <v>#VALUE!</v>
      </c>
      <c r="L63" s="124">
        <f>+C63-H63</f>
        <v>0.0002269744873046875</v>
      </c>
    </row>
    <row r="64" spans="1:10" ht="13.5" thickBot="1">
      <c r="A64" s="277"/>
      <c r="B64" s="234"/>
      <c r="C64" s="235"/>
      <c r="D64" s="101"/>
      <c r="E64" s="101"/>
      <c r="F64" s="101"/>
      <c r="G64" s="171"/>
      <c r="H64" s="172"/>
      <c r="I64" s="180"/>
      <c r="J64" s="180"/>
    </row>
    <row r="65" spans="1:10" ht="13.5" hidden="1" thickBot="1">
      <c r="A65" s="111" t="str">
        <f>+'[7]Clasific. Económica de Ingresos'!A17</f>
        <v>1.1.2.2.02.00.0.0.000</v>
      </c>
      <c r="B65" s="159" t="s">
        <v>403</v>
      </c>
      <c r="C65" s="114">
        <f>SUM('[7]Clasific. Económica de Ingresos'!C17)</f>
        <v>0</v>
      </c>
      <c r="D65" s="105"/>
      <c r="E65" s="105"/>
      <c r="F65" s="105"/>
      <c r="G65" s="113"/>
      <c r="H65" s="147"/>
      <c r="I65" s="180"/>
      <c r="J65" s="180"/>
    </row>
    <row r="66" spans="1:10" ht="13.5" hidden="1" thickBot="1">
      <c r="A66" s="127"/>
      <c r="B66" s="238"/>
      <c r="C66" s="128"/>
      <c r="D66" s="105" t="s">
        <v>389</v>
      </c>
      <c r="E66" s="105" t="s">
        <v>390</v>
      </c>
      <c r="F66" s="105" t="s">
        <v>391</v>
      </c>
      <c r="G66" s="113" t="s">
        <v>392</v>
      </c>
      <c r="H66" s="259">
        <v>0</v>
      </c>
      <c r="I66" s="239"/>
      <c r="J66" s="239"/>
    </row>
    <row r="67" spans="1:11" ht="13.5" hidden="1" thickBot="1">
      <c r="A67" s="117"/>
      <c r="B67" s="112"/>
      <c r="C67" s="114"/>
      <c r="D67" s="105" t="s">
        <v>389</v>
      </c>
      <c r="E67" s="105" t="s">
        <v>393</v>
      </c>
      <c r="F67" s="105" t="s">
        <v>391</v>
      </c>
      <c r="G67" s="113" t="str">
        <f>+'[7]ProgramaI'!B24</f>
        <v>Aporte Junta Admva.Registro Nac. Ley 7509y 7729</v>
      </c>
      <c r="H67" s="259">
        <v>0</v>
      </c>
      <c r="I67" s="239"/>
      <c r="J67" s="239"/>
      <c r="K67" s="403">
        <f>+H42+H76+H86+H104+H209+H30+H283</f>
        <v>608003535.78</v>
      </c>
    </row>
    <row r="68" spans="1:10" ht="13.5" hidden="1" thickBot="1">
      <c r="A68" s="117"/>
      <c r="B68" s="112"/>
      <c r="C68" s="114"/>
      <c r="D68" s="105" t="s">
        <v>389</v>
      </c>
      <c r="E68" s="105" t="s">
        <v>393</v>
      </c>
      <c r="F68" s="105" t="s">
        <v>391</v>
      </c>
      <c r="G68" s="113" t="str">
        <f>+'[7]ProgramaI'!B28</f>
        <v>Aporte a IFAM, Ley Nº 7509 </v>
      </c>
      <c r="H68" s="259">
        <v>0</v>
      </c>
      <c r="I68" s="239"/>
      <c r="J68" s="239"/>
    </row>
    <row r="69" spans="1:10" ht="13.5" hidden="1" thickBot="1">
      <c r="A69" s="117"/>
      <c r="B69" s="112"/>
      <c r="C69" s="114"/>
      <c r="D69" s="105" t="s">
        <v>389</v>
      </c>
      <c r="E69" s="105" t="s">
        <v>393</v>
      </c>
      <c r="F69" s="105" t="s">
        <v>391</v>
      </c>
      <c r="G69" s="113" t="str">
        <f>+'[7]ProgramaI'!B29</f>
        <v>Juntas de Educación, Ley 7509 y 7729</v>
      </c>
      <c r="H69" s="259">
        <v>0</v>
      </c>
      <c r="I69" s="239"/>
      <c r="J69" s="239"/>
    </row>
    <row r="70" spans="1:10" ht="13.5" hidden="1" thickBot="1">
      <c r="A70" s="117"/>
      <c r="B70" s="112"/>
      <c r="C70" s="114"/>
      <c r="D70" s="105" t="s">
        <v>389</v>
      </c>
      <c r="E70" s="105" t="s">
        <v>393</v>
      </c>
      <c r="F70" s="130" t="s">
        <v>146</v>
      </c>
      <c r="G70" s="113" t="str">
        <f>+'[7]Programa III'!B33</f>
        <v>IFAM Ley 7509</v>
      </c>
      <c r="H70" s="259">
        <v>0</v>
      </c>
      <c r="I70" s="239"/>
      <c r="J70" s="239"/>
    </row>
    <row r="71" spans="1:10" ht="13.5" hidden="1" thickBot="1">
      <c r="A71" s="117"/>
      <c r="B71" s="112"/>
      <c r="C71" s="114"/>
      <c r="D71" s="105" t="s">
        <v>389</v>
      </c>
      <c r="E71" s="105" t="s">
        <v>393</v>
      </c>
      <c r="F71" s="105" t="s">
        <v>391</v>
      </c>
      <c r="G71" s="113" t="str">
        <f>+'[7]Programa III'!B36</f>
        <v>Fondo de Desarrollo Municipal Ley 7509</v>
      </c>
      <c r="H71" s="259">
        <v>0</v>
      </c>
      <c r="I71" s="239"/>
      <c r="J71" s="239"/>
    </row>
    <row r="72" spans="1:12" s="119" customFormat="1" ht="13.5" hidden="1" thickBot="1">
      <c r="A72" s="117"/>
      <c r="B72" s="112"/>
      <c r="C72" s="114"/>
      <c r="D72" s="105" t="s">
        <v>396</v>
      </c>
      <c r="E72" s="105" t="s">
        <v>400</v>
      </c>
      <c r="F72" s="105"/>
      <c r="G72" s="113" t="s">
        <v>476</v>
      </c>
      <c r="H72" s="259">
        <v>0</v>
      </c>
      <c r="I72" s="239"/>
      <c r="J72" s="239"/>
      <c r="K72" s="408"/>
      <c r="L72" s="118"/>
    </row>
    <row r="73" spans="1:12" s="125" customFormat="1" ht="13.5" hidden="1" thickBot="1">
      <c r="A73" s="120" t="s">
        <v>402</v>
      </c>
      <c r="B73" s="157"/>
      <c r="C73" s="121">
        <f>SUM(C65:C72)</f>
        <v>0</v>
      </c>
      <c r="D73" s="122"/>
      <c r="E73" s="122"/>
      <c r="F73" s="122"/>
      <c r="G73" s="123"/>
      <c r="H73" s="131">
        <f>SUM(H66:H72)</f>
        <v>0</v>
      </c>
      <c r="I73" s="237">
        <f>+C73-H73</f>
        <v>0</v>
      </c>
      <c r="J73" s="240"/>
      <c r="K73" s="409">
        <f>+C73-H73</f>
        <v>0</v>
      </c>
      <c r="L73" s="124">
        <f>+C73-H73</f>
        <v>0</v>
      </c>
    </row>
    <row r="74" spans="1:12" s="137" customFormat="1" ht="38.25">
      <c r="A74" s="341" t="str">
        <f>+'[7]Clasific. Económica de Ingresos'!A23</f>
        <v>1.1.3.2.01.02.0.0.001</v>
      </c>
      <c r="B74" s="342" t="s">
        <v>404</v>
      </c>
      <c r="C74" s="343">
        <f>SUM('[7]Clasific. Económica de Ingresos'!C23)</f>
        <v>135000000</v>
      </c>
      <c r="D74" s="274"/>
      <c r="E74" s="274"/>
      <c r="F74" s="274"/>
      <c r="G74" s="282"/>
      <c r="H74" s="290"/>
      <c r="I74" s="241"/>
      <c r="J74" s="241"/>
      <c r="K74" s="407"/>
      <c r="L74" s="136"/>
    </row>
    <row r="75" spans="1:12" s="137" customFormat="1" ht="12.75">
      <c r="A75" s="132"/>
      <c r="B75" s="164"/>
      <c r="C75" s="40"/>
      <c r="D75" s="133" t="s">
        <v>389</v>
      </c>
      <c r="E75" s="133" t="s">
        <v>393</v>
      </c>
      <c r="F75" s="133"/>
      <c r="G75" s="134" t="s">
        <v>641</v>
      </c>
      <c r="H75" s="135">
        <f>+'[7]ProgramaI'!E33</f>
        <v>80253318.53106</v>
      </c>
      <c r="I75" s="241"/>
      <c r="J75" s="241"/>
      <c r="K75" s="407"/>
      <c r="L75" s="136"/>
    </row>
    <row r="76" spans="1:12" s="137" customFormat="1" ht="13.5" thickBot="1">
      <c r="A76" s="132"/>
      <c r="B76" s="151"/>
      <c r="C76" s="40"/>
      <c r="D76" s="133" t="s">
        <v>396</v>
      </c>
      <c r="E76" s="133" t="s">
        <v>400</v>
      </c>
      <c r="F76" s="150"/>
      <c r="G76" s="134" t="s">
        <v>401</v>
      </c>
      <c r="H76" s="135">
        <v>54746681.47</v>
      </c>
      <c r="I76" s="241"/>
      <c r="J76" s="241" t="e">
        <f>+H76+H86+H104+H209+H30+H265+H283+#REF!</f>
        <v>#REF!</v>
      </c>
      <c r="K76" s="407"/>
      <c r="L76" s="136"/>
    </row>
    <row r="77" spans="1:12" s="137" customFormat="1" ht="13.5" hidden="1" thickBot="1">
      <c r="A77" s="284"/>
      <c r="B77" s="286"/>
      <c r="C77" s="285"/>
      <c r="D77" s="286" t="s">
        <v>396</v>
      </c>
      <c r="E77" s="286" t="s">
        <v>405</v>
      </c>
      <c r="F77" s="286" t="s">
        <v>405</v>
      </c>
      <c r="G77" s="288" t="s">
        <v>477</v>
      </c>
      <c r="H77" s="334">
        <v>0</v>
      </c>
      <c r="I77" s="242"/>
      <c r="J77" s="242"/>
      <c r="K77" s="407"/>
      <c r="L77" s="136"/>
    </row>
    <row r="78" spans="1:12" s="144" customFormat="1" ht="13.5" thickBot="1">
      <c r="A78" s="279" t="s">
        <v>402</v>
      </c>
      <c r="B78" s="280"/>
      <c r="C78" s="281">
        <f>SUM(C74:C74)</f>
        <v>135000000</v>
      </c>
      <c r="D78" s="274"/>
      <c r="E78" s="274"/>
      <c r="F78" s="274"/>
      <c r="G78" s="282"/>
      <c r="H78" s="283">
        <f>SUM(H75:H77)</f>
        <v>135000000.00106</v>
      </c>
      <c r="I78" s="243">
        <f>+C78-H78</f>
        <v>-0.0010600090026855469</v>
      </c>
      <c r="J78" s="8"/>
      <c r="K78" s="410">
        <f>+H75+H98+H116</f>
        <v>81003318.53106</v>
      </c>
      <c r="L78" s="143"/>
    </row>
    <row r="79" spans="1:10" ht="12.75">
      <c r="A79" s="168"/>
      <c r="B79" s="169"/>
      <c r="C79" s="170"/>
      <c r="D79" s="101"/>
      <c r="E79" s="101"/>
      <c r="F79" s="101"/>
      <c r="G79" s="171"/>
      <c r="H79" s="270"/>
      <c r="I79" s="244"/>
      <c r="J79" s="244"/>
    </row>
    <row r="80" spans="1:10" ht="12.75">
      <c r="A80" s="104" t="str">
        <f>+'[7]Clasific. Económica de Ingresos'!A25</f>
        <v>1.1.3.2.01.04.0.0.000</v>
      </c>
      <c r="B80" s="156" t="s">
        <v>406</v>
      </c>
      <c r="C80" s="114">
        <f>+'[7]Clasific. Económica de Ingresos'!C24</f>
        <v>4500000</v>
      </c>
      <c r="D80" s="105"/>
      <c r="E80" s="105"/>
      <c r="F80" s="105"/>
      <c r="G80" s="113"/>
      <c r="H80" s="256"/>
      <c r="I80" s="244"/>
      <c r="J80" s="244"/>
    </row>
    <row r="81" spans="1:11" ht="13.5" thickBot="1">
      <c r="A81" s="104"/>
      <c r="B81" s="105"/>
      <c r="C81" s="114"/>
      <c r="D81" s="105" t="s">
        <v>396</v>
      </c>
      <c r="E81" s="105" t="s">
        <v>397</v>
      </c>
      <c r="F81" s="105" t="s">
        <v>390</v>
      </c>
      <c r="G81" s="113" t="s">
        <v>398</v>
      </c>
      <c r="H81" s="259">
        <v>4500000</v>
      </c>
      <c r="I81" s="239"/>
      <c r="J81" s="239"/>
      <c r="K81" s="103"/>
    </row>
    <row r="82" spans="1:12" s="125" customFormat="1" ht="13.5" thickBot="1">
      <c r="A82" s="120" t="s">
        <v>402</v>
      </c>
      <c r="B82" s="157"/>
      <c r="C82" s="121">
        <f>SUM(C80:C81)</f>
        <v>4500000</v>
      </c>
      <c r="D82" s="122"/>
      <c r="E82" s="122"/>
      <c r="F82" s="122"/>
      <c r="G82" s="123"/>
      <c r="H82" s="336">
        <f>SUM(H81:H81)</f>
        <v>4500000</v>
      </c>
      <c r="I82" s="237">
        <f>+C82-H82</f>
        <v>0</v>
      </c>
      <c r="J82" s="240"/>
      <c r="K82" s="409"/>
      <c r="L82" s="124"/>
    </row>
    <row r="83" spans="1:12" s="137" customFormat="1" ht="12.75">
      <c r="A83" s="132"/>
      <c r="B83" s="133"/>
      <c r="C83" s="40"/>
      <c r="D83" s="133"/>
      <c r="E83" s="133"/>
      <c r="F83" s="133"/>
      <c r="G83" s="151"/>
      <c r="H83" s="138"/>
      <c r="I83" s="242"/>
      <c r="J83" s="242"/>
      <c r="K83" s="407"/>
      <c r="L83" s="136"/>
    </row>
    <row r="84" spans="1:12" s="137" customFormat="1" ht="12.75">
      <c r="A84" s="132" t="str">
        <f>+'[7]Clasific. Económica de Ingresos'!A26</f>
        <v>1.1.3.2.01.05.0.0.000</v>
      </c>
      <c r="B84" s="164" t="s">
        <v>407</v>
      </c>
      <c r="C84" s="40">
        <f>SUM('[7]Clasific. Económica de Ingresos'!C26)</f>
        <v>600000000</v>
      </c>
      <c r="D84" s="133"/>
      <c r="E84" s="133"/>
      <c r="F84" s="133"/>
      <c r="G84" s="134"/>
      <c r="H84" s="135"/>
      <c r="I84" s="241"/>
      <c r="J84" s="241"/>
      <c r="K84" s="407"/>
      <c r="L84" s="136"/>
    </row>
    <row r="85" spans="1:12" s="137" customFormat="1" ht="13.5" thickBot="1">
      <c r="A85" s="132"/>
      <c r="B85" s="164"/>
      <c r="C85" s="40"/>
      <c r="D85" s="133" t="s">
        <v>389</v>
      </c>
      <c r="E85" s="133" t="s">
        <v>390</v>
      </c>
      <c r="F85" s="150" t="s">
        <v>391</v>
      </c>
      <c r="G85" s="134" t="s">
        <v>392</v>
      </c>
      <c r="H85" s="135">
        <v>600000000</v>
      </c>
      <c r="I85" s="241"/>
      <c r="J85" s="241"/>
      <c r="K85" s="407"/>
      <c r="L85" s="136"/>
    </row>
    <row r="86" spans="1:12" s="137" customFormat="1" ht="13.5" hidden="1" thickBot="1">
      <c r="A86" s="132"/>
      <c r="B86" s="151"/>
      <c r="C86" s="40"/>
      <c r="D86" s="133" t="s">
        <v>396</v>
      </c>
      <c r="E86" s="133" t="s">
        <v>397</v>
      </c>
      <c r="F86" s="133" t="s">
        <v>399</v>
      </c>
      <c r="G86" s="134" t="s">
        <v>547</v>
      </c>
      <c r="H86" s="135">
        <v>0</v>
      </c>
      <c r="I86" s="241"/>
      <c r="J86" s="241"/>
      <c r="K86" s="407"/>
      <c r="L86" s="136"/>
    </row>
    <row r="87" spans="1:12" s="137" customFormat="1" ht="15" customHeight="1" hidden="1">
      <c r="A87" s="132"/>
      <c r="B87" s="133"/>
      <c r="C87" s="40"/>
      <c r="D87" s="133" t="s">
        <v>396</v>
      </c>
      <c r="E87" s="133" t="s">
        <v>405</v>
      </c>
      <c r="F87" s="133" t="s">
        <v>390</v>
      </c>
      <c r="G87" s="151" t="s">
        <v>410</v>
      </c>
      <c r="H87" s="138">
        <v>0</v>
      </c>
      <c r="I87" s="242"/>
      <c r="J87" s="242"/>
      <c r="K87" s="407">
        <f>+H87+H238+H124+H266+H322+H47+H105</f>
        <v>1638188106.6706908</v>
      </c>
      <c r="L87" s="136"/>
    </row>
    <row r="88" spans="1:12" s="137" customFormat="1" ht="15" customHeight="1" hidden="1" thickBot="1">
      <c r="A88" s="284"/>
      <c r="B88" s="286"/>
      <c r="C88" s="285"/>
      <c r="D88" s="286" t="s">
        <v>396</v>
      </c>
      <c r="E88" s="286" t="s">
        <v>400</v>
      </c>
      <c r="F88" s="287"/>
      <c r="G88" s="134" t="s">
        <v>401</v>
      </c>
      <c r="H88" s="334">
        <v>0</v>
      </c>
      <c r="I88" s="242"/>
      <c r="J88" s="242"/>
      <c r="K88" s="407"/>
      <c r="L88" s="136"/>
    </row>
    <row r="89" spans="1:12" s="144" customFormat="1" ht="13.5" thickBot="1">
      <c r="A89" s="139" t="s">
        <v>402</v>
      </c>
      <c r="B89" s="155"/>
      <c r="C89" s="140">
        <f>SUM(C84:C84)</f>
        <v>600000000</v>
      </c>
      <c r="D89" s="48"/>
      <c r="E89" s="48"/>
      <c r="F89" s="48"/>
      <c r="G89" s="141"/>
      <c r="H89" s="142">
        <f>SUM(H85:H88)</f>
        <v>600000000</v>
      </c>
      <c r="I89" s="243">
        <f>+C89-H89</f>
        <v>0</v>
      </c>
      <c r="J89" s="8"/>
      <c r="K89" s="410">
        <f>+C89-H89</f>
        <v>0</v>
      </c>
      <c r="L89" s="143"/>
    </row>
    <row r="90" spans="1:12" s="137" customFormat="1" ht="12.75">
      <c r="A90" s="289"/>
      <c r="B90" s="282"/>
      <c r="C90" s="282"/>
      <c r="D90" s="274"/>
      <c r="E90" s="274"/>
      <c r="F90" s="274"/>
      <c r="G90" s="282"/>
      <c r="H90" s="290"/>
      <c r="I90" s="241"/>
      <c r="J90" s="241"/>
      <c r="K90" s="407"/>
      <c r="L90" s="136"/>
    </row>
    <row r="91" spans="1:12" s="137" customFormat="1" ht="26.25" customHeight="1">
      <c r="A91" s="132" t="str">
        <f>+'[7]Clasific. Económica de Ingresos'!A29</f>
        <v>1.1.3.2.02.09.0.0.000</v>
      </c>
      <c r="B91" s="151" t="s">
        <v>411</v>
      </c>
      <c r="C91" s="40">
        <f>SUM('[7]INGRESOS LIBRES DETALLE Nº17'!H128)</f>
        <v>150000000</v>
      </c>
      <c r="D91" s="133"/>
      <c r="E91" s="133"/>
      <c r="F91" s="133"/>
      <c r="G91" s="134"/>
      <c r="H91" s="135"/>
      <c r="I91" s="241"/>
      <c r="J91" s="241"/>
      <c r="K91" s="407"/>
      <c r="L91" s="136"/>
    </row>
    <row r="92" spans="1:12" s="137" customFormat="1" ht="12.75" customHeight="1" thickBot="1">
      <c r="A92" s="132"/>
      <c r="B92" s="133"/>
      <c r="C92" s="40"/>
      <c r="D92" s="133" t="s">
        <v>389</v>
      </c>
      <c r="E92" s="133" t="s">
        <v>390</v>
      </c>
      <c r="F92" s="150" t="s">
        <v>391</v>
      </c>
      <c r="G92" s="134" t="s">
        <v>392</v>
      </c>
      <c r="H92" s="135">
        <v>150000000</v>
      </c>
      <c r="I92" s="242"/>
      <c r="J92" s="242"/>
      <c r="K92" s="407">
        <f>+H92+H106</f>
        <v>294220440.23229253</v>
      </c>
      <c r="L92" s="136"/>
    </row>
    <row r="93" spans="1:12" s="137" customFormat="1" ht="13.5" hidden="1" thickBot="1">
      <c r="A93" s="132"/>
      <c r="B93" s="133"/>
      <c r="C93" s="40"/>
      <c r="D93" s="133" t="s">
        <v>389</v>
      </c>
      <c r="E93" s="133" t="s">
        <v>393</v>
      </c>
      <c r="F93" s="133"/>
      <c r="G93" s="134" t="str">
        <f>+'[7]ProgramaI'!B32</f>
        <v>Comité Cantonal Deportes y Recreación </v>
      </c>
      <c r="H93" s="135">
        <v>0</v>
      </c>
      <c r="I93" s="242"/>
      <c r="J93" s="242"/>
      <c r="K93" s="407"/>
      <c r="L93" s="136"/>
    </row>
    <row r="94" spans="1:12" s="137" customFormat="1" ht="13.5" hidden="1" thickBot="1">
      <c r="A94" s="132"/>
      <c r="B94" s="133"/>
      <c r="C94" s="40"/>
      <c r="D94" s="133" t="s">
        <v>396</v>
      </c>
      <c r="E94" s="133" t="s">
        <v>395</v>
      </c>
      <c r="F94" s="150"/>
      <c r="G94" s="134" t="s">
        <v>476</v>
      </c>
      <c r="H94" s="135">
        <v>0</v>
      </c>
      <c r="I94" s="242"/>
      <c r="J94" s="242"/>
      <c r="K94" s="407"/>
      <c r="L94" s="136"/>
    </row>
    <row r="95" spans="1:12" s="137" customFormat="1" ht="13.5" thickBot="1">
      <c r="A95" s="279" t="s">
        <v>402</v>
      </c>
      <c r="B95" s="280"/>
      <c r="C95" s="281">
        <f>SUM(C91:C92)</f>
        <v>150000000</v>
      </c>
      <c r="D95" s="274"/>
      <c r="E95" s="274"/>
      <c r="F95" s="274"/>
      <c r="G95" s="282"/>
      <c r="H95" s="283">
        <f>SUM(H92:H94)</f>
        <v>150000000</v>
      </c>
      <c r="I95" s="243">
        <f>+C95-H95</f>
        <v>0</v>
      </c>
      <c r="J95" s="8"/>
      <c r="K95" s="407"/>
      <c r="L95" s="136"/>
    </row>
    <row r="96" spans="1:12" s="137" customFormat="1" ht="12.75">
      <c r="A96" s="291" t="s">
        <v>146</v>
      </c>
      <c r="B96" s="292"/>
      <c r="C96" s="293"/>
      <c r="D96" s="274"/>
      <c r="E96" s="274"/>
      <c r="F96" s="274"/>
      <c r="G96" s="282"/>
      <c r="H96" s="294"/>
      <c r="I96" s="242"/>
      <c r="J96" s="242"/>
      <c r="K96" s="407"/>
      <c r="L96" s="136"/>
    </row>
    <row r="97" spans="1:12" s="137" customFormat="1" ht="12.75">
      <c r="A97" s="132" t="str">
        <f>+'[7]Clasific. Económica de Ingresos'!A33</f>
        <v>1.1.3.3.01.01.0.0.000</v>
      </c>
      <c r="B97" s="164" t="s">
        <v>412</v>
      </c>
      <c r="C97" s="40">
        <f>SUM('[7]Clasific. Económica de Ingresos'!C33)</f>
        <v>750000</v>
      </c>
      <c r="D97" s="133"/>
      <c r="E97" s="133"/>
      <c r="F97" s="133"/>
      <c r="G97" s="134"/>
      <c r="H97" s="138"/>
      <c r="I97" s="242"/>
      <c r="J97" s="242"/>
      <c r="K97" s="407"/>
      <c r="L97" s="136"/>
    </row>
    <row r="98" spans="1:12" s="137" customFormat="1" ht="15" customHeight="1" thickBot="1">
      <c r="A98" s="132"/>
      <c r="B98" s="133"/>
      <c r="C98" s="40"/>
      <c r="D98" s="133" t="s">
        <v>396</v>
      </c>
      <c r="E98" s="133" t="s">
        <v>400</v>
      </c>
      <c r="F98" s="150"/>
      <c r="G98" s="134" t="s">
        <v>401</v>
      </c>
      <c r="H98" s="138">
        <v>750000</v>
      </c>
      <c r="I98" s="242"/>
      <c r="J98" s="242"/>
      <c r="K98" s="407">
        <f>+H98+H111</f>
        <v>750000</v>
      </c>
      <c r="L98" s="136"/>
    </row>
    <row r="99" spans="1:12" s="144" customFormat="1" ht="13.5" thickBot="1">
      <c r="A99" s="139" t="s">
        <v>402</v>
      </c>
      <c r="B99" s="155" t="s">
        <v>146</v>
      </c>
      <c r="C99" s="140">
        <f>SUM(C97:C98)</f>
        <v>750000</v>
      </c>
      <c r="D99" s="48"/>
      <c r="E99" s="48"/>
      <c r="F99" s="48"/>
      <c r="G99" s="141"/>
      <c r="H99" s="142">
        <f>SUM(H98:H98)</f>
        <v>750000</v>
      </c>
      <c r="I99" s="243">
        <f>+C99-H99</f>
        <v>0</v>
      </c>
      <c r="J99" s="8"/>
      <c r="K99" s="410"/>
      <c r="L99" s="143"/>
    </row>
    <row r="100" spans="1:12" s="137" customFormat="1" ht="12.75">
      <c r="A100" s="152"/>
      <c r="B100" s="134"/>
      <c r="C100" s="134"/>
      <c r="D100" s="133"/>
      <c r="E100" s="133"/>
      <c r="F100" s="133"/>
      <c r="G100" s="134"/>
      <c r="H100" s="135"/>
      <c r="I100" s="241"/>
      <c r="J100" s="241"/>
      <c r="K100" s="407"/>
      <c r="L100" s="136"/>
    </row>
    <row r="101" spans="1:12" s="144" customFormat="1" ht="12.75">
      <c r="A101" s="132" t="str">
        <f>+'[7]Clasific. Económica de Ingresos'!A34</f>
        <v>1.1.3.3.01.02.0.0.000</v>
      </c>
      <c r="B101" s="134" t="s">
        <v>413</v>
      </c>
      <c r="C101" s="40">
        <f>SUM('[7]Clasific. Económica de Ingresos'!C34)</f>
        <v>4700000000</v>
      </c>
      <c r="D101" s="133"/>
      <c r="E101" s="133"/>
      <c r="F101" s="133"/>
      <c r="G101" s="134"/>
      <c r="H101" s="135"/>
      <c r="I101" s="241"/>
      <c r="J101" s="241"/>
      <c r="K101" s="410"/>
      <c r="L101" s="143"/>
    </row>
    <row r="102" spans="1:12" s="137" customFormat="1" ht="12.75">
      <c r="A102" s="153"/>
      <c r="B102" s="245"/>
      <c r="C102" s="40"/>
      <c r="D102" s="133" t="s">
        <v>389</v>
      </c>
      <c r="E102" s="133" t="s">
        <v>390</v>
      </c>
      <c r="F102" s="133" t="s">
        <v>391</v>
      </c>
      <c r="G102" s="134" t="s">
        <v>392</v>
      </c>
      <c r="H102" s="135">
        <f>+'[7]Egresos Programa I General'!E8-'Origen y Aplicación (2)'!H10-'Origen y Aplicación (2)'!H85-H133-H149-H159-H164-H175-H181-H192-H213-H218-H121-H256-H187-H170-H225-H197-H92-H237-H291</f>
        <v>2998198465.9573517</v>
      </c>
      <c r="I102" s="242"/>
      <c r="J102" s="242"/>
      <c r="K102" s="407">
        <f>+'[7]INGRESOS LIBRES DETALLE Nº17'!H136</f>
        <v>3684450584.21</v>
      </c>
      <c r="L102" s="136">
        <f>+H102-K102</f>
        <v>-686252118.2526484</v>
      </c>
    </row>
    <row r="103" spans="1:12" s="137" customFormat="1" ht="12.75">
      <c r="A103" s="132"/>
      <c r="B103" s="133"/>
      <c r="C103" s="40"/>
      <c r="D103" s="133" t="s">
        <v>408</v>
      </c>
      <c r="E103" s="133" t="s">
        <v>399</v>
      </c>
      <c r="F103" s="150"/>
      <c r="G103" s="134" t="s">
        <v>409</v>
      </c>
      <c r="H103" s="135">
        <f>+'[7]Egresos Programa I General'!E12</f>
        <v>142410264.273</v>
      </c>
      <c r="I103" s="242"/>
      <c r="J103" s="242"/>
      <c r="K103" s="407"/>
      <c r="L103" s="136"/>
    </row>
    <row r="104" spans="1:12" s="137" customFormat="1" ht="12.75">
      <c r="A104" s="153"/>
      <c r="B104" s="245"/>
      <c r="C104" s="40"/>
      <c r="D104" s="133" t="s">
        <v>389</v>
      </c>
      <c r="E104" s="133" t="s">
        <v>393</v>
      </c>
      <c r="F104" s="150" t="s">
        <v>391</v>
      </c>
      <c r="G104" s="134" t="s">
        <v>732</v>
      </c>
      <c r="H104" s="135">
        <f>+'[7]ProgramaI'!E47</f>
        <v>500000000</v>
      </c>
      <c r="I104" s="242"/>
      <c r="J104" s="242"/>
      <c r="K104" s="407"/>
      <c r="L104" s="136"/>
    </row>
    <row r="105" spans="1:12" s="137" customFormat="1" ht="12.75">
      <c r="A105" s="153"/>
      <c r="B105" s="245"/>
      <c r="C105" s="40"/>
      <c r="D105" s="133" t="s">
        <v>396</v>
      </c>
      <c r="E105" s="133" t="s">
        <v>405</v>
      </c>
      <c r="F105" s="133" t="s">
        <v>390</v>
      </c>
      <c r="G105" s="134" t="s">
        <v>410</v>
      </c>
      <c r="H105" s="135">
        <f>+'[7]Egresos Programa III General'!C97-H47-H287-H87-H335</f>
        <v>837150839.3406909</v>
      </c>
      <c r="I105" s="242"/>
      <c r="J105" s="242">
        <f>+H105+H287+H47</f>
        <v>1370688106.6706908</v>
      </c>
      <c r="K105" s="407"/>
      <c r="L105" s="136"/>
    </row>
    <row r="106" spans="1:12" s="137" customFormat="1" ht="12.75">
      <c r="A106" s="153"/>
      <c r="B106" s="245"/>
      <c r="C106" s="40"/>
      <c r="D106" s="133" t="s">
        <v>396</v>
      </c>
      <c r="E106" s="133" t="s">
        <v>405</v>
      </c>
      <c r="F106" s="133" t="s">
        <v>397</v>
      </c>
      <c r="G106" s="134" t="s">
        <v>414</v>
      </c>
      <c r="H106" s="135">
        <f>+'[7]Egresos Programa III General'!C98</f>
        <v>144220440.23229253</v>
      </c>
      <c r="I106" s="242"/>
      <c r="J106" s="242"/>
      <c r="K106" s="407">
        <f>SUM(H106:H115)</f>
        <v>218791029.56229252</v>
      </c>
      <c r="L106" s="136"/>
    </row>
    <row r="107" spans="1:12" s="137" customFormat="1" ht="15" customHeight="1" hidden="1">
      <c r="A107" s="132"/>
      <c r="B107" s="133"/>
      <c r="C107" s="40"/>
      <c r="D107" s="133" t="s">
        <v>396</v>
      </c>
      <c r="E107" s="133" t="s">
        <v>405</v>
      </c>
      <c r="F107" s="133" t="s">
        <v>420</v>
      </c>
      <c r="G107" s="151" t="str">
        <f>+'[7]Egresos Programa III General'!B102</f>
        <v>Plan Mercadeo Turistico de Alajuela</v>
      </c>
      <c r="H107" s="135">
        <v>0</v>
      </c>
      <c r="I107" s="242"/>
      <c r="J107" s="242"/>
      <c r="K107" s="407">
        <f>+H107+H126</f>
        <v>0</v>
      </c>
      <c r="L107" s="136"/>
    </row>
    <row r="108" spans="1:12" s="137" customFormat="1" ht="27.75" customHeight="1" hidden="1">
      <c r="A108" s="153"/>
      <c r="B108" s="245"/>
      <c r="C108" s="40"/>
      <c r="D108" s="133" t="s">
        <v>396</v>
      </c>
      <c r="E108" s="133" t="s">
        <v>397</v>
      </c>
      <c r="F108" s="271" t="s">
        <v>397</v>
      </c>
      <c r="G108" s="134" t="s">
        <v>487</v>
      </c>
      <c r="H108" s="135"/>
      <c r="I108" s="242"/>
      <c r="J108" s="242"/>
      <c r="K108" s="407"/>
      <c r="L108" s="136"/>
    </row>
    <row r="109" spans="1:12" s="137" customFormat="1" ht="27.75" customHeight="1" hidden="1">
      <c r="A109" s="153"/>
      <c r="B109" s="245"/>
      <c r="C109" s="40"/>
      <c r="D109" s="133" t="s">
        <v>396</v>
      </c>
      <c r="E109" s="133" t="s">
        <v>405</v>
      </c>
      <c r="F109" s="133">
        <v>11</v>
      </c>
      <c r="G109" s="151" t="s">
        <v>478</v>
      </c>
      <c r="H109" s="138"/>
      <c r="I109" s="242"/>
      <c r="J109" s="242"/>
      <c r="K109" s="407"/>
      <c r="L109" s="136"/>
    </row>
    <row r="110" spans="1:12" s="137" customFormat="1" ht="27.75" customHeight="1" hidden="1">
      <c r="A110" s="153"/>
      <c r="B110" s="245"/>
      <c r="C110" s="40"/>
      <c r="D110" s="133" t="s">
        <v>396</v>
      </c>
      <c r="E110" s="133" t="s">
        <v>405</v>
      </c>
      <c r="F110" s="133">
        <v>12</v>
      </c>
      <c r="G110" s="151" t="s">
        <v>485</v>
      </c>
      <c r="H110" s="138"/>
      <c r="I110" s="242"/>
      <c r="J110" s="242"/>
      <c r="K110" s="407"/>
      <c r="L110" s="136"/>
    </row>
    <row r="111" spans="1:12" s="137" customFormat="1" ht="12.75" hidden="1">
      <c r="A111" s="153"/>
      <c r="B111" s="245"/>
      <c r="C111" s="40"/>
      <c r="D111" s="133" t="s">
        <v>396</v>
      </c>
      <c r="E111" s="133" t="s">
        <v>405</v>
      </c>
      <c r="F111" s="133">
        <v>13</v>
      </c>
      <c r="G111" s="134" t="s">
        <v>479</v>
      </c>
      <c r="H111" s="138"/>
      <c r="I111" s="242"/>
      <c r="J111" s="242"/>
      <c r="K111" s="407"/>
      <c r="L111" s="136"/>
    </row>
    <row r="112" spans="1:12" s="137" customFormat="1" ht="12.75" hidden="1">
      <c r="A112" s="153"/>
      <c r="B112" s="245"/>
      <c r="C112" s="40"/>
      <c r="D112" s="133" t="s">
        <v>396</v>
      </c>
      <c r="E112" s="133" t="s">
        <v>400</v>
      </c>
      <c r="F112" s="133"/>
      <c r="G112" s="246" t="str">
        <f>+'[7]Programa III'!B29</f>
        <v>Transferencias de Capital al Gobierno Central</v>
      </c>
      <c r="H112" s="138"/>
      <c r="I112" s="242"/>
      <c r="J112" s="242"/>
      <c r="K112" s="407">
        <f>+H112+H285+H294</f>
        <v>0</v>
      </c>
      <c r="L112" s="136"/>
    </row>
    <row r="113" spans="1:12" s="137" customFormat="1" ht="12.75" hidden="1">
      <c r="A113" s="153"/>
      <c r="B113" s="245"/>
      <c r="C113" s="40"/>
      <c r="D113" s="133" t="s">
        <v>396</v>
      </c>
      <c r="E113" s="133" t="s">
        <v>400</v>
      </c>
      <c r="F113" s="133"/>
      <c r="G113" s="134" t="s">
        <v>363</v>
      </c>
      <c r="H113" s="138"/>
      <c r="I113" s="242"/>
      <c r="J113" s="242"/>
      <c r="K113" s="407">
        <f>+H113+H268</f>
        <v>0</v>
      </c>
      <c r="L113" s="136"/>
    </row>
    <row r="114" spans="1:12" s="137" customFormat="1" ht="12.75" hidden="1">
      <c r="A114" s="153"/>
      <c r="B114" s="245"/>
      <c r="C114" s="40"/>
      <c r="D114" s="133" t="s">
        <v>396</v>
      </c>
      <c r="E114" s="133" t="s">
        <v>400</v>
      </c>
      <c r="F114" s="133"/>
      <c r="G114" s="134" t="s">
        <v>476</v>
      </c>
      <c r="H114" s="138"/>
      <c r="I114" s="242"/>
      <c r="J114" s="242"/>
      <c r="K114" s="407"/>
      <c r="L114" s="136"/>
    </row>
    <row r="115" spans="1:12" s="137" customFormat="1" ht="12.75">
      <c r="A115" s="153"/>
      <c r="B115" s="245"/>
      <c r="C115" s="40"/>
      <c r="D115" s="133" t="s">
        <v>396</v>
      </c>
      <c r="E115" s="133" t="s">
        <v>400</v>
      </c>
      <c r="F115" s="133"/>
      <c r="G115" s="134" t="s">
        <v>401</v>
      </c>
      <c r="H115" s="138">
        <f>26000000+48570589.33</f>
        <v>74570589.33</v>
      </c>
      <c r="I115" s="242"/>
      <c r="J115" s="242"/>
      <c r="K115" s="407">
        <f>+H43+H42+H115+20408580</f>
        <v>310873279.4700001</v>
      </c>
      <c r="L115" s="136"/>
    </row>
    <row r="116" spans="1:12" s="137" customFormat="1" ht="12.75" hidden="1">
      <c r="A116" s="153"/>
      <c r="B116" s="245"/>
      <c r="C116" s="40"/>
      <c r="D116" s="133" t="s">
        <v>396</v>
      </c>
      <c r="E116" s="133" t="s">
        <v>395</v>
      </c>
      <c r="F116" s="150"/>
      <c r="G116" s="134" t="s">
        <v>476</v>
      </c>
      <c r="H116" s="138">
        <v>0</v>
      </c>
      <c r="I116" s="242"/>
      <c r="J116" s="242"/>
      <c r="K116" s="407"/>
      <c r="L116" s="136"/>
    </row>
    <row r="117" spans="1:12" s="137" customFormat="1" ht="13.5" thickBot="1">
      <c r="A117" s="153"/>
      <c r="B117" s="245"/>
      <c r="C117" s="40"/>
      <c r="D117" s="133" t="s">
        <v>396</v>
      </c>
      <c r="E117" s="133">
        <v>9</v>
      </c>
      <c r="F117" s="133"/>
      <c r="G117" s="134" t="s">
        <v>476</v>
      </c>
      <c r="H117" s="138">
        <v>3449400.87</v>
      </c>
      <c r="I117" s="242"/>
      <c r="J117" s="242"/>
      <c r="K117" s="407"/>
      <c r="L117" s="136"/>
    </row>
    <row r="118" spans="1:12" s="144" customFormat="1" ht="13.5" thickBot="1">
      <c r="A118" s="139" t="s">
        <v>402</v>
      </c>
      <c r="B118" s="155"/>
      <c r="C118" s="140">
        <f>SUM(C101:C102)</f>
        <v>4700000000</v>
      </c>
      <c r="D118" s="48"/>
      <c r="E118" s="48"/>
      <c r="F118" s="48"/>
      <c r="G118" s="141"/>
      <c r="H118" s="142">
        <f>SUM(H102:H117)</f>
        <v>4700000000.003334</v>
      </c>
      <c r="I118" s="243">
        <f>+C118-H118</f>
        <v>-0.00333404541015625</v>
      </c>
      <c r="J118" s="8"/>
      <c r="K118" s="410">
        <f>+C118-H118</f>
        <v>-0.00333404541015625</v>
      </c>
      <c r="L118" s="143"/>
    </row>
    <row r="119" spans="1:12" s="137" customFormat="1" ht="12.75">
      <c r="A119" s="152"/>
      <c r="B119" s="134"/>
      <c r="C119" s="134"/>
      <c r="D119" s="133"/>
      <c r="E119" s="133"/>
      <c r="F119" s="133"/>
      <c r="G119" s="134"/>
      <c r="H119" s="135"/>
      <c r="I119" s="241"/>
      <c r="J119" s="241"/>
      <c r="K119" s="407"/>
      <c r="L119" s="136"/>
    </row>
    <row r="120" spans="1:12" s="137" customFormat="1" ht="12.75">
      <c r="A120" s="132" t="str">
        <f>+'[7]Clasific. Económica de Ingresos'!A40</f>
        <v>1.1.9.1.01.00.0.0.000</v>
      </c>
      <c r="B120" s="134" t="s">
        <v>415</v>
      </c>
      <c r="C120" s="40">
        <f>SUM('[7]Clasific. Económica de Ingresos'!C40)</f>
        <v>625000000</v>
      </c>
      <c r="D120" s="133"/>
      <c r="E120" s="133"/>
      <c r="F120" s="133"/>
      <c r="G120" s="134"/>
      <c r="H120" s="135"/>
      <c r="I120" s="241"/>
      <c r="J120" s="241"/>
      <c r="K120" s="407"/>
      <c r="L120" s="136"/>
    </row>
    <row r="121" spans="1:12" s="137" customFormat="1" ht="12.75">
      <c r="A121" s="132"/>
      <c r="B121" s="133"/>
      <c r="C121" s="40"/>
      <c r="D121" s="133" t="s">
        <v>389</v>
      </c>
      <c r="E121" s="133" t="s">
        <v>390</v>
      </c>
      <c r="F121" s="133" t="s">
        <v>391</v>
      </c>
      <c r="G121" s="134" t="s">
        <v>392</v>
      </c>
      <c r="H121" s="138">
        <f>279299674.76-5946544.18+20905208.45</f>
        <v>294258339.03</v>
      </c>
      <c r="I121" s="242"/>
      <c r="J121" s="242"/>
      <c r="K121" s="407"/>
      <c r="L121" s="136"/>
    </row>
    <row r="122" spans="1:12" s="137" customFormat="1" ht="13.5" thickBot="1">
      <c r="A122" s="132"/>
      <c r="B122" s="133"/>
      <c r="C122" s="40"/>
      <c r="D122" s="133" t="s">
        <v>389</v>
      </c>
      <c r="E122" s="133" t="s">
        <v>397</v>
      </c>
      <c r="F122" s="133"/>
      <c r="G122" s="134" t="s">
        <v>416</v>
      </c>
      <c r="H122" s="138">
        <f>+'[7]Egresos Programa I General'!E10</f>
        <v>330741660.9734828</v>
      </c>
      <c r="I122" s="242"/>
      <c r="J122" s="242"/>
      <c r="K122" s="407"/>
      <c r="L122" s="136"/>
    </row>
    <row r="123" spans="1:12" s="137" customFormat="1" ht="26.25" hidden="1" thickBot="1">
      <c r="A123" s="132"/>
      <c r="B123" s="133"/>
      <c r="C123" s="40"/>
      <c r="D123" s="133" t="s">
        <v>396</v>
      </c>
      <c r="E123" s="133" t="s">
        <v>400</v>
      </c>
      <c r="F123" s="133"/>
      <c r="G123" s="151" t="s">
        <v>495</v>
      </c>
      <c r="H123" s="138">
        <v>0</v>
      </c>
      <c r="I123" s="242"/>
      <c r="J123" s="242"/>
      <c r="K123" s="407"/>
      <c r="L123" s="136"/>
    </row>
    <row r="124" spans="1:12" s="137" customFormat="1" ht="13.5" hidden="1" thickBot="1">
      <c r="A124" s="132"/>
      <c r="B124" s="133"/>
      <c r="C124" s="40"/>
      <c r="D124" s="133" t="s">
        <v>396</v>
      </c>
      <c r="E124" s="133" t="s">
        <v>395</v>
      </c>
      <c r="F124" s="150"/>
      <c r="G124" s="134" t="s">
        <v>476</v>
      </c>
      <c r="H124" s="138">
        <v>0</v>
      </c>
      <c r="I124" s="242"/>
      <c r="J124" s="242"/>
      <c r="K124" s="407">
        <f>+H124+H404</f>
        <v>0</v>
      </c>
      <c r="L124" s="136" t="e">
        <f>+H124+H121+K134+#REF!</f>
        <v>#REF!</v>
      </c>
    </row>
    <row r="125" spans="1:12" s="144" customFormat="1" ht="13.5" thickBot="1">
      <c r="A125" s="139" t="s">
        <v>402</v>
      </c>
      <c r="B125" s="155"/>
      <c r="C125" s="140">
        <f>SUM(C120:C121)</f>
        <v>625000000</v>
      </c>
      <c r="D125" s="48"/>
      <c r="E125" s="48"/>
      <c r="F125" s="48"/>
      <c r="G125" s="141"/>
      <c r="H125" s="142">
        <f>SUM(H121:H124)</f>
        <v>625000000.0034828</v>
      </c>
      <c r="I125" s="243">
        <f>+C125-H125</f>
        <v>-0.003482818603515625</v>
      </c>
      <c r="J125" s="8"/>
      <c r="K125" s="410">
        <f>+C125-H125</f>
        <v>-0.003482818603515625</v>
      </c>
      <c r="L125" s="143"/>
    </row>
    <row r="126" spans="1:11" ht="12.75">
      <c r="A126" s="145"/>
      <c r="B126" s="156"/>
      <c r="C126" s="146"/>
      <c r="D126" s="105"/>
      <c r="E126" s="105"/>
      <c r="F126" s="105"/>
      <c r="G126" s="113"/>
      <c r="H126" s="147"/>
      <c r="I126" s="244"/>
      <c r="J126" s="244"/>
      <c r="K126" s="403">
        <f>+K118+K125</f>
        <v>-0.006816864013671875</v>
      </c>
    </row>
    <row r="127" spans="1:10" ht="12.75">
      <c r="A127" s="104" t="str">
        <f>+'[7]Clasific. Económica de Ingresos'!A41</f>
        <v>1.1.9.1.02.00.0.0.000</v>
      </c>
      <c r="B127" s="156" t="s">
        <v>417</v>
      </c>
      <c r="C127" s="114">
        <f>SUM('[7]Clasific. Económica de Ingresos'!C41)</f>
        <v>91500000</v>
      </c>
      <c r="D127" s="105"/>
      <c r="E127" s="105"/>
      <c r="F127" s="105"/>
      <c r="G127" s="113"/>
      <c r="H127" s="147"/>
      <c r="I127" s="244"/>
      <c r="J127" s="244"/>
    </row>
    <row r="128" spans="1:10" ht="12.75">
      <c r="A128" s="104"/>
      <c r="B128" s="156"/>
      <c r="C128" s="114"/>
      <c r="D128" s="105" t="s">
        <v>389</v>
      </c>
      <c r="E128" s="105" t="s">
        <v>393</v>
      </c>
      <c r="F128" s="130"/>
      <c r="G128" s="113" t="str">
        <f>+'[7]ProgramaI'!B25</f>
        <v>CONAGEBIO (10% de la Ley 7788)</v>
      </c>
      <c r="H128" s="418">
        <f>+'[7]ProgramaI'!E25</f>
        <v>9150000</v>
      </c>
      <c r="I128" s="239"/>
      <c r="J128" s="239"/>
    </row>
    <row r="129" spans="1:10" ht="12.75">
      <c r="A129" s="104"/>
      <c r="B129" s="105"/>
      <c r="C129" s="114"/>
      <c r="D129" s="105" t="s">
        <v>389</v>
      </c>
      <c r="E129" s="105" t="s">
        <v>393</v>
      </c>
      <c r="F129" s="130" t="s">
        <v>391</v>
      </c>
      <c r="G129" s="113" t="str">
        <f>+'[7]ProgramaI'!B26</f>
        <v>Fondo para Parques Nacionales</v>
      </c>
      <c r="H129" s="418">
        <f>+'[7]ProgramaI'!E26</f>
        <v>57645000</v>
      </c>
      <c r="I129" s="239"/>
      <c r="J129" s="239"/>
    </row>
    <row r="130" spans="1:10" ht="13.5" thickBot="1">
      <c r="A130" s="104"/>
      <c r="B130" s="105"/>
      <c r="C130" s="114"/>
      <c r="D130" s="105" t="s">
        <v>394</v>
      </c>
      <c r="E130" s="105">
        <v>25</v>
      </c>
      <c r="F130" s="105"/>
      <c r="G130" s="113" t="str">
        <f>+'[7]Egresos Programa II General'!B33</f>
        <v>Protección del Medio Ambiente</v>
      </c>
      <c r="H130" s="114">
        <f>23760000+945000</f>
        <v>24705000</v>
      </c>
      <c r="I130" s="406"/>
      <c r="J130" s="406"/>
    </row>
    <row r="131" spans="1:12" s="125" customFormat="1" ht="13.5" thickBot="1">
      <c r="A131" s="120" t="s">
        <v>402</v>
      </c>
      <c r="B131" s="157"/>
      <c r="C131" s="121">
        <f>SUM(C127:C130)</f>
        <v>91500000</v>
      </c>
      <c r="D131" s="122"/>
      <c r="E131" s="122"/>
      <c r="F131" s="122"/>
      <c r="G131" s="123"/>
      <c r="H131" s="336">
        <f>SUM(H128:H130)</f>
        <v>91500000</v>
      </c>
      <c r="I131" s="237">
        <f>+C131-H131</f>
        <v>0</v>
      </c>
      <c r="J131" s="247"/>
      <c r="K131" s="409"/>
      <c r="L131" s="124"/>
    </row>
    <row r="132" spans="1:10" ht="12.75">
      <c r="A132" s="145"/>
      <c r="B132" s="156"/>
      <c r="C132" s="146"/>
      <c r="D132" s="105"/>
      <c r="E132" s="105"/>
      <c r="F132" s="105"/>
      <c r="G132" s="113"/>
      <c r="H132" s="419"/>
      <c r="I132" s="244"/>
      <c r="J132" s="244"/>
    </row>
    <row r="133" spans="1:10" ht="12.75">
      <c r="A133" s="104" t="str">
        <f>+'[7]Clasific. Económica de Ingresos'!A50</f>
        <v>1.3.1.1.05.00.0.0.000</v>
      </c>
      <c r="B133" s="156" t="s">
        <v>418</v>
      </c>
      <c r="C133" s="114">
        <f>SUM('[7]Clasific. Económica de Ingresos'!C50)</f>
        <v>3650000000</v>
      </c>
      <c r="D133" s="105" t="s">
        <v>389</v>
      </c>
      <c r="E133" s="105" t="s">
        <v>390</v>
      </c>
      <c r="F133" s="105" t="s">
        <v>391</v>
      </c>
      <c r="G133" s="113" t="s">
        <v>392</v>
      </c>
      <c r="H133" s="419">
        <f>+C133*10%</f>
        <v>365000000</v>
      </c>
      <c r="I133" s="244"/>
      <c r="J133" s="244"/>
    </row>
    <row r="134" spans="1:10" ht="12.75">
      <c r="A134" s="104"/>
      <c r="B134" s="105"/>
      <c r="C134" s="114"/>
      <c r="D134" s="105" t="s">
        <v>394</v>
      </c>
      <c r="E134" s="105" t="s">
        <v>405</v>
      </c>
      <c r="F134" s="105" t="s">
        <v>391</v>
      </c>
      <c r="G134" s="116" t="s">
        <v>419</v>
      </c>
      <c r="H134" s="419">
        <f>+'[7]Egresos Programa II General'!C17-H176-H298</f>
        <v>2493001892.0649877</v>
      </c>
      <c r="I134" s="244"/>
      <c r="J134" s="244">
        <f>+H134+H176+H298</f>
        <v>2668001892.0649877</v>
      </c>
    </row>
    <row r="135" spans="1:10" ht="33.75" customHeight="1">
      <c r="A135" s="104"/>
      <c r="B135" s="179"/>
      <c r="C135" s="114"/>
      <c r="D135" s="105" t="s">
        <v>396</v>
      </c>
      <c r="E135" s="105" t="s">
        <v>420</v>
      </c>
      <c r="F135" s="105" t="s">
        <v>397</v>
      </c>
      <c r="G135" s="211" t="str">
        <f>+'[7]Egresos Programa III General'!B70</f>
        <v>Cambio Previstas Calle Loría y Tuetal Norte</v>
      </c>
      <c r="H135" s="147">
        <f>+'[7]Egresos Programa III General'!C70</f>
        <v>141000000</v>
      </c>
      <c r="I135" s="244"/>
      <c r="J135" s="244"/>
    </row>
    <row r="136" spans="1:10" ht="27.75" customHeight="1">
      <c r="A136" s="104"/>
      <c r="B136" s="179"/>
      <c r="C136" s="114"/>
      <c r="D136" s="105" t="s">
        <v>396</v>
      </c>
      <c r="E136" s="105" t="s">
        <v>420</v>
      </c>
      <c r="F136" s="105" t="s">
        <v>399</v>
      </c>
      <c r="G136" s="211" t="str">
        <f>+'[7]Egresos Programa III General'!B71</f>
        <v>Cambio de Red de Distribución Providencia</v>
      </c>
      <c r="H136" s="147">
        <f>+'[7]Egresos Programa III General'!C71</f>
        <v>60000000</v>
      </c>
      <c r="I136" s="244"/>
      <c r="J136" s="244"/>
    </row>
    <row r="137" spans="1:12" ht="12.75">
      <c r="A137" s="104"/>
      <c r="B137" s="105"/>
      <c r="C137" s="114"/>
      <c r="D137" s="105" t="s">
        <v>396</v>
      </c>
      <c r="E137" s="105" t="s">
        <v>420</v>
      </c>
      <c r="F137" s="105" t="s">
        <v>393</v>
      </c>
      <c r="G137" s="416" t="str">
        <f>+'[7]Egresos Programa III General'!B72</f>
        <v>Cambio de Red de Distribución Piedras Negras </v>
      </c>
      <c r="H137" s="418">
        <f>+'[7]Egresos Programa III General'!C72</f>
        <v>60000000</v>
      </c>
      <c r="I137" s="239"/>
      <c r="J137" s="239"/>
      <c r="K137" s="103"/>
      <c r="L137" s="103"/>
    </row>
    <row r="138" spans="1:12" ht="12.75">
      <c r="A138" s="104"/>
      <c r="B138" s="179"/>
      <c r="C138" s="114"/>
      <c r="D138" s="105" t="s">
        <v>396</v>
      </c>
      <c r="E138" s="105" t="s">
        <v>420</v>
      </c>
      <c r="F138" s="105" t="s">
        <v>420</v>
      </c>
      <c r="G138" s="261" t="str">
        <f>+'[7]Egresos Programa III General'!B73</f>
        <v>Cambio de Tubería Descarga Pozos</v>
      </c>
      <c r="H138" s="129">
        <f>+'[7]Egresos Programa III General'!C73</f>
        <v>15000000</v>
      </c>
      <c r="I138" s="244"/>
      <c r="J138" s="244"/>
      <c r="K138" s="103"/>
      <c r="L138" s="103"/>
    </row>
    <row r="139" spans="1:12" ht="12.75">
      <c r="A139" s="104"/>
      <c r="B139" s="179"/>
      <c r="C139" s="114"/>
      <c r="D139" s="105"/>
      <c r="E139" s="105"/>
      <c r="F139" s="105"/>
      <c r="G139" s="261"/>
      <c r="H139" s="129"/>
      <c r="I139" s="244"/>
      <c r="J139" s="244"/>
      <c r="K139" s="103"/>
      <c r="L139" s="103"/>
    </row>
    <row r="140" spans="1:10" ht="30.75" customHeight="1">
      <c r="A140" s="104"/>
      <c r="B140" s="179"/>
      <c r="C140" s="114"/>
      <c r="D140" s="105" t="s">
        <v>396</v>
      </c>
      <c r="E140" s="105" t="s">
        <v>420</v>
      </c>
      <c r="F140" s="105" t="s">
        <v>405</v>
      </c>
      <c r="G140" s="416" t="str">
        <f>+'[7]Egresos Programa III General'!B74</f>
        <v>Caseta de Desinfección Tanque Guadalupe</v>
      </c>
      <c r="H140" s="259">
        <f>+'[7]Egresos Programa III General'!C74</f>
        <v>55000000</v>
      </c>
      <c r="I140" s="244"/>
      <c r="J140" s="244"/>
    </row>
    <row r="141" spans="1:12" ht="12.75">
      <c r="A141" s="104"/>
      <c r="B141" s="179"/>
      <c r="C141" s="114"/>
      <c r="D141" s="105" t="s">
        <v>396</v>
      </c>
      <c r="E141" s="105" t="s">
        <v>420</v>
      </c>
      <c r="F141" s="105" t="s">
        <v>400</v>
      </c>
      <c r="G141" s="416" t="str">
        <f>+'[7]Egresos Programa III General'!B75</f>
        <v>Casta Desinfección Tanque Itiquis</v>
      </c>
      <c r="H141" s="147">
        <f>+'[7]Egresos Programa III General'!C75</f>
        <v>60000000</v>
      </c>
      <c r="I141" s="244"/>
      <c r="J141" s="244"/>
      <c r="K141" s="103"/>
      <c r="L141" s="103"/>
    </row>
    <row r="142" spans="1:12" ht="24.75" customHeight="1">
      <c r="A142" s="104"/>
      <c r="B142" s="105"/>
      <c r="C142" s="114"/>
      <c r="D142" s="105" t="s">
        <v>396</v>
      </c>
      <c r="E142" s="105" t="s">
        <v>420</v>
      </c>
      <c r="F142" s="105" t="s">
        <v>568</v>
      </c>
      <c r="G142" s="416" t="str">
        <f>+'[7]Egresos Programa III General'!B76</f>
        <v>Plan Reforestación</v>
      </c>
      <c r="H142" s="147">
        <f>+'[7]Egresos Programa III General'!C76</f>
        <v>50000000</v>
      </c>
      <c r="I142" s="239"/>
      <c r="J142" s="239"/>
      <c r="K142" s="103"/>
      <c r="L142" s="103"/>
    </row>
    <row r="143" spans="1:12" ht="12" customHeight="1">
      <c r="A143" s="104"/>
      <c r="B143" s="179"/>
      <c r="C143" s="114"/>
      <c r="D143" s="105" t="s">
        <v>396</v>
      </c>
      <c r="E143" s="105" t="s">
        <v>420</v>
      </c>
      <c r="F143" s="105" t="s">
        <v>395</v>
      </c>
      <c r="G143" s="416" t="str">
        <f>+'[7]Egresos Programa III General'!B77</f>
        <v>Protección de Nciemntes</v>
      </c>
      <c r="H143" s="147">
        <f>+'[7]Egresos Programa III General'!C77</f>
        <v>63000000</v>
      </c>
      <c r="I143" s="244"/>
      <c r="J143" s="244"/>
      <c r="K143" s="103"/>
      <c r="L143" s="103"/>
    </row>
    <row r="144" spans="1:10" ht="12.75">
      <c r="A144" s="104"/>
      <c r="B144" s="105"/>
      <c r="C144" s="114"/>
      <c r="D144" s="105" t="s">
        <v>396</v>
      </c>
      <c r="E144" s="105" t="s">
        <v>420</v>
      </c>
      <c r="F144" s="105">
        <v>10</v>
      </c>
      <c r="G144" s="113" t="str">
        <f>+'[7]Egresos Programa III General'!B78</f>
        <v>Mejoras Sistema Tuetal Norte Sur y Calle Loria</v>
      </c>
      <c r="H144" s="129">
        <f>+'[7]Egresos Programa III General'!C78</f>
        <v>101000000</v>
      </c>
      <c r="J144" s="239"/>
    </row>
    <row r="145" spans="1:10" ht="30.75" customHeight="1" thickBot="1">
      <c r="A145" s="104"/>
      <c r="B145" s="179"/>
      <c r="C145" s="114"/>
      <c r="D145" s="105" t="s">
        <v>396</v>
      </c>
      <c r="E145" s="105" t="s">
        <v>420</v>
      </c>
      <c r="F145" s="105">
        <v>11</v>
      </c>
      <c r="G145" s="261" t="str">
        <f>+'[7]Egresos Programa III General'!B79</f>
        <v>Plan Operación Mantenimiento y Des.Sistema de Acueducto 2018-2022</v>
      </c>
      <c r="H145" s="259">
        <f>+'[7]Egresos Programa III General'!C79</f>
        <v>186998107.94</v>
      </c>
      <c r="I145" s="244"/>
      <c r="J145" s="244"/>
    </row>
    <row r="146" spans="1:12" s="125" customFormat="1" ht="13.5" thickBot="1">
      <c r="A146" s="120" t="s">
        <v>402</v>
      </c>
      <c r="B146" s="157"/>
      <c r="C146" s="121">
        <f>SUM(C133:C145)</f>
        <v>3650000000</v>
      </c>
      <c r="D146" s="122"/>
      <c r="E146" s="122"/>
      <c r="F146" s="122"/>
      <c r="G146" s="123"/>
      <c r="H146" s="131">
        <f>SUM(H133:H145)</f>
        <v>3650000000.0049877</v>
      </c>
      <c r="I146" s="237">
        <f>+C146-H146</f>
        <v>-0.0049877166748046875</v>
      </c>
      <c r="J146" s="240"/>
      <c r="K146" s="409"/>
      <c r="L146" s="124"/>
    </row>
    <row r="147" spans="1:10" ht="12.75">
      <c r="A147" s="145" t="s">
        <v>146</v>
      </c>
      <c r="B147" s="156"/>
      <c r="C147" s="146"/>
      <c r="D147" s="105"/>
      <c r="E147" s="105"/>
      <c r="F147" s="105"/>
      <c r="G147" s="113"/>
      <c r="H147" s="147"/>
      <c r="I147" s="244"/>
      <c r="J147" s="244"/>
    </row>
    <row r="148" spans="1:10" ht="12.75">
      <c r="A148" s="104" t="str">
        <f>+'[7]Clasific. Económica de Ingresos'!A56</f>
        <v>1.3.1.2.04.01.1.0.000</v>
      </c>
      <c r="B148" s="156" t="s">
        <v>421</v>
      </c>
      <c r="C148" s="114">
        <f>SUM('[7]Clasific. Económica de Ingresos'!C56)</f>
        <v>277000000</v>
      </c>
      <c r="D148" s="105"/>
      <c r="E148" s="105"/>
      <c r="F148" s="105"/>
      <c r="G148" s="113"/>
      <c r="H148" s="147"/>
      <c r="I148" s="244"/>
      <c r="J148" s="244"/>
    </row>
    <row r="149" spans="1:10" ht="12.75">
      <c r="A149" s="104"/>
      <c r="B149" s="105"/>
      <c r="C149" s="114"/>
      <c r="D149" s="105" t="s">
        <v>389</v>
      </c>
      <c r="E149" s="105" t="s">
        <v>390</v>
      </c>
      <c r="F149" s="105" t="s">
        <v>391</v>
      </c>
      <c r="G149" s="113" t="s">
        <v>392</v>
      </c>
      <c r="H149" s="419">
        <f>+C148*10%</f>
        <v>27700000</v>
      </c>
      <c r="I149" s="244"/>
      <c r="J149" s="244"/>
    </row>
    <row r="150" spans="1:11" ht="13.5" customHeight="1">
      <c r="A150" s="104"/>
      <c r="B150" s="105"/>
      <c r="C150" s="29"/>
      <c r="D150" s="105" t="s">
        <v>394</v>
      </c>
      <c r="E150" s="105" t="s">
        <v>400</v>
      </c>
      <c r="F150" s="105"/>
      <c r="G150" s="113" t="str">
        <f>+'[7]Egresos Programa II General'!B19</f>
        <v>Mercados, Plazas y Ferias</v>
      </c>
      <c r="H150" s="418">
        <f>+'[7]Egresos Programa II General'!C19-H160-H219-H17</f>
        <v>249300000.0038135</v>
      </c>
      <c r="I150" s="239"/>
      <c r="J150" s="239">
        <f>+H150+H160+H219+H17</f>
        <v>303517463.7038135</v>
      </c>
      <c r="K150" s="403">
        <f>+H150+H160+H219</f>
        <v>260550000.0038135</v>
      </c>
    </row>
    <row r="151" spans="1:10" ht="13.5" thickBot="1">
      <c r="A151" s="104"/>
      <c r="B151" s="105"/>
      <c r="C151" s="114"/>
      <c r="D151" s="105" t="s">
        <v>396</v>
      </c>
      <c r="E151" s="105" t="s">
        <v>390</v>
      </c>
      <c r="F151" s="105" t="s">
        <v>397</v>
      </c>
      <c r="G151" s="113" t="s">
        <v>475</v>
      </c>
      <c r="H151" s="129"/>
      <c r="I151" s="236"/>
      <c r="J151" s="236"/>
    </row>
    <row r="152" spans="1:12" s="125" customFormat="1" ht="13.5" thickBot="1">
      <c r="A152" s="120" t="s">
        <v>402</v>
      </c>
      <c r="B152" s="157"/>
      <c r="C152" s="121">
        <f>SUM(C148:C150)</f>
        <v>277000000</v>
      </c>
      <c r="D152" s="122"/>
      <c r="E152" s="122"/>
      <c r="F152" s="122"/>
      <c r="G152" s="123"/>
      <c r="H152" s="131">
        <f>SUM(H149:H151)</f>
        <v>277000000.0038135</v>
      </c>
      <c r="I152" s="237">
        <f>+C152-H152</f>
        <v>-0.003813505172729492</v>
      </c>
      <c r="J152" s="240"/>
      <c r="K152" s="409"/>
      <c r="L152" s="124"/>
    </row>
    <row r="153" spans="1:12" s="137" customFormat="1" ht="12.75" customHeight="1" hidden="1">
      <c r="A153" s="132"/>
      <c r="B153" s="133"/>
      <c r="C153" s="40"/>
      <c r="D153" s="133"/>
      <c r="E153" s="133"/>
      <c r="F153" s="133"/>
      <c r="G153" s="134"/>
      <c r="H153" s="138"/>
      <c r="I153" s="242"/>
      <c r="J153" s="242"/>
      <c r="K153" s="407"/>
      <c r="L153" s="136"/>
    </row>
    <row r="154" spans="1:12" s="137" customFormat="1" ht="12.75" customHeight="1" hidden="1">
      <c r="A154" s="132" t="str">
        <f>+'[7]Clasific. Económica de Ingresos'!A57</f>
        <v>1.3.1.2.04.01.2.0.000</v>
      </c>
      <c r="B154" s="134" t="s">
        <v>422</v>
      </c>
      <c r="C154" s="40">
        <f>SUM('[7]Clasific. Económica de Ingresos'!C57)</f>
        <v>0</v>
      </c>
      <c r="D154" s="133"/>
      <c r="E154" s="133"/>
      <c r="F154" s="133"/>
      <c r="G154" s="134"/>
      <c r="H154" s="138"/>
      <c r="I154" s="241"/>
      <c r="J154" s="241"/>
      <c r="K154" s="407"/>
      <c r="L154" s="136"/>
    </row>
    <row r="155" spans="1:12" s="137" customFormat="1" ht="13.5" customHeight="1" hidden="1" thickBot="1">
      <c r="A155" s="132"/>
      <c r="B155" s="133"/>
      <c r="C155" s="40"/>
      <c r="D155" s="133" t="s">
        <v>396</v>
      </c>
      <c r="E155" s="133" t="s">
        <v>400</v>
      </c>
      <c r="F155" s="133"/>
      <c r="G155" s="134"/>
      <c r="H155" s="138"/>
      <c r="I155" s="242"/>
      <c r="J155" s="242"/>
      <c r="K155" s="407"/>
      <c r="L155" s="136"/>
    </row>
    <row r="156" spans="1:12" s="144" customFormat="1" ht="13.5" customHeight="1" hidden="1" thickBot="1">
      <c r="A156" s="139" t="s">
        <v>402</v>
      </c>
      <c r="B156" s="155"/>
      <c r="C156" s="140">
        <f>SUM(C154:C155)</f>
        <v>0</v>
      </c>
      <c r="D156" s="48"/>
      <c r="E156" s="48"/>
      <c r="F156" s="48"/>
      <c r="G156" s="141"/>
      <c r="H156" s="421">
        <f>SUM(H155:H155)</f>
        <v>0</v>
      </c>
      <c r="I156" s="243">
        <f>+C156-H156</f>
        <v>0</v>
      </c>
      <c r="J156" s="8"/>
      <c r="K156" s="410"/>
      <c r="L156" s="143"/>
    </row>
    <row r="157" spans="1:10" ht="12.75">
      <c r="A157" s="145"/>
      <c r="B157" s="156"/>
      <c r="C157" s="146"/>
      <c r="D157" s="105"/>
      <c r="E157" s="105"/>
      <c r="F157" s="105"/>
      <c r="G157" s="113"/>
      <c r="H157" s="147"/>
      <c r="I157" s="244"/>
      <c r="J157" s="244"/>
    </row>
    <row r="158" spans="1:10" ht="12.75">
      <c r="A158" s="104" t="str">
        <f>+'[7]Clasific. Económica de Ingresos'!A58</f>
        <v>1.3.1.2.04.09.0.0.000</v>
      </c>
      <c r="B158" s="105" t="s">
        <v>72</v>
      </c>
      <c r="C158" s="114">
        <f>SUM('[7]Clasific. Económica de Ingresos'!C58)</f>
        <v>500000</v>
      </c>
      <c r="D158" s="105"/>
      <c r="E158" s="105"/>
      <c r="F158" s="105"/>
      <c r="G158" s="113"/>
      <c r="H158" s="147"/>
      <c r="I158" s="244"/>
      <c r="J158" s="244"/>
    </row>
    <row r="159" spans="1:10" ht="12.75">
      <c r="A159" s="104"/>
      <c r="B159" s="105"/>
      <c r="C159" s="114"/>
      <c r="D159" s="105" t="s">
        <v>389</v>
      </c>
      <c r="E159" s="105" t="s">
        <v>390</v>
      </c>
      <c r="F159" s="105" t="s">
        <v>391</v>
      </c>
      <c r="G159" s="113" t="s">
        <v>392</v>
      </c>
      <c r="H159" s="419">
        <f>+C158*10%</f>
        <v>50000</v>
      </c>
      <c r="I159" s="244"/>
      <c r="J159" s="244"/>
    </row>
    <row r="160" spans="1:10" ht="13.5" thickBot="1">
      <c r="A160" s="104"/>
      <c r="B160" s="105"/>
      <c r="C160" s="114"/>
      <c r="D160" s="105" t="s">
        <v>394</v>
      </c>
      <c r="E160" s="105" t="s">
        <v>400</v>
      </c>
      <c r="F160" s="105"/>
      <c r="G160" s="113" t="str">
        <f>+'[7]Egresos Programa II General'!B19</f>
        <v>Mercados, Plazas y Ferias</v>
      </c>
      <c r="H160" s="129">
        <v>450000</v>
      </c>
      <c r="I160" s="239"/>
      <c r="J160" s="239"/>
    </row>
    <row r="161" spans="1:12" s="125" customFormat="1" ht="13.5" thickBot="1">
      <c r="A161" s="120" t="s">
        <v>402</v>
      </c>
      <c r="B161" s="157"/>
      <c r="C161" s="121">
        <f>SUM(C158:C160)</f>
        <v>500000</v>
      </c>
      <c r="D161" s="122"/>
      <c r="E161" s="122"/>
      <c r="F161" s="122"/>
      <c r="G161" s="123"/>
      <c r="H161" s="131">
        <f>SUM(H159:H160)</f>
        <v>500000</v>
      </c>
      <c r="I161" s="237">
        <f>+C161-H161</f>
        <v>0</v>
      </c>
      <c r="J161" s="240"/>
      <c r="K161" s="409"/>
      <c r="L161" s="124"/>
    </row>
    <row r="162" spans="1:10" ht="12.75">
      <c r="A162" s="145"/>
      <c r="B162" s="156"/>
      <c r="C162" s="146"/>
      <c r="D162" s="105"/>
      <c r="E162" s="105"/>
      <c r="F162" s="105"/>
      <c r="G162" s="113"/>
      <c r="H162" s="147"/>
      <c r="I162" s="244"/>
      <c r="J162" s="244"/>
    </row>
    <row r="163" spans="1:10" ht="12.75">
      <c r="A163" s="104" t="str">
        <f>+'[7]Clasific. Económica de Ingresos'!A61</f>
        <v>1.3.1.2.05.01.1.0.000</v>
      </c>
      <c r="B163" s="105" t="s">
        <v>423</v>
      </c>
      <c r="C163" s="114">
        <f>SUM('[7]Clasific. Económica de Ingresos'!C61)</f>
        <v>720000000</v>
      </c>
      <c r="D163" s="105"/>
      <c r="E163" s="105"/>
      <c r="F163" s="105"/>
      <c r="G163" s="113"/>
      <c r="H163" s="147"/>
      <c r="I163" s="244"/>
      <c r="J163" s="244"/>
    </row>
    <row r="164" spans="1:10" ht="12.75">
      <c r="A164" s="104"/>
      <c r="B164" s="105"/>
      <c r="C164" s="114"/>
      <c r="D164" s="105" t="s">
        <v>389</v>
      </c>
      <c r="E164" s="105" t="s">
        <v>390</v>
      </c>
      <c r="F164" s="105" t="s">
        <v>391</v>
      </c>
      <c r="G164" s="113" t="s">
        <v>392</v>
      </c>
      <c r="H164" s="419">
        <f>+C163*10%</f>
        <v>72000000</v>
      </c>
      <c r="I164" s="244"/>
      <c r="J164" s="244"/>
    </row>
    <row r="165" spans="1:10" ht="12.75">
      <c r="A165" s="104"/>
      <c r="B165" s="105"/>
      <c r="C165" s="114"/>
      <c r="D165" s="105" t="s">
        <v>394</v>
      </c>
      <c r="E165" s="105">
        <v>13</v>
      </c>
      <c r="F165" s="105"/>
      <c r="G165" s="113" t="str">
        <f>+'[7]Egresos Programa II General'!B27</f>
        <v>Alcantarillados Sanitarios</v>
      </c>
      <c r="H165" s="419">
        <f>+'[7]Egresos Programa II General'!C27-H310-H21</f>
        <v>502599999.9993863</v>
      </c>
      <c r="I165" s="239"/>
      <c r="J165" s="239">
        <f>+H165+H310</f>
        <v>660599999.9993863</v>
      </c>
    </row>
    <row r="166" spans="1:10" ht="39" thickBot="1">
      <c r="A166" s="104"/>
      <c r="B166" s="179"/>
      <c r="C166" s="114"/>
      <c r="D166" s="105" t="s">
        <v>396</v>
      </c>
      <c r="E166" s="105" t="s">
        <v>420</v>
      </c>
      <c r="F166" s="105">
        <v>12</v>
      </c>
      <c r="G166" s="417" t="str">
        <f>+'[7]Egresos Programa III General'!B80</f>
        <v>Plan Operación Matenimiento y Desarrollo del Sistema de Recolección y Tratamiemto de Aguas Residuales</v>
      </c>
      <c r="H166" s="147">
        <f>+'[7]Egresos Programa III General'!C80</f>
        <v>145400000</v>
      </c>
      <c r="I166" s="244"/>
      <c r="J166" s="244"/>
    </row>
    <row r="167" spans="1:12" s="125" customFormat="1" ht="13.5" thickBot="1">
      <c r="A167" s="120" t="s">
        <v>402</v>
      </c>
      <c r="B167" s="157"/>
      <c r="C167" s="121">
        <f>SUM(C163:C166)</f>
        <v>720000000</v>
      </c>
      <c r="D167" s="122"/>
      <c r="E167" s="122"/>
      <c r="F167" s="122"/>
      <c r="G167" s="123"/>
      <c r="H167" s="131">
        <f>SUM(H164:H166)</f>
        <v>719999999.9993863</v>
      </c>
      <c r="I167" s="237">
        <f>+C167-H167</f>
        <v>0.0006136894226074219</v>
      </c>
      <c r="J167" s="240"/>
      <c r="K167" s="409"/>
      <c r="L167" s="124"/>
    </row>
    <row r="168" spans="1:10" ht="12.75">
      <c r="A168" s="145"/>
      <c r="B168" s="156"/>
      <c r="C168" s="146"/>
      <c r="D168" s="105"/>
      <c r="E168" s="105"/>
      <c r="F168" s="105"/>
      <c r="G168" s="113"/>
      <c r="H168" s="147"/>
      <c r="I168" s="244"/>
      <c r="J168" s="244"/>
    </row>
    <row r="169" spans="1:10" ht="12.75">
      <c r="A169" s="104" t="str">
        <f>+'[7]Clasific. Económica de Ingresos'!A68</f>
        <v>1.3.1.2.05.04.2.0.000</v>
      </c>
      <c r="B169" s="105" t="s">
        <v>497</v>
      </c>
      <c r="C169" s="114">
        <f>SUM('[7]Clasific. Económica de Ingresos'!C62)</f>
        <v>866495000</v>
      </c>
      <c r="D169" s="105"/>
      <c r="E169" s="105"/>
      <c r="F169" s="105"/>
      <c r="G169" s="113"/>
      <c r="H169" s="147"/>
      <c r="I169" s="244"/>
      <c r="J169" s="244"/>
    </row>
    <row r="170" spans="1:10" ht="12.75">
      <c r="A170" s="104"/>
      <c r="B170" s="105"/>
      <c r="C170" s="114"/>
      <c r="D170" s="105" t="s">
        <v>389</v>
      </c>
      <c r="E170" s="105" t="s">
        <v>390</v>
      </c>
      <c r="F170" s="105" t="s">
        <v>391</v>
      </c>
      <c r="G170" s="113" t="s">
        <v>392</v>
      </c>
      <c r="H170" s="419">
        <f>+C169*10%</f>
        <v>86649500</v>
      </c>
      <c r="I170" s="244"/>
      <c r="J170" s="244"/>
    </row>
    <row r="171" spans="1:10" ht="13.5" thickBot="1">
      <c r="A171" s="104"/>
      <c r="B171" s="105"/>
      <c r="C171" s="114"/>
      <c r="D171" s="105" t="s">
        <v>394</v>
      </c>
      <c r="E171" s="105">
        <v>30</v>
      </c>
      <c r="F171" s="105"/>
      <c r="G171" s="113" t="str">
        <f>+'[7]Egresos Programa II General'!B41</f>
        <v>Alcantarillado Pluvial</v>
      </c>
      <c r="H171" s="419">
        <f>'[7]Egresos Programa II General'!C41-H311-H28</f>
        <v>779845500.0018082</v>
      </c>
      <c r="J171" s="239">
        <f>+H171+H311+H28+H326</f>
        <v>1142095500.0018082</v>
      </c>
    </row>
    <row r="172" spans="1:12" s="125" customFormat="1" ht="13.5" thickBot="1">
      <c r="A172" s="120" t="s">
        <v>402</v>
      </c>
      <c r="B172" s="157"/>
      <c r="C172" s="131">
        <f>SUM(C169:C171)</f>
        <v>866495000</v>
      </c>
      <c r="D172" s="122"/>
      <c r="E172" s="122"/>
      <c r="F172" s="122"/>
      <c r="G172" s="123"/>
      <c r="H172" s="131">
        <f>SUM(H170:H171)</f>
        <v>866495000.0018082</v>
      </c>
      <c r="I172" s="237">
        <f>+C172-H172</f>
        <v>-0.00180816650390625</v>
      </c>
      <c r="J172" s="240"/>
      <c r="K172" s="409"/>
      <c r="L172" s="124"/>
    </row>
    <row r="173" spans="1:10" ht="12.75">
      <c r="A173" s="104"/>
      <c r="B173" s="105"/>
      <c r="C173" s="114"/>
      <c r="D173" s="105"/>
      <c r="E173" s="105"/>
      <c r="F173" s="105"/>
      <c r="G173" s="113"/>
      <c r="H173" s="129"/>
      <c r="I173" s="239"/>
      <c r="J173" s="239"/>
    </row>
    <row r="174" spans="1:10" ht="25.5">
      <c r="A174" s="104" t="str">
        <f>+'[7]Clasific. Económica de Ingresos'!A64</f>
        <v>1.3.1.2.05.02.1.0.000</v>
      </c>
      <c r="B174" s="158" t="s">
        <v>424</v>
      </c>
      <c r="C174" s="114">
        <f>+'[7]Clasific. Económica de Ingresos'!C63</f>
        <v>190000000</v>
      </c>
      <c r="D174" s="105"/>
      <c r="E174" s="105"/>
      <c r="F174" s="105"/>
      <c r="G174" s="113"/>
      <c r="H174" s="147"/>
      <c r="I174" s="244"/>
      <c r="J174" s="244"/>
    </row>
    <row r="175" spans="1:10" ht="24.75" customHeight="1">
      <c r="A175" s="104"/>
      <c r="B175" s="105"/>
      <c r="C175" s="114"/>
      <c r="D175" s="105" t="s">
        <v>389</v>
      </c>
      <c r="E175" s="105" t="s">
        <v>390</v>
      </c>
      <c r="F175" s="105" t="s">
        <v>391</v>
      </c>
      <c r="G175" s="113" t="s">
        <v>392</v>
      </c>
      <c r="H175" s="419">
        <f>+'[7]INGRESOS LIBRES DETALLE Nº17'!H65</f>
        <v>19000000</v>
      </c>
      <c r="I175" s="244"/>
      <c r="J175" s="244"/>
    </row>
    <row r="176" spans="1:10" ht="12.75">
      <c r="A176" s="104"/>
      <c r="B176" s="179"/>
      <c r="C176" s="114"/>
      <c r="D176" s="105" t="s">
        <v>394</v>
      </c>
      <c r="E176" s="105" t="s">
        <v>405</v>
      </c>
      <c r="F176" s="105" t="s">
        <v>391</v>
      </c>
      <c r="G176" s="116" t="s">
        <v>419</v>
      </c>
      <c r="H176" s="147">
        <v>171000000</v>
      </c>
      <c r="I176" s="244"/>
      <c r="J176" s="244"/>
    </row>
    <row r="177" spans="1:11" ht="13.5" thickBot="1">
      <c r="A177" s="104"/>
      <c r="B177" s="105"/>
      <c r="C177" s="114"/>
      <c r="D177" s="105"/>
      <c r="E177" s="105"/>
      <c r="F177" s="105"/>
      <c r="G177" s="420"/>
      <c r="H177" s="147"/>
      <c r="I177" s="244"/>
      <c r="J177" s="244"/>
      <c r="K177" s="403" t="e">
        <f>+#REF!+#REF!+H177+20408580</f>
        <v>#REF!</v>
      </c>
    </row>
    <row r="178" spans="1:12" s="125" customFormat="1" ht="13.5" thickBot="1">
      <c r="A178" s="120" t="s">
        <v>402</v>
      </c>
      <c r="B178" s="157"/>
      <c r="C178" s="121">
        <f>SUM(C174:C176)</f>
        <v>190000000</v>
      </c>
      <c r="D178" s="122"/>
      <c r="E178" s="122"/>
      <c r="F178" s="122"/>
      <c r="G178" s="123"/>
      <c r="H178" s="131">
        <f>SUM(H174:H177)</f>
        <v>190000000</v>
      </c>
      <c r="I178" s="237">
        <f>+C178-H178</f>
        <v>0</v>
      </c>
      <c r="J178" s="240"/>
      <c r="K178" s="409"/>
      <c r="L178" s="124"/>
    </row>
    <row r="179" spans="1:10" ht="12.75">
      <c r="A179" s="145"/>
      <c r="B179" s="156"/>
      <c r="C179" s="146"/>
      <c r="D179" s="105"/>
      <c r="E179" s="105"/>
      <c r="F179" s="105"/>
      <c r="G179" s="113"/>
      <c r="H179" s="147"/>
      <c r="I179" s="244"/>
      <c r="J179" s="244"/>
    </row>
    <row r="180" spans="1:10" ht="12.75">
      <c r="A180" s="104" t="str">
        <f>+'[7]Clasific. Económica de Ingresos'!A67</f>
        <v>1.3.1.2.05.04.1.0.000</v>
      </c>
      <c r="B180" s="156" t="s">
        <v>88</v>
      </c>
      <c r="C180" s="114">
        <f>SUM('[7]Clasific. Económica de Ingresos'!C67)</f>
        <v>4100000000</v>
      </c>
      <c r="D180" s="105"/>
      <c r="E180" s="105"/>
      <c r="F180" s="105"/>
      <c r="G180" s="113"/>
      <c r="H180" s="147"/>
      <c r="I180" s="244"/>
      <c r="J180" s="244"/>
    </row>
    <row r="181" spans="1:10" ht="12.75">
      <c r="A181" s="104"/>
      <c r="B181" s="105"/>
      <c r="C181" s="114"/>
      <c r="D181" s="105" t="s">
        <v>389</v>
      </c>
      <c r="E181" s="105" t="s">
        <v>390</v>
      </c>
      <c r="F181" s="105" t="s">
        <v>391</v>
      </c>
      <c r="G181" s="113" t="s">
        <v>392</v>
      </c>
      <c r="H181" s="419">
        <f>+C180*10%</f>
        <v>410000000</v>
      </c>
      <c r="I181" s="244"/>
      <c r="J181" s="244"/>
    </row>
    <row r="182" spans="1:11" ht="12.75">
      <c r="A182" s="104"/>
      <c r="B182" s="105"/>
      <c r="C182" s="114"/>
      <c r="D182" s="105" t="s">
        <v>394</v>
      </c>
      <c r="E182" s="105" t="s">
        <v>397</v>
      </c>
      <c r="F182" s="105" t="s">
        <v>391</v>
      </c>
      <c r="G182" s="113" t="str">
        <f>+'[7]Egresos Programa II General'!B13</f>
        <v>Recolección de Basuras</v>
      </c>
      <c r="H182" s="419">
        <f>+'[7]Egresos Programa II General'!C13-H15</f>
        <v>3667146446.337099</v>
      </c>
      <c r="I182" s="244"/>
      <c r="J182" s="244"/>
      <c r="K182" s="403">
        <f>+C180-H182</f>
        <v>432853553.6629009</v>
      </c>
    </row>
    <row r="183" spans="1:10" ht="26.25" thickBot="1">
      <c r="A183" s="104"/>
      <c r="B183" s="105"/>
      <c r="C183" s="114"/>
      <c r="D183" s="105" t="s">
        <v>396</v>
      </c>
      <c r="E183" s="105" t="s">
        <v>405</v>
      </c>
      <c r="F183" s="105" t="s">
        <v>393</v>
      </c>
      <c r="G183" s="416" t="str">
        <f>+'[7]Egresos Programa III General'!B100</f>
        <v>Implementación del Plan Municipal para la Gestión Integral de Residuos Sólidos</v>
      </c>
      <c r="H183" s="147">
        <f>+'[7]Egresos Programa III General'!C100</f>
        <v>22853553.66</v>
      </c>
      <c r="I183" s="244"/>
      <c r="J183" s="244"/>
    </row>
    <row r="184" spans="1:10" ht="13.5" thickBot="1">
      <c r="A184" s="120" t="s">
        <v>402</v>
      </c>
      <c r="B184" s="157"/>
      <c r="C184" s="121">
        <f>SUM(C180:C182)</f>
        <v>4100000000</v>
      </c>
      <c r="D184" s="122"/>
      <c r="E184" s="122"/>
      <c r="F184" s="122"/>
      <c r="G184" s="123"/>
      <c r="H184" s="131">
        <f>SUM(H181:H183)</f>
        <v>4099999999.997099</v>
      </c>
      <c r="I184" s="237">
        <f>+C184-H184</f>
        <v>0.0029010772705078125</v>
      </c>
      <c r="J184" s="240"/>
    </row>
    <row r="185" spans="1:10" ht="12.75">
      <c r="A185" s="145"/>
      <c r="B185" s="156"/>
      <c r="C185" s="146"/>
      <c r="D185" s="105"/>
      <c r="E185" s="105"/>
      <c r="F185" s="105"/>
      <c r="G185" s="113"/>
      <c r="H185" s="147"/>
      <c r="I185" s="244"/>
      <c r="J185" s="244"/>
    </row>
    <row r="186" spans="1:10" ht="25.5">
      <c r="A186" s="104" t="str">
        <f>+'[7]Clasific. Económica de Ingresos'!A68</f>
        <v>1.3.1.2.05.04.2.0.000</v>
      </c>
      <c r="B186" s="156" t="s">
        <v>90</v>
      </c>
      <c r="C186" s="114">
        <f>SUM('[7]Clasific. Económica de Ingresos'!C68)</f>
        <v>660000000</v>
      </c>
      <c r="D186" s="105"/>
      <c r="E186" s="105"/>
      <c r="F186" s="105"/>
      <c r="G186" s="113"/>
      <c r="H186" s="147"/>
      <c r="I186" s="244"/>
      <c r="J186" s="244"/>
    </row>
    <row r="187" spans="1:10" ht="12.75">
      <c r="A187" s="104"/>
      <c r="B187" s="156"/>
      <c r="C187" s="114"/>
      <c r="D187" s="105" t="s">
        <v>389</v>
      </c>
      <c r="E187" s="105" t="s">
        <v>390</v>
      </c>
      <c r="F187" s="105" t="s">
        <v>391</v>
      </c>
      <c r="G187" s="113" t="s">
        <v>392</v>
      </c>
      <c r="H187" s="419">
        <f>+C186*10%</f>
        <v>66000000</v>
      </c>
      <c r="I187" s="244"/>
      <c r="J187" s="244"/>
    </row>
    <row r="188" spans="1:13" ht="13.5" thickBot="1">
      <c r="A188" s="104"/>
      <c r="B188" s="105"/>
      <c r="C188" s="114"/>
      <c r="D188" s="105" t="s">
        <v>394</v>
      </c>
      <c r="E188" s="105" t="s">
        <v>390</v>
      </c>
      <c r="F188" s="105"/>
      <c r="G188" s="113" t="str">
        <f>+'[7]Egresos Programa II General'!B11</f>
        <v>Aseo de Vías y Sitios Públicos</v>
      </c>
      <c r="H188" s="419">
        <f>+'[7]Egresos Programa II General'!C11-H14</f>
        <v>594000000.00261</v>
      </c>
      <c r="I188" s="239"/>
      <c r="J188" s="239"/>
      <c r="K188" s="403">
        <f>+C186-H188</f>
        <v>65999999.99739003</v>
      </c>
      <c r="M188" s="115"/>
    </row>
    <row r="189" spans="1:12" s="125" customFormat="1" ht="13.5" thickBot="1">
      <c r="A189" s="120" t="s">
        <v>402</v>
      </c>
      <c r="B189" s="157"/>
      <c r="C189" s="121">
        <f>SUM(C186:C188)</f>
        <v>660000000</v>
      </c>
      <c r="D189" s="122"/>
      <c r="E189" s="122"/>
      <c r="F189" s="122"/>
      <c r="G189" s="123"/>
      <c r="H189" s="131">
        <f>SUM(H186:H188)</f>
        <v>660000000.00261</v>
      </c>
      <c r="I189" s="237">
        <f>+C189-H189</f>
        <v>-0.0026099681854248047</v>
      </c>
      <c r="J189" s="240"/>
      <c r="K189" s="409"/>
      <c r="L189" s="124"/>
    </row>
    <row r="190" spans="1:10" ht="12.75">
      <c r="A190" s="145"/>
      <c r="B190" s="156"/>
      <c r="C190" s="146"/>
      <c r="D190" s="105"/>
      <c r="E190" s="105"/>
      <c r="F190" s="105"/>
      <c r="G190" s="113"/>
      <c r="H190" s="147"/>
      <c r="I190" s="244"/>
      <c r="J190" s="244"/>
    </row>
    <row r="191" spans="1:10" ht="12.75">
      <c r="A191" s="104" t="str">
        <f>+'[7]Clasific. Económica de Ingresos'!A69</f>
        <v>1.3.1.2.05.04.4.0.000</v>
      </c>
      <c r="B191" s="156" t="s">
        <v>425</v>
      </c>
      <c r="C191" s="114">
        <f>+'[7]Clasific. Económica de Ingresos'!C69</f>
        <v>290000000</v>
      </c>
      <c r="D191" s="105"/>
      <c r="E191" s="105"/>
      <c r="F191" s="105"/>
      <c r="G191" s="113"/>
      <c r="H191" s="147"/>
      <c r="I191" s="244"/>
      <c r="J191" s="244"/>
    </row>
    <row r="192" spans="1:10" ht="12.75">
      <c r="A192" s="104"/>
      <c r="B192" s="105"/>
      <c r="C192" s="114"/>
      <c r="D192" s="105" t="s">
        <v>389</v>
      </c>
      <c r="E192" s="105" t="s">
        <v>390</v>
      </c>
      <c r="F192" s="105" t="s">
        <v>391</v>
      </c>
      <c r="G192" s="113" t="s">
        <v>392</v>
      </c>
      <c r="H192" s="419">
        <f>+C191*10%</f>
        <v>29000000</v>
      </c>
      <c r="I192" s="244"/>
      <c r="J192" s="244"/>
    </row>
    <row r="193" spans="1:13" ht="12.75">
      <c r="A193" s="104"/>
      <c r="B193" s="105"/>
      <c r="C193" s="114"/>
      <c r="D193" s="105" t="s">
        <v>394</v>
      </c>
      <c r="E193" s="105" t="s">
        <v>420</v>
      </c>
      <c r="F193" s="105" t="s">
        <v>391</v>
      </c>
      <c r="G193" s="113" t="str">
        <f>+'[7]Egresos Programa II General'!B15</f>
        <v>Parques Obras de Ornato</v>
      </c>
      <c r="H193" s="419">
        <f>+'[7]Egresos Programa II General'!C15-H16</f>
        <v>231999999.99926797</v>
      </c>
      <c r="I193" s="239"/>
      <c r="J193" s="239"/>
      <c r="K193" s="403">
        <f>+H193+H16</f>
        <v>231999999.99926797</v>
      </c>
      <c r="M193" s="115"/>
    </row>
    <row r="194" spans="1:11" ht="29.25" customHeight="1" thickBot="1">
      <c r="A194" s="104"/>
      <c r="B194" s="105"/>
      <c r="C194" s="114"/>
      <c r="D194" s="105" t="s">
        <v>396</v>
      </c>
      <c r="E194" s="105" t="s">
        <v>405</v>
      </c>
      <c r="F194" s="105" t="s">
        <v>568</v>
      </c>
      <c r="G194" s="416" t="str">
        <f>+'[7]Egresos Programa III General'!B104</f>
        <v>Jardinería en los Parques de los  Distrito Alajuela</v>
      </c>
      <c r="H194" s="129">
        <f>+'[7]Egresos Programa III General'!C104</f>
        <v>29000000</v>
      </c>
      <c r="I194" s="236"/>
      <c r="J194" s="236"/>
      <c r="K194" s="403">
        <f>+H194+H219</f>
        <v>39800000</v>
      </c>
    </row>
    <row r="195" spans="1:12" s="125" customFormat="1" ht="13.5" thickBot="1">
      <c r="A195" s="120" t="s">
        <v>402</v>
      </c>
      <c r="B195" s="157"/>
      <c r="C195" s="121">
        <f>SUM(C191:C194)</f>
        <v>290000000</v>
      </c>
      <c r="D195" s="122"/>
      <c r="E195" s="122"/>
      <c r="F195" s="122"/>
      <c r="G195" s="123"/>
      <c r="H195" s="131">
        <f>SUM(H192:H194)</f>
        <v>289999999.99926794</v>
      </c>
      <c r="I195" s="237">
        <f>+C195-H195</f>
        <v>0.0007320642471313477</v>
      </c>
      <c r="J195" s="240"/>
      <c r="K195" s="409"/>
      <c r="L195" s="124"/>
    </row>
    <row r="196" spans="1:10" ht="12.75">
      <c r="A196" s="161"/>
      <c r="B196" s="113"/>
      <c r="C196" s="113"/>
      <c r="D196" s="130"/>
      <c r="E196" s="130"/>
      <c r="F196" s="130"/>
      <c r="G196" s="162"/>
      <c r="H196" s="160"/>
      <c r="I196" s="248"/>
      <c r="J196" s="248"/>
    </row>
    <row r="197" spans="1:10" ht="12.75">
      <c r="A197" s="104" t="str">
        <f>+'[7]Clasific. Económica de Ingresos'!A70</f>
        <v>1.3.1.2.05.04.5.0.000</v>
      </c>
      <c r="B197" s="113" t="s">
        <v>94</v>
      </c>
      <c r="C197" s="114">
        <f>+'[7]Clasific. Económica de Ingresos'!C70</f>
        <v>28400000</v>
      </c>
      <c r="D197" s="105" t="s">
        <v>389</v>
      </c>
      <c r="E197" s="105" t="s">
        <v>390</v>
      </c>
      <c r="F197" s="105" t="s">
        <v>391</v>
      </c>
      <c r="G197" s="113" t="s">
        <v>392</v>
      </c>
      <c r="H197" s="419">
        <f>+C197*10%</f>
        <v>2840000</v>
      </c>
      <c r="I197" s="251"/>
      <c r="J197" s="251"/>
    </row>
    <row r="198" spans="1:10" ht="13.5" thickBot="1">
      <c r="A198" s="104"/>
      <c r="B198" s="105"/>
      <c r="C198" s="114"/>
      <c r="D198" s="105" t="s">
        <v>394</v>
      </c>
      <c r="E198" s="105">
        <v>29</v>
      </c>
      <c r="F198" s="105"/>
      <c r="G198" s="113" t="str">
        <f>+'[7]Egresos Programa II General'!B39</f>
        <v>Por incumplimiento de Deberes de los Propietarios BI</v>
      </c>
      <c r="H198" s="147">
        <v>25560000</v>
      </c>
      <c r="J198" s="406">
        <f>+H198+H257</f>
        <v>55559999.996350214</v>
      </c>
    </row>
    <row r="199" spans="1:12" s="125" customFormat="1" ht="13.5" thickBot="1">
      <c r="A199" s="120" t="s">
        <v>402</v>
      </c>
      <c r="B199" s="157"/>
      <c r="C199" s="121">
        <f>SUM(C197:C198)</f>
        <v>28400000</v>
      </c>
      <c r="D199" s="122"/>
      <c r="E199" s="122"/>
      <c r="F199" s="122"/>
      <c r="G199" s="123"/>
      <c r="H199" s="131">
        <f>SUM(H197:H198)</f>
        <v>28400000</v>
      </c>
      <c r="I199" s="237">
        <f>+C199-H199</f>
        <v>0</v>
      </c>
      <c r="J199" s="240"/>
      <c r="K199" s="409"/>
      <c r="L199" s="124"/>
    </row>
    <row r="200" spans="1:10" ht="12.75">
      <c r="A200" s="145"/>
      <c r="B200" s="156"/>
      <c r="C200" s="146"/>
      <c r="D200" s="105"/>
      <c r="E200" s="105"/>
      <c r="F200" s="105"/>
      <c r="G200" s="113"/>
      <c r="H200" s="147"/>
      <c r="I200" s="244"/>
      <c r="J200" s="244"/>
    </row>
    <row r="201" spans="1:10" ht="12.75">
      <c r="A201" s="104" t="str">
        <f>+'[7]Clasific. Económica de Ingresos'!A71</f>
        <v>1.3.1.2.05.09.9.0.000</v>
      </c>
      <c r="B201" s="156" t="str">
        <f>+'[7]Clasific. Económica de Ingresos'!B71</f>
        <v>Venta de otros servicios comunitarios</v>
      </c>
      <c r="C201" s="114">
        <f>+'[7]Clasific. Económica de Ingresos'!C71</f>
        <v>194784000</v>
      </c>
      <c r="D201" s="105"/>
      <c r="E201" s="105"/>
      <c r="F201" s="105"/>
      <c r="G201" s="113"/>
      <c r="H201" s="147"/>
      <c r="I201" s="244"/>
      <c r="J201" s="244"/>
    </row>
    <row r="202" spans="1:10" ht="12.75">
      <c r="A202" s="104"/>
      <c r="B202" s="105"/>
      <c r="C202" s="114"/>
      <c r="D202" s="105" t="s">
        <v>394</v>
      </c>
      <c r="E202" s="105">
        <v>10</v>
      </c>
      <c r="F202" s="105" t="s">
        <v>391</v>
      </c>
      <c r="G202" s="113" t="str">
        <f>+'[7]Egresos Programa II General'!B23</f>
        <v>Servicios Sociales Complementarios</v>
      </c>
      <c r="H202" s="147">
        <v>194784000</v>
      </c>
      <c r="I202" s="244"/>
      <c r="J202" s="244"/>
    </row>
    <row r="203" spans="1:10" ht="13.5" thickBot="1">
      <c r="A203" s="104"/>
      <c r="B203" s="105"/>
      <c r="C203" s="114"/>
      <c r="D203" s="105"/>
      <c r="E203" s="105"/>
      <c r="F203" s="105"/>
      <c r="G203" s="113"/>
      <c r="H203" s="147"/>
      <c r="I203" s="244"/>
      <c r="J203" s="244"/>
    </row>
    <row r="204" spans="1:10" ht="13.5" thickBot="1">
      <c r="A204" s="120" t="s">
        <v>402</v>
      </c>
      <c r="B204" s="157"/>
      <c r="C204" s="121">
        <f>SUM(C200:C202)</f>
        <v>194784000</v>
      </c>
      <c r="D204" s="122"/>
      <c r="E204" s="122"/>
      <c r="F204" s="122"/>
      <c r="G204" s="123"/>
      <c r="H204" s="131">
        <f>SUM(H201:H202)</f>
        <v>194784000</v>
      </c>
      <c r="I204" s="237">
        <f>+C204-H204</f>
        <v>0</v>
      </c>
      <c r="J204" s="240"/>
    </row>
    <row r="205" spans="1:10" ht="12.75">
      <c r="A205" s="104"/>
      <c r="B205" s="105"/>
      <c r="C205" s="114"/>
      <c r="D205" s="105"/>
      <c r="E205" s="105"/>
      <c r="F205" s="105"/>
      <c r="G205" s="113"/>
      <c r="H205" s="129"/>
      <c r="I205" s="239"/>
      <c r="J205" s="239"/>
    </row>
    <row r="206" spans="1:12" s="137" customFormat="1" ht="12.75">
      <c r="A206" s="152"/>
      <c r="B206" s="134"/>
      <c r="C206" s="134"/>
      <c r="D206" s="133"/>
      <c r="E206" s="39"/>
      <c r="F206" s="133"/>
      <c r="G206" s="134"/>
      <c r="H206" s="163"/>
      <c r="I206" s="249"/>
      <c r="J206" s="249"/>
      <c r="K206" s="407"/>
      <c r="L206" s="136"/>
    </row>
    <row r="207" spans="1:12" s="137" customFormat="1" ht="12.75">
      <c r="A207" s="132" t="str">
        <f>+'[7]Clasific. Económica de Ingresos'!A73</f>
        <v>1.3.1.2.09.09.0.0.000</v>
      </c>
      <c r="B207" s="134" t="s">
        <v>426</v>
      </c>
      <c r="C207" s="40">
        <f>SUM('[7]Clasific. Económica de Ingresos'!C73)</f>
        <v>10000000</v>
      </c>
      <c r="D207" s="133"/>
      <c r="E207" s="133"/>
      <c r="F207" s="133"/>
      <c r="G207" s="134"/>
      <c r="H207" s="135"/>
      <c r="I207" s="241"/>
      <c r="J207" s="241"/>
      <c r="K207" s="407"/>
      <c r="L207" s="136"/>
    </row>
    <row r="208" spans="1:10" ht="25.5" customHeight="1" hidden="1">
      <c r="A208" s="104"/>
      <c r="B208" s="134"/>
      <c r="C208" s="40"/>
      <c r="D208" s="133" t="s">
        <v>396</v>
      </c>
      <c r="E208" s="133">
        <v>5</v>
      </c>
      <c r="F208" s="133" t="s">
        <v>400</v>
      </c>
      <c r="G208" s="151" t="str">
        <f>+'[7]Egresos Programa III General'!B79</f>
        <v>Plan Operación Mantenimiento y Des.Sistema de Acueducto 2018-2022</v>
      </c>
      <c r="H208" s="135">
        <v>0</v>
      </c>
      <c r="I208" s="244"/>
      <c r="J208" s="244">
        <f>SUM(H311:H322)</f>
        <v>1120844039.96</v>
      </c>
    </row>
    <row r="209" spans="1:12" s="137" customFormat="1" ht="13.5" thickBot="1">
      <c r="A209" s="132"/>
      <c r="B209" s="133"/>
      <c r="C209" s="40"/>
      <c r="D209" s="133" t="s">
        <v>396</v>
      </c>
      <c r="E209" s="133" t="s">
        <v>400</v>
      </c>
      <c r="F209" s="133"/>
      <c r="G209" s="134" t="s">
        <v>401</v>
      </c>
      <c r="H209" s="138">
        <v>10000000</v>
      </c>
      <c r="I209" s="242"/>
      <c r="J209" s="242"/>
      <c r="K209" s="407"/>
      <c r="L209" s="136"/>
    </row>
    <row r="210" spans="1:12" s="144" customFormat="1" ht="13.5" thickBot="1">
      <c r="A210" s="139" t="s">
        <v>402</v>
      </c>
      <c r="B210" s="155"/>
      <c r="C210" s="140">
        <f>SUM(C207:C209)</f>
        <v>10000000</v>
      </c>
      <c r="D210" s="48"/>
      <c r="E210" s="48"/>
      <c r="F210" s="48"/>
      <c r="G210" s="141"/>
      <c r="H210" s="142">
        <f>SUM(H207:H209)</f>
        <v>10000000</v>
      </c>
      <c r="I210" s="243">
        <f>+C210-H210</f>
        <v>0</v>
      </c>
      <c r="J210" s="8"/>
      <c r="K210" s="410"/>
      <c r="L210" s="143"/>
    </row>
    <row r="211" spans="1:10" ht="12.75">
      <c r="A211" s="145"/>
      <c r="B211" s="156"/>
      <c r="C211" s="146"/>
      <c r="D211" s="105"/>
      <c r="E211" s="105"/>
      <c r="F211" s="105"/>
      <c r="G211" s="113"/>
      <c r="H211" s="147"/>
      <c r="I211" s="244"/>
      <c r="J211" s="244"/>
    </row>
    <row r="212" spans="1:10" ht="25.5">
      <c r="A212" s="104" t="str">
        <f>+'[7]Clasific. Económica de Ingresos'!A78</f>
        <v>1.3.1.3.01.01.1.0.000</v>
      </c>
      <c r="B212" s="156" t="s">
        <v>427</v>
      </c>
      <c r="C212" s="114">
        <f>SUM('[7]Clasific. Económica de Ingresos'!C78)</f>
        <v>145000000</v>
      </c>
      <c r="D212" s="105"/>
      <c r="E212" s="105"/>
      <c r="F212" s="105"/>
      <c r="G212" s="113"/>
      <c r="H212" s="147"/>
      <c r="I212" s="244"/>
      <c r="J212" s="244"/>
    </row>
    <row r="213" spans="1:10" ht="12.75">
      <c r="A213" s="104"/>
      <c r="B213" s="105"/>
      <c r="C213" s="114"/>
      <c r="D213" s="105" t="s">
        <v>389</v>
      </c>
      <c r="E213" s="105" t="s">
        <v>390</v>
      </c>
      <c r="F213" s="105" t="s">
        <v>391</v>
      </c>
      <c r="G213" s="113" t="s">
        <v>392</v>
      </c>
      <c r="H213" s="419">
        <f>+C212*10%</f>
        <v>14500000</v>
      </c>
      <c r="I213" s="244"/>
      <c r="J213" s="244"/>
    </row>
    <row r="214" spans="1:10" ht="13.5" thickBot="1">
      <c r="A214" s="104"/>
      <c r="B214" s="105"/>
      <c r="C214" s="114"/>
      <c r="D214" s="105" t="s">
        <v>394</v>
      </c>
      <c r="E214" s="105">
        <v>11</v>
      </c>
      <c r="F214" s="105"/>
      <c r="G214" s="113" t="str">
        <f>+'[7]Egresos Programa II General'!B25</f>
        <v>Estacionamientos y Terminales</v>
      </c>
      <c r="H214" s="418">
        <f>+'[7]Egresos Programa II General'!C25-'Origen y Aplicación (2)'!H20</f>
        <v>130499999.99810413</v>
      </c>
      <c r="I214" s="239"/>
      <c r="J214" s="239"/>
    </row>
    <row r="215" spans="1:10" ht="13.5" thickBot="1">
      <c r="A215" s="120" t="s">
        <v>402</v>
      </c>
      <c r="B215" s="157"/>
      <c r="C215" s="121">
        <f>SUM(C212:C214)</f>
        <v>145000000</v>
      </c>
      <c r="D215" s="122"/>
      <c r="E215" s="122"/>
      <c r="F215" s="122"/>
      <c r="G215" s="123"/>
      <c r="H215" s="131">
        <f>SUM(H213:H214)</f>
        <v>144999999.99810413</v>
      </c>
      <c r="I215" s="237">
        <f>+C215-H215</f>
        <v>0.0018958747386932373</v>
      </c>
      <c r="J215" s="240"/>
    </row>
    <row r="216" spans="1:10" ht="12.75">
      <c r="A216" s="145"/>
      <c r="B216" s="156"/>
      <c r="C216" s="146"/>
      <c r="D216" s="105"/>
      <c r="E216" s="105"/>
      <c r="F216" s="105"/>
      <c r="G216" s="113"/>
      <c r="H216" s="147"/>
      <c r="I216" s="244"/>
      <c r="J216" s="244"/>
    </row>
    <row r="217" spans="1:10" ht="12.75">
      <c r="A217" s="104" t="str">
        <f>+'[7]Clasific. Económica de Ingresos'!A81</f>
        <v>1.3.1.3.02.03.1.0.000</v>
      </c>
      <c r="B217" s="156" t="s">
        <v>428</v>
      </c>
      <c r="C217" s="114">
        <f>SUM('[7]Clasific. Económica de Ingresos'!C81)</f>
        <v>12000000</v>
      </c>
      <c r="D217" s="105"/>
      <c r="E217" s="105"/>
      <c r="F217" s="105"/>
      <c r="G217" s="113"/>
      <c r="H217" s="147"/>
      <c r="I217" s="244"/>
      <c r="J217" s="244"/>
    </row>
    <row r="218" spans="1:10" ht="12.75">
      <c r="A218" s="104"/>
      <c r="B218" s="105"/>
      <c r="C218" s="114"/>
      <c r="D218" s="105" t="s">
        <v>389</v>
      </c>
      <c r="E218" s="105" t="s">
        <v>390</v>
      </c>
      <c r="F218" s="105" t="s">
        <v>391</v>
      </c>
      <c r="G218" s="113" t="s">
        <v>392</v>
      </c>
      <c r="H218" s="419">
        <f>+C217*10%</f>
        <v>1200000</v>
      </c>
      <c r="I218" s="244"/>
      <c r="J218" s="244"/>
    </row>
    <row r="219" spans="1:10" ht="13.5" thickBot="1">
      <c r="A219" s="104"/>
      <c r="B219" s="105"/>
      <c r="C219" s="114"/>
      <c r="D219" s="105" t="s">
        <v>394</v>
      </c>
      <c r="E219" s="105" t="s">
        <v>400</v>
      </c>
      <c r="F219" s="105"/>
      <c r="G219" s="113" t="str">
        <f>+'[7]Egresos Programa II General'!B19</f>
        <v>Mercados, Plazas y Ferias</v>
      </c>
      <c r="H219" s="418">
        <v>10800000</v>
      </c>
      <c r="I219" s="239"/>
      <c r="J219" s="239"/>
    </row>
    <row r="220" spans="1:10" ht="13.5" thickBot="1">
      <c r="A220" s="120" t="s">
        <v>402</v>
      </c>
      <c r="B220" s="157"/>
      <c r="C220" s="121">
        <f>SUM(C217:C219)</f>
        <v>12000000</v>
      </c>
      <c r="D220" s="122"/>
      <c r="E220" s="122"/>
      <c r="F220" s="122"/>
      <c r="G220" s="123"/>
      <c r="H220" s="131">
        <f>SUM(H218:H219)</f>
        <v>12000000</v>
      </c>
      <c r="I220" s="237">
        <f>+C220-H220</f>
        <v>0</v>
      </c>
      <c r="J220" s="240"/>
    </row>
    <row r="221" spans="1:10" ht="13.5" thickBot="1">
      <c r="A221" s="106"/>
      <c r="B221" s="107"/>
      <c r="C221" s="108"/>
      <c r="D221" s="108"/>
      <c r="E221" s="108"/>
      <c r="F221" s="108"/>
      <c r="G221" s="109"/>
      <c r="H221" s="257"/>
      <c r="I221" s="180"/>
      <c r="J221" s="180"/>
    </row>
    <row r="222" spans="1:10" ht="13.5" thickBot="1">
      <c r="A222" s="173"/>
      <c r="B222" s="174"/>
      <c r="C222" s="175"/>
      <c r="D222" s="174"/>
      <c r="E222" s="108"/>
      <c r="F222" s="174"/>
      <c r="G222" s="176"/>
      <c r="H222" s="177"/>
      <c r="I222" s="248"/>
      <c r="J222" s="248"/>
    </row>
    <row r="223" spans="1:12" s="137" customFormat="1" ht="12.75">
      <c r="A223" s="152" t="s">
        <v>146</v>
      </c>
      <c r="B223" s="134"/>
      <c r="C223" s="134"/>
      <c r="D223" s="133"/>
      <c r="E223" s="133"/>
      <c r="F223" s="133"/>
      <c r="G223" s="134"/>
      <c r="H223" s="135"/>
      <c r="I223" s="241"/>
      <c r="J223" s="241"/>
      <c r="K223" s="407"/>
      <c r="L223" s="136"/>
    </row>
    <row r="224" spans="1:12" s="137" customFormat="1" ht="12.75">
      <c r="A224" s="132" t="str">
        <f>+'[7]Clasific. Económica de Ingresos'!A88</f>
        <v>1.3.2.3.01.06.0.0.000</v>
      </c>
      <c r="B224" s="134" t="s">
        <v>429</v>
      </c>
      <c r="C224" s="40">
        <f>SUM('[7]Clasific. Económica de Ingresos'!C88)</f>
        <v>850000000</v>
      </c>
      <c r="D224" s="133"/>
      <c r="E224" s="133"/>
      <c r="F224" s="133"/>
      <c r="G224" s="134"/>
      <c r="H224" s="135"/>
      <c r="I224" s="241"/>
      <c r="J224" s="241"/>
      <c r="K224" s="407"/>
      <c r="L224" s="136"/>
    </row>
    <row r="225" spans="1:12" s="137" customFormat="1" ht="13.5" thickBot="1">
      <c r="A225" s="132"/>
      <c r="B225" s="134"/>
      <c r="C225" s="40"/>
      <c r="D225" s="133" t="s">
        <v>389</v>
      </c>
      <c r="E225" s="133" t="s">
        <v>390</v>
      </c>
      <c r="F225" s="133" t="s">
        <v>391</v>
      </c>
      <c r="G225" s="134" t="s">
        <v>392</v>
      </c>
      <c r="H225" s="135">
        <v>850000000</v>
      </c>
      <c r="I225" s="241"/>
      <c r="J225" s="241"/>
      <c r="K225" s="407"/>
      <c r="L225" s="136"/>
    </row>
    <row r="226" spans="1:12" s="137" customFormat="1" ht="13.5" hidden="1" thickBot="1">
      <c r="A226" s="132"/>
      <c r="B226" s="134"/>
      <c r="C226" s="40"/>
      <c r="D226" s="133" t="s">
        <v>389</v>
      </c>
      <c r="E226" s="133" t="s">
        <v>393</v>
      </c>
      <c r="F226" s="133"/>
      <c r="G226" s="134" t="str">
        <f>+'[7]ProgramaI'!B32</f>
        <v>Comité Cantonal Deportes y Recreación </v>
      </c>
      <c r="H226" s="135">
        <v>0</v>
      </c>
      <c r="I226" s="241"/>
      <c r="J226" s="241"/>
      <c r="K226" s="407"/>
      <c r="L226" s="136"/>
    </row>
    <row r="227" spans="1:12" s="137" customFormat="1" ht="28.5" customHeight="1" hidden="1">
      <c r="A227" s="132"/>
      <c r="B227" s="133"/>
      <c r="C227" s="40"/>
      <c r="D227" s="133" t="s">
        <v>396</v>
      </c>
      <c r="E227" s="133" t="s">
        <v>397</v>
      </c>
      <c r="F227" s="133" t="s">
        <v>405</v>
      </c>
      <c r="G227" s="151" t="str">
        <f>+'[7]Egresos Programa III General'!B46</f>
        <v>Carpeta Asfaltica en Urbanización las Melisas</v>
      </c>
      <c r="H227" s="135">
        <v>0</v>
      </c>
      <c r="I227" s="241"/>
      <c r="J227" s="241"/>
      <c r="K227" s="407"/>
      <c r="L227" s="136"/>
    </row>
    <row r="228" spans="1:12" s="137" customFormat="1" ht="13.5" hidden="1" thickBot="1">
      <c r="A228" s="132"/>
      <c r="B228" s="133"/>
      <c r="C228" s="40"/>
      <c r="D228" s="133" t="s">
        <v>396</v>
      </c>
      <c r="E228" s="133" t="s">
        <v>405</v>
      </c>
      <c r="F228" s="133" t="s">
        <v>420</v>
      </c>
      <c r="G228" s="134" t="s">
        <v>488</v>
      </c>
      <c r="H228" s="135"/>
      <c r="I228" s="241"/>
      <c r="J228" s="241"/>
      <c r="K228" s="407"/>
      <c r="L228" s="136"/>
    </row>
    <row r="229" spans="1:12" s="137" customFormat="1" ht="13.5" hidden="1" thickBot="1">
      <c r="A229" s="132"/>
      <c r="B229" s="133"/>
      <c r="C229" s="40"/>
      <c r="D229" s="133" t="s">
        <v>396</v>
      </c>
      <c r="E229" s="133" t="s">
        <v>405</v>
      </c>
      <c r="F229" s="133" t="s">
        <v>405</v>
      </c>
      <c r="G229" s="134" t="s">
        <v>489</v>
      </c>
      <c r="H229" s="135"/>
      <c r="I229" s="241"/>
      <c r="J229" s="241"/>
      <c r="K229" s="407"/>
      <c r="L229" s="136"/>
    </row>
    <row r="230" spans="1:12" s="137" customFormat="1" ht="13.5" hidden="1" thickBot="1">
      <c r="A230" s="132"/>
      <c r="B230" s="133"/>
      <c r="C230" s="40"/>
      <c r="D230" s="133" t="s">
        <v>396</v>
      </c>
      <c r="E230" s="133" t="s">
        <v>405</v>
      </c>
      <c r="F230" s="133" t="s">
        <v>400</v>
      </c>
      <c r="G230" s="134" t="s">
        <v>490</v>
      </c>
      <c r="H230" s="135"/>
      <c r="I230" s="241"/>
      <c r="J230" s="241"/>
      <c r="K230" s="407"/>
      <c r="L230" s="136"/>
    </row>
    <row r="231" spans="1:12" s="137" customFormat="1" ht="26.25" hidden="1" thickBot="1">
      <c r="A231" s="132"/>
      <c r="B231" s="133"/>
      <c r="C231" s="40"/>
      <c r="D231" s="133" t="s">
        <v>396</v>
      </c>
      <c r="E231" s="133" t="s">
        <v>405</v>
      </c>
      <c r="F231" s="133">
        <v>10</v>
      </c>
      <c r="G231" s="151" t="s">
        <v>491</v>
      </c>
      <c r="H231" s="135"/>
      <c r="I231" s="241"/>
      <c r="J231" s="241"/>
      <c r="K231" s="407"/>
      <c r="L231" s="136"/>
    </row>
    <row r="232" spans="1:12" s="137" customFormat="1" ht="13.5" hidden="1" thickBot="1">
      <c r="A232" s="132"/>
      <c r="B232" s="133"/>
      <c r="C232" s="40"/>
      <c r="D232" s="133" t="s">
        <v>396</v>
      </c>
      <c r="E232" s="133" t="s">
        <v>400</v>
      </c>
      <c r="F232" s="150"/>
      <c r="G232" s="134" t="s">
        <v>401</v>
      </c>
      <c r="H232" s="135">
        <v>0</v>
      </c>
      <c r="I232" s="241"/>
      <c r="J232" s="241"/>
      <c r="K232" s="407"/>
      <c r="L232" s="136"/>
    </row>
    <row r="233" spans="1:12" s="137" customFormat="1" ht="13.5" hidden="1" thickBot="1">
      <c r="A233" s="132"/>
      <c r="B233" s="133"/>
      <c r="C233" s="40"/>
      <c r="D233" s="133" t="s">
        <v>396</v>
      </c>
      <c r="E233" s="133" t="s">
        <v>395</v>
      </c>
      <c r="F233" s="150"/>
      <c r="G233" s="134" t="s">
        <v>476</v>
      </c>
      <c r="H233" s="135">
        <v>0</v>
      </c>
      <c r="I233" s="241"/>
      <c r="J233" s="241"/>
      <c r="K233" s="407"/>
      <c r="L233" s="136"/>
    </row>
    <row r="234" spans="1:12" s="144" customFormat="1" ht="13.5" thickBot="1">
      <c r="A234" s="139" t="s">
        <v>402</v>
      </c>
      <c r="B234" s="155"/>
      <c r="C234" s="140">
        <f>SUM(C224:C233)</f>
        <v>850000000</v>
      </c>
      <c r="D234" s="48"/>
      <c r="E234" s="48"/>
      <c r="F234" s="48"/>
      <c r="G234" s="141"/>
      <c r="H234" s="142">
        <f>SUM(H224:H233)</f>
        <v>850000000</v>
      </c>
      <c r="I234" s="243">
        <f>+C234-H234</f>
        <v>0</v>
      </c>
      <c r="J234" s="8"/>
      <c r="K234" s="410">
        <f>+C234-H234</f>
        <v>0</v>
      </c>
      <c r="L234" s="143"/>
    </row>
    <row r="235" spans="1:12" s="137" customFormat="1" ht="12.75">
      <c r="A235" s="149"/>
      <c r="B235" s="164"/>
      <c r="C235" s="154"/>
      <c r="D235" s="133"/>
      <c r="E235" s="133"/>
      <c r="F235" s="133"/>
      <c r="G235" s="134"/>
      <c r="H235" s="135"/>
      <c r="I235" s="241"/>
      <c r="J235" s="241"/>
      <c r="K235" s="407"/>
      <c r="L235" s="136"/>
    </row>
    <row r="236" spans="1:12" s="144" customFormat="1" ht="25.5">
      <c r="A236" s="132" t="str">
        <f>+'[7]Clasific. Económica de Ingresos'!A95</f>
        <v>1.3.3.1.01.01.0.0.000</v>
      </c>
      <c r="B236" s="164" t="s">
        <v>430</v>
      </c>
      <c r="C236" s="40">
        <f>SUM('[7]Clasific. Económica de Ingresos'!C95)</f>
        <v>277500000</v>
      </c>
      <c r="D236" s="133"/>
      <c r="E236" s="133"/>
      <c r="F236" s="133"/>
      <c r="G236" s="134"/>
      <c r="H236" s="135"/>
      <c r="I236" s="241"/>
      <c r="J236" s="241"/>
      <c r="K236" s="410"/>
      <c r="L236" s="143"/>
    </row>
    <row r="237" spans="1:12" s="144" customFormat="1" ht="12.75">
      <c r="A237" s="132"/>
      <c r="B237" s="164"/>
      <c r="C237" s="40"/>
      <c r="D237" s="133" t="s">
        <v>389</v>
      </c>
      <c r="E237" s="133" t="s">
        <v>390</v>
      </c>
      <c r="F237" s="133" t="s">
        <v>391</v>
      </c>
      <c r="G237" s="134" t="s">
        <v>392</v>
      </c>
      <c r="H237" s="135">
        <v>10000000</v>
      </c>
      <c r="I237" s="241"/>
      <c r="J237" s="241"/>
      <c r="K237" s="410"/>
      <c r="L237" s="143"/>
    </row>
    <row r="238" spans="1:12" s="137" customFormat="1" ht="13.5" thickBot="1">
      <c r="A238" s="132"/>
      <c r="B238" s="133"/>
      <c r="C238" s="40"/>
      <c r="D238" s="133" t="s">
        <v>389</v>
      </c>
      <c r="E238" s="133" t="s">
        <v>393</v>
      </c>
      <c r="F238" s="133"/>
      <c r="G238" s="134" t="str">
        <f>+'[7]ProgramaI'!B32</f>
        <v>Comité Cantonal Deportes y Recreación </v>
      </c>
      <c r="H238" s="135">
        <v>267500000</v>
      </c>
      <c r="I238" s="241"/>
      <c r="J238" s="241">
        <f>+H238+H244+H263</f>
        <v>822533185.3106</v>
      </c>
      <c r="K238" s="407"/>
      <c r="L238" s="136"/>
    </row>
    <row r="239" spans="1:12" s="137" customFormat="1" ht="13.5" hidden="1" thickBot="1">
      <c r="A239" s="132"/>
      <c r="B239" s="133"/>
      <c r="C239" s="40"/>
      <c r="D239" s="133" t="s">
        <v>394</v>
      </c>
      <c r="E239" s="133">
        <v>23</v>
      </c>
      <c r="F239" s="133"/>
      <c r="G239" s="134" t="str">
        <f>+'[7]Egresos Programa II General'!B31</f>
        <v>Seguridad y Vigilancia en la Comunidad</v>
      </c>
      <c r="H239" s="135"/>
      <c r="I239" s="241"/>
      <c r="J239" s="241"/>
      <c r="K239" s="407"/>
      <c r="L239" s="136"/>
    </row>
    <row r="240" spans="1:12" s="137" customFormat="1" ht="13.5" hidden="1" thickBot="1">
      <c r="A240" s="152"/>
      <c r="B240" s="134"/>
      <c r="C240" s="40"/>
      <c r="D240" s="133" t="s">
        <v>396</v>
      </c>
      <c r="E240" s="133" t="s">
        <v>400</v>
      </c>
      <c r="F240" s="133"/>
      <c r="G240" s="134" t="s">
        <v>401</v>
      </c>
      <c r="H240" s="135">
        <v>0</v>
      </c>
      <c r="I240" s="241"/>
      <c r="J240" s="241"/>
      <c r="K240" s="407"/>
      <c r="L240" s="136"/>
    </row>
    <row r="241" spans="1:12" s="137" customFormat="1" ht="13.5" thickBot="1">
      <c r="A241" s="139" t="s">
        <v>402</v>
      </c>
      <c r="B241" s="155"/>
      <c r="C241" s="140">
        <f>SUM(C236:C239)</f>
        <v>277500000</v>
      </c>
      <c r="D241" s="48"/>
      <c r="E241" s="48"/>
      <c r="F241" s="48"/>
      <c r="G241" s="141"/>
      <c r="H241" s="142">
        <f>SUM(H237:H240)</f>
        <v>277500000</v>
      </c>
      <c r="I241" s="243">
        <f>+C241-H241</f>
        <v>0</v>
      </c>
      <c r="J241" s="8"/>
      <c r="K241" s="407">
        <f>+C241-H241</f>
        <v>0</v>
      </c>
      <c r="L241" s="136"/>
    </row>
    <row r="242" spans="1:12" s="137" customFormat="1" ht="12.75">
      <c r="A242" s="132"/>
      <c r="B242" s="133"/>
      <c r="C242" s="40"/>
      <c r="D242" s="150"/>
      <c r="E242" s="150"/>
      <c r="F242" s="150"/>
      <c r="G242" s="165"/>
      <c r="H242" s="163"/>
      <c r="I242" s="249"/>
      <c r="J242" s="249"/>
      <c r="K242" s="407"/>
      <c r="L242" s="136"/>
    </row>
    <row r="243" spans="1:12" s="137" customFormat="1" ht="25.5">
      <c r="A243" s="132" t="str">
        <f>+'[7]Clasific. Económica de Ingresos'!A97</f>
        <v>1.3.3.1.02.01.0.0.000</v>
      </c>
      <c r="B243" s="151" t="s">
        <v>431</v>
      </c>
      <c r="C243" s="40">
        <f>SUM('[7]Clasific. Económica de Ingresos'!C97)</f>
        <v>200000000</v>
      </c>
      <c r="D243" s="133"/>
      <c r="E243" s="133"/>
      <c r="F243" s="133"/>
      <c r="G243" s="134"/>
      <c r="H243" s="135"/>
      <c r="I243" s="241"/>
      <c r="J243" s="241"/>
      <c r="K243" s="407"/>
      <c r="L243" s="136"/>
    </row>
    <row r="244" spans="1:12" s="137" customFormat="1" ht="12.75">
      <c r="A244" s="132"/>
      <c r="B244" s="133"/>
      <c r="C244" s="40"/>
      <c r="D244" s="133" t="s">
        <v>389</v>
      </c>
      <c r="E244" s="133" t="s">
        <v>393</v>
      </c>
      <c r="F244" s="133"/>
      <c r="G244" s="134" t="str">
        <f>+'[7]ProgramaI'!B32</f>
        <v>Comité Cantonal Deportes y Recreación </v>
      </c>
      <c r="H244" s="138">
        <f>9597297.99+19630761.34</f>
        <v>29228059.33</v>
      </c>
      <c r="I244" s="242"/>
      <c r="J244" s="242">
        <f>+H244+H262</f>
        <v>162983590.2151</v>
      </c>
      <c r="K244" s="407"/>
      <c r="L244" s="136"/>
    </row>
    <row r="245" spans="1:12" s="137" customFormat="1" ht="12.75">
      <c r="A245" s="132"/>
      <c r="B245" s="133"/>
      <c r="C245" s="40"/>
      <c r="D245" s="133" t="s">
        <v>389</v>
      </c>
      <c r="E245" s="133" t="s">
        <v>393</v>
      </c>
      <c r="F245" s="133"/>
      <c r="G245" s="134" t="str">
        <f>+'[7]ProgramaI'!B34</f>
        <v>Unión Nacional de Gobiernos Locales</v>
      </c>
      <c r="H245" s="138">
        <f>+'[7]ProgramaI'!E34</f>
        <v>61050561.51</v>
      </c>
      <c r="I245" s="242"/>
      <c r="J245" s="242">
        <f>SUM(H262:H264)</f>
        <v>659560656.8657</v>
      </c>
      <c r="K245" s="407"/>
      <c r="L245" s="136"/>
    </row>
    <row r="246" spans="1:12" s="137" customFormat="1" ht="12.75" hidden="1">
      <c r="A246" s="132"/>
      <c r="B246" s="133"/>
      <c r="C246" s="40"/>
      <c r="D246" s="133" t="s">
        <v>389</v>
      </c>
      <c r="E246" s="133" t="s">
        <v>393</v>
      </c>
      <c r="F246" s="133"/>
      <c r="G246" s="134" t="str">
        <f>+'[7]ProgramaI'!B47</f>
        <v>Reintegros o devoluciones</v>
      </c>
      <c r="H246" s="138">
        <v>0</v>
      </c>
      <c r="I246" s="242"/>
      <c r="J246" s="242"/>
      <c r="K246" s="407"/>
      <c r="L246" s="136"/>
    </row>
    <row r="247" spans="1:12" s="137" customFormat="1" ht="25.5" hidden="1">
      <c r="A247" s="132"/>
      <c r="B247" s="133"/>
      <c r="C247" s="40"/>
      <c r="D247" s="133" t="s">
        <v>396</v>
      </c>
      <c r="E247" s="133" t="s">
        <v>397</v>
      </c>
      <c r="F247" s="133" t="s">
        <v>390</v>
      </c>
      <c r="G247" s="151" t="s">
        <v>492</v>
      </c>
      <c r="H247" s="138">
        <v>0</v>
      </c>
      <c r="I247" s="242"/>
      <c r="J247" s="242"/>
      <c r="K247" s="407"/>
      <c r="L247" s="136"/>
    </row>
    <row r="248" spans="1:12" s="137" customFormat="1" ht="12.75" hidden="1">
      <c r="A248" s="262"/>
      <c r="B248" s="39"/>
      <c r="C248" s="40"/>
      <c r="D248" s="133" t="s">
        <v>396</v>
      </c>
      <c r="E248" s="133" t="s">
        <v>405</v>
      </c>
      <c r="F248" s="133" t="s">
        <v>390</v>
      </c>
      <c r="G248" s="134" t="s">
        <v>410</v>
      </c>
      <c r="H248" s="135">
        <v>0</v>
      </c>
      <c r="I248" s="263"/>
      <c r="J248" s="263">
        <v>750413124.844114</v>
      </c>
      <c r="K248" s="264"/>
      <c r="L248" s="136"/>
    </row>
    <row r="249" spans="1:12" s="137" customFormat="1" ht="12.75" hidden="1">
      <c r="A249" s="132"/>
      <c r="B249" s="133"/>
      <c r="C249" s="40"/>
      <c r="D249" s="133" t="s">
        <v>396</v>
      </c>
      <c r="E249" s="133" t="s">
        <v>405</v>
      </c>
      <c r="F249" s="133" t="s">
        <v>395</v>
      </c>
      <c r="G249" s="134" t="s">
        <v>493</v>
      </c>
      <c r="H249" s="138">
        <v>0</v>
      </c>
      <c r="I249" s="242"/>
      <c r="J249" s="242"/>
      <c r="K249" s="407"/>
      <c r="L249" s="136"/>
    </row>
    <row r="250" spans="1:12" s="137" customFormat="1" ht="25.5" hidden="1">
      <c r="A250" s="132"/>
      <c r="B250" s="133"/>
      <c r="C250" s="40"/>
      <c r="D250" s="133" t="s">
        <v>396</v>
      </c>
      <c r="E250" s="133" t="s">
        <v>405</v>
      </c>
      <c r="F250" s="133">
        <v>13</v>
      </c>
      <c r="G250" s="151" t="s">
        <v>494</v>
      </c>
      <c r="H250" s="138">
        <v>0</v>
      </c>
      <c r="I250" s="242"/>
      <c r="J250" s="242"/>
      <c r="K250" s="407"/>
      <c r="L250" s="136"/>
    </row>
    <row r="251" spans="1:12" s="137" customFormat="1" ht="12.75" hidden="1">
      <c r="A251" s="132"/>
      <c r="B251" s="133"/>
      <c r="C251" s="40"/>
      <c r="D251" s="133" t="s">
        <v>396</v>
      </c>
      <c r="E251" s="133" t="s">
        <v>397</v>
      </c>
      <c r="F251" s="271" t="s">
        <v>397</v>
      </c>
      <c r="G251" s="134" t="s">
        <v>487</v>
      </c>
      <c r="H251" s="138">
        <v>0</v>
      </c>
      <c r="I251" s="242"/>
      <c r="J251" s="242"/>
      <c r="K251" s="407"/>
      <c r="L251" s="136"/>
    </row>
    <row r="252" spans="1:12" s="137" customFormat="1" ht="13.5" thickBot="1">
      <c r="A252" s="132"/>
      <c r="B252" s="133"/>
      <c r="C252" s="40"/>
      <c r="D252" s="133" t="s">
        <v>396</v>
      </c>
      <c r="E252" s="133" t="s">
        <v>400</v>
      </c>
      <c r="F252" s="133"/>
      <c r="G252" s="134" t="s">
        <v>401</v>
      </c>
      <c r="H252" s="138">
        <v>109721379.16</v>
      </c>
      <c r="I252" s="242"/>
      <c r="J252" s="242"/>
      <c r="K252" s="407"/>
      <c r="L252" s="136"/>
    </row>
    <row r="253" spans="1:12" s="137" customFormat="1" ht="13.5" thickBot="1">
      <c r="A253" s="139" t="s">
        <v>402</v>
      </c>
      <c r="B253" s="155"/>
      <c r="C253" s="140">
        <f>SUM(C243:C246)</f>
        <v>200000000</v>
      </c>
      <c r="D253" s="48"/>
      <c r="E253" s="48"/>
      <c r="F253" s="48"/>
      <c r="G253" s="141"/>
      <c r="H253" s="142">
        <f>SUM(H244:H252)</f>
        <v>200000000</v>
      </c>
      <c r="I253" s="243">
        <f>+C253-H253</f>
        <v>0</v>
      </c>
      <c r="J253" s="247"/>
      <c r="K253" s="407">
        <f>+C253-H253</f>
        <v>0</v>
      </c>
      <c r="L253" s="136"/>
    </row>
    <row r="254" spans="1:12" s="137" customFormat="1" ht="12.75">
      <c r="A254" s="152" t="s">
        <v>146</v>
      </c>
      <c r="B254" s="134"/>
      <c r="C254" s="134"/>
      <c r="D254" s="133"/>
      <c r="E254" s="133"/>
      <c r="F254" s="133"/>
      <c r="G254" s="134"/>
      <c r="H254" s="135"/>
      <c r="I254" s="241"/>
      <c r="J254" s="241"/>
      <c r="K254" s="407"/>
      <c r="L254" s="136"/>
    </row>
    <row r="255" spans="1:12" s="137" customFormat="1" ht="12.75">
      <c r="A255" s="132" t="str">
        <f>+'[7]Clasific. Económica de Ingresos'!A98</f>
        <v>1.3.3.1.09.00.0.0.000</v>
      </c>
      <c r="B255" s="134" t="s">
        <v>480</v>
      </c>
      <c r="C255" s="40">
        <f>SUM('[7]Clasific. Económica de Ingresos'!C98)</f>
        <v>192100000</v>
      </c>
      <c r="D255" s="133"/>
      <c r="E255" s="133"/>
      <c r="F255" s="133"/>
      <c r="G255" s="134"/>
      <c r="H255" s="135"/>
      <c r="I255" s="241"/>
      <c r="J255" s="241"/>
      <c r="K255" s="407"/>
      <c r="L255" s="136"/>
    </row>
    <row r="256" spans="1:12" s="137" customFormat="1" ht="12.75">
      <c r="A256" s="153"/>
      <c r="B256" s="245"/>
      <c r="C256" s="40"/>
      <c r="D256" s="133" t="s">
        <v>389</v>
      </c>
      <c r="E256" s="133" t="s">
        <v>390</v>
      </c>
      <c r="F256" s="133" t="s">
        <v>391</v>
      </c>
      <c r="G256" s="134" t="s">
        <v>392</v>
      </c>
      <c r="H256" s="135">
        <f>8493238.25+100000000</f>
        <v>108493238.25</v>
      </c>
      <c r="I256" s="242"/>
      <c r="J256" s="242"/>
      <c r="K256" s="407">
        <f>+'[7]INGRESOS LIBRES DETALLE Nº17'!H289</f>
        <v>0</v>
      </c>
      <c r="L256" s="136">
        <f>+H256-K256</f>
        <v>108493238.25</v>
      </c>
    </row>
    <row r="257" spans="1:12" s="137" customFormat="1" ht="14.25" customHeight="1">
      <c r="A257" s="132"/>
      <c r="B257" s="133"/>
      <c r="C257" s="40"/>
      <c r="D257" s="133" t="s">
        <v>394</v>
      </c>
      <c r="E257" s="133">
        <v>29</v>
      </c>
      <c r="F257" s="133"/>
      <c r="G257" s="134" t="str">
        <f>+'[7]Egresos Programa II General'!B39</f>
        <v>Por incumplimiento de Deberes de los Propietarios BI</v>
      </c>
      <c r="H257" s="135">
        <f>+'[7]Egresos Programa II General'!C39-'Origen y Aplicación (2)'!H198-H27</f>
        <v>29999999.996350214</v>
      </c>
      <c r="I257" s="242"/>
      <c r="J257" s="242"/>
      <c r="K257" s="407"/>
      <c r="L257" s="136"/>
    </row>
    <row r="258" spans="1:12" s="137" customFormat="1" ht="13.5" thickBot="1">
      <c r="A258" s="132"/>
      <c r="B258" s="133"/>
      <c r="C258" s="40"/>
      <c r="D258" s="133" t="s">
        <v>396</v>
      </c>
      <c r="E258" s="133">
        <v>7</v>
      </c>
      <c r="F258" s="133"/>
      <c r="G258" s="134" t="s">
        <v>401</v>
      </c>
      <c r="H258" s="138">
        <v>53606761.75</v>
      </c>
      <c r="I258" s="242"/>
      <c r="J258" s="242"/>
      <c r="K258" s="407"/>
      <c r="L258" s="136"/>
    </row>
    <row r="259" spans="1:12" s="144" customFormat="1" ht="13.5" thickBot="1">
      <c r="A259" s="139" t="s">
        <v>402</v>
      </c>
      <c r="B259" s="155"/>
      <c r="C259" s="140">
        <f>SUM(C255:C257)</f>
        <v>192100000</v>
      </c>
      <c r="D259" s="48"/>
      <c r="E259" s="48"/>
      <c r="F259" s="48"/>
      <c r="G259" s="141"/>
      <c r="H259" s="142">
        <f>SUM(H256:H258)</f>
        <v>192099999.99635023</v>
      </c>
      <c r="I259" s="243">
        <f>+C259-H259</f>
        <v>0.003649771213531494</v>
      </c>
      <c r="J259" s="8"/>
      <c r="K259" s="410">
        <f>+C259-H259</f>
        <v>0.003649771213531494</v>
      </c>
      <c r="L259" s="143"/>
    </row>
    <row r="260" spans="1:12" s="137" customFormat="1" ht="12.75">
      <c r="A260" s="149"/>
      <c r="B260" s="164"/>
      <c r="C260" s="154"/>
      <c r="D260" s="7"/>
      <c r="E260" s="7"/>
      <c r="F260" s="7"/>
      <c r="G260" s="134"/>
      <c r="H260" s="166"/>
      <c r="I260" s="250"/>
      <c r="J260" s="250"/>
      <c r="K260" s="407"/>
      <c r="L260" s="136"/>
    </row>
    <row r="261" spans="1:12" s="137" customFormat="1" ht="12.75" customHeight="1">
      <c r="A261" s="132" t="str">
        <f>+'[7]Clasific. Económica de Ingresos'!A103</f>
        <v>1.3.4.1.00.00.0.0.000</v>
      </c>
      <c r="B261" s="164" t="s">
        <v>432</v>
      </c>
      <c r="C261" s="40">
        <f>SUM('[7]Clasific. Económica de Ingresos'!C103)</f>
        <v>700000000</v>
      </c>
      <c r="D261" s="133"/>
      <c r="E261" s="133"/>
      <c r="F261" s="133"/>
      <c r="G261" s="134"/>
      <c r="H261" s="135"/>
      <c r="I261" s="241"/>
      <c r="J261" s="241"/>
      <c r="K261" s="407"/>
      <c r="L261" s="136"/>
    </row>
    <row r="262" spans="1:12" s="137" customFormat="1" ht="12.75">
      <c r="A262" s="132"/>
      <c r="B262" s="133"/>
      <c r="C262" s="40"/>
      <c r="D262" s="133" t="s">
        <v>389</v>
      </c>
      <c r="E262" s="133" t="s">
        <v>393</v>
      </c>
      <c r="F262" s="133"/>
      <c r="G262" s="134" t="str">
        <f>+'[7]ProgramaI'!B30</f>
        <v>Consejo Nacionala de Personas con Discapacidad</v>
      </c>
      <c r="H262" s="135">
        <f>+'[7]ProgramaI'!E30</f>
        <v>133755530.8851</v>
      </c>
      <c r="I262" s="242"/>
      <c r="J262" s="242"/>
      <c r="K262" s="407"/>
      <c r="L262" s="136"/>
    </row>
    <row r="263" spans="1:12" s="137" customFormat="1" ht="12.75">
      <c r="A263" s="132"/>
      <c r="B263" s="133"/>
      <c r="C263" s="40"/>
      <c r="D263" s="133" t="s">
        <v>389</v>
      </c>
      <c r="E263" s="133" t="s">
        <v>393</v>
      </c>
      <c r="F263" s="133"/>
      <c r="G263" s="134" t="str">
        <f>+'[7]ProgramaI'!B32</f>
        <v>Comité Cantonal Deportes y Recreación </v>
      </c>
      <c r="H263" s="135">
        <f>+'[7]ProgramaI'!E32-H244-H238-H93-H226</f>
        <v>525805125.9806</v>
      </c>
      <c r="I263" s="242"/>
      <c r="J263" s="242">
        <f>+H263+H238+H244+H93+H226</f>
        <v>822533185.3106</v>
      </c>
      <c r="K263" s="407"/>
      <c r="L263" s="136"/>
    </row>
    <row r="264" spans="1:12" s="137" customFormat="1" ht="12.75" hidden="1">
      <c r="A264" s="132"/>
      <c r="B264" s="133"/>
      <c r="C264" s="40"/>
      <c r="D264" s="133" t="s">
        <v>389</v>
      </c>
      <c r="E264" s="133" t="s">
        <v>393</v>
      </c>
      <c r="F264" s="133"/>
      <c r="G264" s="134" t="str">
        <f>+'[7]ProgramaI'!B47</f>
        <v>Reintegros o devoluciones</v>
      </c>
      <c r="H264" s="135">
        <v>0</v>
      </c>
      <c r="I264" s="242"/>
      <c r="J264" s="242"/>
      <c r="K264" s="407"/>
      <c r="L264" s="136"/>
    </row>
    <row r="265" spans="1:12" s="137" customFormat="1" ht="13.5" customHeight="1" hidden="1">
      <c r="A265" s="132"/>
      <c r="B265" s="134"/>
      <c r="C265" s="40"/>
      <c r="D265" s="133" t="s">
        <v>396</v>
      </c>
      <c r="E265" s="133" t="s">
        <v>397</v>
      </c>
      <c r="F265" s="133" t="s">
        <v>397</v>
      </c>
      <c r="G265" s="134" t="s">
        <v>487</v>
      </c>
      <c r="H265" s="138"/>
      <c r="I265" s="241"/>
      <c r="J265" s="241">
        <f>SUM(H265:H268)</f>
        <v>40439343.13</v>
      </c>
      <c r="K265" s="407"/>
      <c r="L265" s="136"/>
    </row>
    <row r="266" spans="1:12" s="137" customFormat="1" ht="15" customHeight="1" hidden="1">
      <c r="A266" s="132"/>
      <c r="B266" s="133"/>
      <c r="C266" s="40"/>
      <c r="D266" s="133" t="s">
        <v>396</v>
      </c>
      <c r="E266" s="133" t="s">
        <v>405</v>
      </c>
      <c r="F266" s="133" t="s">
        <v>390</v>
      </c>
      <c r="G266" s="151" t="s">
        <v>410</v>
      </c>
      <c r="H266" s="138"/>
      <c r="I266" s="242"/>
      <c r="J266" s="242"/>
      <c r="K266" s="407">
        <f>+H266+H436</f>
        <v>0</v>
      </c>
      <c r="L266" s="136"/>
    </row>
    <row r="267" spans="1:12" s="137" customFormat="1" ht="13.5" thickBot="1">
      <c r="A267" s="132"/>
      <c r="B267" s="133"/>
      <c r="C267" s="40"/>
      <c r="D267" s="133" t="s">
        <v>396</v>
      </c>
      <c r="E267" s="133" t="s">
        <v>400</v>
      </c>
      <c r="F267" s="133"/>
      <c r="G267" s="134" t="s">
        <v>401</v>
      </c>
      <c r="H267" s="138">
        <v>40439343.13</v>
      </c>
      <c r="I267" s="242"/>
      <c r="J267" s="242"/>
      <c r="K267" s="407"/>
      <c r="L267" s="136"/>
    </row>
    <row r="268" spans="1:12" s="137" customFormat="1" ht="13.5" hidden="1" thickBot="1">
      <c r="A268" s="132"/>
      <c r="B268" s="133"/>
      <c r="C268" s="40"/>
      <c r="D268" s="133" t="s">
        <v>396</v>
      </c>
      <c r="E268" s="133" t="s">
        <v>395</v>
      </c>
      <c r="F268" s="150"/>
      <c r="G268" s="134" t="s">
        <v>476</v>
      </c>
      <c r="H268" s="138">
        <v>0</v>
      </c>
      <c r="I268" s="242"/>
      <c r="J268" s="242"/>
      <c r="K268" s="407"/>
      <c r="L268" s="136"/>
    </row>
    <row r="269" spans="1:12" s="137" customFormat="1" ht="13.5" thickBot="1">
      <c r="A269" s="139" t="s">
        <v>402</v>
      </c>
      <c r="B269" s="155"/>
      <c r="C269" s="140">
        <f>SUM(C261:C262)</f>
        <v>700000000</v>
      </c>
      <c r="D269" s="48"/>
      <c r="E269" s="48"/>
      <c r="F269" s="48"/>
      <c r="G269" s="141"/>
      <c r="H269" s="142">
        <f>SUM(H262:H268)</f>
        <v>699999999.9957</v>
      </c>
      <c r="I269" s="243">
        <f>+C269-H269</f>
        <v>0.0042999982833862305</v>
      </c>
      <c r="J269" s="8"/>
      <c r="K269" s="407"/>
      <c r="L269" s="136"/>
    </row>
    <row r="270" spans="1:10" ht="12.75">
      <c r="A270" s="168"/>
      <c r="B270" s="169"/>
      <c r="C270" s="170"/>
      <c r="D270" s="101"/>
      <c r="E270" s="101"/>
      <c r="F270" s="101"/>
      <c r="G270" s="171"/>
      <c r="H270" s="172"/>
      <c r="I270" s="244"/>
      <c r="J270" s="244"/>
    </row>
    <row r="271" spans="1:10" ht="25.5">
      <c r="A271" s="104" t="str">
        <f>+'[7]Clasific. Económica de Ingresos'!A110</f>
        <v>1.4.1.2.01.00.0.0.000</v>
      </c>
      <c r="B271" s="156" t="s">
        <v>633</v>
      </c>
      <c r="C271" s="114">
        <f>SUM('[7]Clasific. Económica de Ingresos'!C110)</f>
        <v>64800000</v>
      </c>
      <c r="D271" s="105"/>
      <c r="E271" s="105"/>
      <c r="F271" s="105"/>
      <c r="G271" s="113"/>
      <c r="H271" s="147"/>
      <c r="I271" s="244"/>
      <c r="J271" s="244"/>
    </row>
    <row r="272" spans="1:10" ht="13.5" thickBot="1">
      <c r="A272" s="104"/>
      <c r="B272" s="105"/>
      <c r="C272" s="114"/>
      <c r="D272" s="105" t="s">
        <v>569</v>
      </c>
      <c r="E272" s="105">
        <v>23</v>
      </c>
      <c r="F272" s="105"/>
      <c r="G272" s="113" t="str">
        <f>+'[7]Egresos Programa II General'!B31</f>
        <v>Seguridad y Vigilancia en la Comunidad</v>
      </c>
      <c r="H272" s="418">
        <v>64800000</v>
      </c>
      <c r="I272" s="239"/>
      <c r="J272" s="239"/>
    </row>
    <row r="273" spans="1:10" ht="28.5" customHeight="1" hidden="1" thickBot="1">
      <c r="A273" s="104"/>
      <c r="B273" s="179"/>
      <c r="C273" s="114"/>
      <c r="D273" s="105" t="s">
        <v>396</v>
      </c>
      <c r="E273" s="105" t="s">
        <v>395</v>
      </c>
      <c r="F273" s="105"/>
      <c r="G273" s="211" t="s">
        <v>482</v>
      </c>
      <c r="H273" s="147">
        <v>0</v>
      </c>
      <c r="I273" s="244"/>
      <c r="J273" s="244"/>
    </row>
    <row r="274" spans="1:12" s="125" customFormat="1" ht="13.5" thickBot="1">
      <c r="A274" s="120" t="s">
        <v>402</v>
      </c>
      <c r="B274" s="157"/>
      <c r="C274" s="121">
        <f>SUM(C271:C272)</f>
        <v>64800000</v>
      </c>
      <c r="D274" s="122"/>
      <c r="E274" s="122"/>
      <c r="F274" s="122"/>
      <c r="G274" s="123"/>
      <c r="H274" s="131">
        <f>SUM(H272:H273)</f>
        <v>64800000</v>
      </c>
      <c r="I274" s="237">
        <f>+C274-H274</f>
        <v>0</v>
      </c>
      <c r="J274" s="240"/>
      <c r="K274" s="409"/>
      <c r="L274" s="124"/>
    </row>
    <row r="275" spans="1:10" ht="10.5" customHeight="1">
      <c r="A275" s="104"/>
      <c r="B275" s="105"/>
      <c r="C275" s="114"/>
      <c r="D275" s="105"/>
      <c r="E275" s="105"/>
      <c r="F275" s="105"/>
      <c r="G275" s="113"/>
      <c r="H275" s="129"/>
      <c r="I275" s="239"/>
      <c r="J275" s="239"/>
    </row>
    <row r="276" spans="1:10" ht="13.5" customHeight="1" thickBot="1">
      <c r="A276" s="104"/>
      <c r="B276" s="105"/>
      <c r="C276" s="29"/>
      <c r="D276" s="30"/>
      <c r="E276" s="30"/>
      <c r="F276" s="30"/>
      <c r="G276" s="113"/>
      <c r="H276" s="181"/>
      <c r="I276" s="253"/>
      <c r="J276" s="253"/>
    </row>
    <row r="277" spans="1:10" ht="25.5">
      <c r="A277" s="208" t="str">
        <f>+'[7]Clasific. Económica de Ingresos'!A111</f>
        <v>1.4.1.2.02,00.0.0.000</v>
      </c>
      <c r="B277" s="265" t="str">
        <f>+'[7]Clasific. Económica de Ingresos'!B111</f>
        <v>Programas comites cantonales de la Persona Joven</v>
      </c>
      <c r="C277" s="266">
        <f>SUM('[7]Clasific. Económica de Ingresos'!C111)</f>
        <v>6500000</v>
      </c>
      <c r="D277" s="101"/>
      <c r="E277" s="101"/>
      <c r="F277" s="101"/>
      <c r="G277" s="171"/>
      <c r="H277" s="172"/>
      <c r="I277" s="244"/>
      <c r="J277" s="244"/>
    </row>
    <row r="278" spans="1:10" ht="13.5" thickBot="1">
      <c r="A278" s="104"/>
      <c r="B278" s="105"/>
      <c r="C278" s="114"/>
      <c r="D278" s="105" t="s">
        <v>394</v>
      </c>
      <c r="E278" s="105">
        <v>10</v>
      </c>
      <c r="F278" s="105"/>
      <c r="G278" s="113" t="s">
        <v>481</v>
      </c>
      <c r="H278" s="129">
        <v>6500000</v>
      </c>
      <c r="I278" s="239"/>
      <c r="J278" s="239"/>
    </row>
    <row r="279" spans="1:10" ht="28.5" customHeight="1" hidden="1" thickBot="1">
      <c r="A279" s="173"/>
      <c r="B279" s="267"/>
      <c r="C279" s="175"/>
      <c r="D279" s="174" t="s">
        <v>394</v>
      </c>
      <c r="E279" s="174">
        <v>10</v>
      </c>
      <c r="F279" s="174"/>
      <c r="G279" s="268" t="s">
        <v>482</v>
      </c>
      <c r="H279" s="257">
        <v>0</v>
      </c>
      <c r="I279" s="244"/>
      <c r="J279" s="244"/>
    </row>
    <row r="280" spans="1:11" ht="13.5" thickBot="1">
      <c r="A280" s="120" t="s">
        <v>402</v>
      </c>
      <c r="B280" s="157"/>
      <c r="C280" s="121">
        <f>SUM(C277:C278)</f>
        <v>6500000</v>
      </c>
      <c r="D280" s="122"/>
      <c r="E280" s="122"/>
      <c r="F280" s="122"/>
      <c r="G280" s="123"/>
      <c r="H280" s="131">
        <f>SUM(H278:H279)</f>
        <v>6500000</v>
      </c>
      <c r="I280" s="237">
        <f>+C280-H280</f>
        <v>0</v>
      </c>
      <c r="J280" s="240"/>
      <c r="K280" s="411"/>
    </row>
    <row r="281" spans="1:10" ht="12.75">
      <c r="A281" s="168" t="s">
        <v>146</v>
      </c>
      <c r="B281" s="169"/>
      <c r="C281" s="170"/>
      <c r="D281" s="101"/>
      <c r="E281" s="101"/>
      <c r="F281" s="101"/>
      <c r="G281" s="171"/>
      <c r="H281" s="172"/>
      <c r="I281" s="244"/>
      <c r="J281" s="244"/>
    </row>
    <row r="282" spans="1:10" ht="33.75" customHeight="1">
      <c r="A282" s="104" t="str">
        <f>+'[7]Clasific. Económica de Ingresos'!A113</f>
        <v>1.4.1.3.01.00.0.0.000</v>
      </c>
      <c r="B282" s="156" t="s">
        <v>433</v>
      </c>
      <c r="C282" s="114">
        <f>SUM('[7]Clasific. Económica de Ingresos'!C113)</f>
        <v>65855157.04</v>
      </c>
      <c r="D282" s="105"/>
      <c r="E282" s="105"/>
      <c r="F282" s="105"/>
      <c r="G282" s="113"/>
      <c r="H282" s="147"/>
      <c r="I282" s="244"/>
      <c r="J282" s="244"/>
    </row>
    <row r="283" spans="1:10" ht="12.75">
      <c r="A283" s="104"/>
      <c r="B283" s="105"/>
      <c r="C283" s="114"/>
      <c r="D283" s="105" t="s">
        <v>394</v>
      </c>
      <c r="E283" s="105">
        <v>10</v>
      </c>
      <c r="F283" s="105"/>
      <c r="G283" s="113" t="s">
        <v>481</v>
      </c>
      <c r="H283" s="129">
        <v>33256854.31</v>
      </c>
      <c r="I283" s="239">
        <v>0</v>
      </c>
      <c r="J283" s="239">
        <v>28893259.88</v>
      </c>
    </row>
    <row r="284" spans="1:11" ht="12.75" hidden="1">
      <c r="A284" s="104"/>
      <c r="B284" s="105"/>
      <c r="C284" s="114"/>
      <c r="D284" s="105" t="s">
        <v>394</v>
      </c>
      <c r="E284" s="105">
        <v>31</v>
      </c>
      <c r="F284" s="105"/>
      <c r="G284" s="113" t="str">
        <f>+'[7]Egresos Programa II General'!B43</f>
        <v>Aporte en Especie para Servicios Y Proyectos Comunitarios</v>
      </c>
      <c r="H284" s="129"/>
      <c r="I284" s="239"/>
      <c r="J284" s="239"/>
      <c r="K284" s="403">
        <f>H284+H292</f>
        <v>0</v>
      </c>
    </row>
    <row r="285" spans="1:10" ht="12.75" hidden="1">
      <c r="A285" s="104"/>
      <c r="B285" s="105"/>
      <c r="C285" s="114"/>
      <c r="D285" s="105" t="s">
        <v>396</v>
      </c>
      <c r="E285" s="105" t="s">
        <v>400</v>
      </c>
      <c r="F285" s="114"/>
      <c r="G285" s="98" t="s">
        <v>363</v>
      </c>
      <c r="H285" s="129"/>
      <c r="I285" s="239"/>
      <c r="J285" s="239"/>
    </row>
    <row r="286" spans="1:10" ht="13.5" thickBot="1">
      <c r="A286" s="104"/>
      <c r="B286" s="105"/>
      <c r="C286" s="114"/>
      <c r="D286" s="105" t="s">
        <v>396</v>
      </c>
      <c r="E286" s="105" t="s">
        <v>400</v>
      </c>
      <c r="F286" s="114"/>
      <c r="G286" s="113" t="s">
        <v>401</v>
      </c>
      <c r="H286" s="129">
        <v>32598302.73</v>
      </c>
      <c r="I286" s="239"/>
      <c r="J286" s="239"/>
    </row>
    <row r="287" spans="1:10" ht="13.5" hidden="1" thickBot="1">
      <c r="A287" s="173"/>
      <c r="B287" s="105"/>
      <c r="C287" s="114"/>
      <c r="D287" s="105" t="s">
        <v>396</v>
      </c>
      <c r="E287" s="105">
        <v>6</v>
      </c>
      <c r="F287" s="105">
        <v>1</v>
      </c>
      <c r="G287" s="113" t="s">
        <v>548</v>
      </c>
      <c r="H287" s="129">
        <v>0</v>
      </c>
      <c r="I287" s="239"/>
      <c r="J287" s="239"/>
    </row>
    <row r="288" spans="1:10" ht="13.5" hidden="1" thickBot="1">
      <c r="A288" s="104"/>
      <c r="B288" s="105"/>
      <c r="C288" s="114"/>
      <c r="D288" s="105" t="s">
        <v>396</v>
      </c>
      <c r="E288" s="105" t="s">
        <v>397</v>
      </c>
      <c r="F288" s="105" t="s">
        <v>405</v>
      </c>
      <c r="G288" s="261" t="str">
        <f>+'[7]Egresos Programa III General'!B46</f>
        <v>Carpeta Asfaltica en Urbanización las Melisas</v>
      </c>
      <c r="H288" s="129">
        <v>0</v>
      </c>
      <c r="I288" s="239"/>
      <c r="J288" s="239"/>
    </row>
    <row r="289" spans="1:12" s="125" customFormat="1" ht="13.5" thickBot="1">
      <c r="A289" s="120" t="s">
        <v>402</v>
      </c>
      <c r="B289" s="157"/>
      <c r="C289" s="121">
        <f>SUM(C282:C286)</f>
        <v>65855157.04</v>
      </c>
      <c r="D289" s="122"/>
      <c r="E289" s="122"/>
      <c r="F289" s="122"/>
      <c r="G289" s="123"/>
      <c r="H289" s="131">
        <f>SUM(H283:H288)</f>
        <v>65855157.04</v>
      </c>
      <c r="I289" s="237">
        <f>+C289-H289</f>
        <v>0</v>
      </c>
      <c r="J289" s="240"/>
      <c r="K289" s="403">
        <f>+C289-H289</f>
        <v>0</v>
      </c>
      <c r="L289" s="124"/>
    </row>
    <row r="290" spans="1:12" s="137" customFormat="1" ht="12.75" hidden="1">
      <c r="A290" s="149"/>
      <c r="B290" s="164"/>
      <c r="C290" s="154"/>
      <c r="D290" s="7"/>
      <c r="E290" s="7"/>
      <c r="F290" s="7"/>
      <c r="G290" s="134"/>
      <c r="H290" s="166"/>
      <c r="I290" s="250"/>
      <c r="J290" s="250"/>
      <c r="K290" s="407"/>
      <c r="L290" s="136"/>
    </row>
    <row r="291" spans="1:12" s="137" customFormat="1" ht="12.75" hidden="1">
      <c r="A291" s="152" t="str">
        <f>+'[7]Clasific. Económica de Ingresos'!A121</f>
        <v>2.1.2.1.01.00.0.0.000</v>
      </c>
      <c r="B291" s="134" t="s">
        <v>434</v>
      </c>
      <c r="C291" s="40">
        <f>SUM('[7]Clasific. Económica de Ingresos'!C121)</f>
        <v>0</v>
      </c>
      <c r="D291" s="133" t="s">
        <v>389</v>
      </c>
      <c r="E291" s="133" t="s">
        <v>390</v>
      </c>
      <c r="F291" s="133" t="s">
        <v>391</v>
      </c>
      <c r="G291" s="134" t="s">
        <v>392</v>
      </c>
      <c r="H291" s="135">
        <v>0</v>
      </c>
      <c r="I291" s="241"/>
      <c r="J291" s="241"/>
      <c r="K291" s="407"/>
      <c r="L291" s="136"/>
    </row>
    <row r="292" spans="1:12" s="351" customFormat="1" ht="12.75" hidden="1">
      <c r="A292" s="344"/>
      <c r="B292" s="345"/>
      <c r="C292" s="346"/>
      <c r="D292" s="345" t="s">
        <v>396</v>
      </c>
      <c r="E292" s="345" t="s">
        <v>400</v>
      </c>
      <c r="F292" s="345"/>
      <c r="G292" s="347" t="s">
        <v>495</v>
      </c>
      <c r="H292" s="348">
        <v>0</v>
      </c>
      <c r="I292" s="349"/>
      <c r="J292" s="349"/>
      <c r="K292" s="412"/>
      <c r="L292" s="350"/>
    </row>
    <row r="293" spans="1:12" s="137" customFormat="1" ht="12.75" hidden="1">
      <c r="A293" s="132"/>
      <c r="B293" s="133"/>
      <c r="C293" s="40"/>
      <c r="D293" s="133" t="s">
        <v>396</v>
      </c>
      <c r="E293" s="133" t="s">
        <v>400</v>
      </c>
      <c r="F293" s="150"/>
      <c r="G293" s="134" t="s">
        <v>401</v>
      </c>
      <c r="H293" s="135">
        <v>0</v>
      </c>
      <c r="I293" s="241"/>
      <c r="J293" s="241"/>
      <c r="K293" s="407"/>
      <c r="L293" s="136"/>
    </row>
    <row r="294" spans="1:12" s="351" customFormat="1" ht="12.75" hidden="1">
      <c r="A294" s="344"/>
      <c r="B294" s="345"/>
      <c r="C294" s="346"/>
      <c r="D294" s="345" t="s">
        <v>396</v>
      </c>
      <c r="E294" s="345" t="s">
        <v>400</v>
      </c>
      <c r="F294" s="345" t="s">
        <v>391</v>
      </c>
      <c r="G294" s="352" t="s">
        <v>363</v>
      </c>
      <c r="H294" s="348"/>
      <c r="I294" s="349"/>
      <c r="J294" s="349"/>
      <c r="K294" s="412"/>
      <c r="L294" s="350"/>
    </row>
    <row r="295" spans="1:12" s="351" customFormat="1" ht="13.5" hidden="1" thickBot="1">
      <c r="A295" s="353" t="s">
        <v>402</v>
      </c>
      <c r="B295" s="354"/>
      <c r="C295" s="355">
        <f>SUM(C291:C292)</f>
        <v>0</v>
      </c>
      <c r="D295" s="356"/>
      <c r="E295" s="356"/>
      <c r="F295" s="356"/>
      <c r="G295" s="357"/>
      <c r="H295" s="358">
        <f>SUM(H291:H294)</f>
        <v>0</v>
      </c>
      <c r="I295" s="359">
        <f>+C295-H295</f>
        <v>0</v>
      </c>
      <c r="J295" s="360"/>
      <c r="K295" s="412">
        <f>+C295-H295</f>
        <v>0</v>
      </c>
      <c r="L295" s="350"/>
    </row>
    <row r="296" spans="1:10" ht="12.75">
      <c r="A296" s="104"/>
      <c r="B296" s="105"/>
      <c r="C296" s="114"/>
      <c r="D296" s="130"/>
      <c r="E296" s="130"/>
      <c r="F296" s="130"/>
      <c r="G296" s="162"/>
      <c r="H296" s="178"/>
      <c r="I296" s="252"/>
      <c r="J296" s="252"/>
    </row>
    <row r="297" spans="1:10" ht="12.75">
      <c r="A297" s="104" t="str">
        <f>+'[7]Clasific. Económica de Ingresos'!A126</f>
        <v>2.2.1.1.00.00.0.0.000</v>
      </c>
      <c r="B297" s="156" t="s">
        <v>165</v>
      </c>
      <c r="C297" s="114">
        <f>+'[7]Clasific. Económica de Ingresos'!C126</f>
        <v>4000000</v>
      </c>
      <c r="D297" s="105"/>
      <c r="E297" s="105"/>
      <c r="F297" s="105"/>
      <c r="G297" s="113"/>
      <c r="H297" s="147"/>
      <c r="I297" s="244"/>
      <c r="J297" s="244"/>
    </row>
    <row r="298" spans="1:10" ht="13.5" thickBot="1">
      <c r="A298" s="104"/>
      <c r="B298" s="105"/>
      <c r="C298" s="114"/>
      <c r="D298" s="105" t="s">
        <v>394</v>
      </c>
      <c r="E298" s="105" t="s">
        <v>405</v>
      </c>
      <c r="F298" s="105" t="s">
        <v>391</v>
      </c>
      <c r="G298" s="116" t="s">
        <v>419</v>
      </c>
      <c r="H298" s="147">
        <v>4000000</v>
      </c>
      <c r="I298" s="244"/>
      <c r="J298" s="244"/>
    </row>
    <row r="299" spans="1:10" ht="13.5" thickBot="1">
      <c r="A299" s="120" t="s">
        <v>402</v>
      </c>
      <c r="B299" s="157"/>
      <c r="C299" s="121">
        <f>SUM(C297:C298)</f>
        <v>4000000</v>
      </c>
      <c r="D299" s="122"/>
      <c r="E299" s="122"/>
      <c r="F299" s="122"/>
      <c r="G299" s="123"/>
      <c r="H299" s="131">
        <f>SUM(H298:H298)</f>
        <v>4000000</v>
      </c>
      <c r="I299" s="237">
        <f>+C299-H299</f>
        <v>0</v>
      </c>
      <c r="J299" s="240"/>
    </row>
    <row r="300" spans="1:10" ht="12.75">
      <c r="A300" s="104"/>
      <c r="B300" s="105"/>
      <c r="C300" s="114"/>
      <c r="D300" s="105"/>
      <c r="E300" s="105"/>
      <c r="F300" s="105"/>
      <c r="G300" s="113"/>
      <c r="H300" s="129"/>
      <c r="I300" s="239"/>
      <c r="J300" s="239"/>
    </row>
    <row r="301" spans="1:12" ht="25.5">
      <c r="A301" s="104" t="str">
        <f>+'[7]Clasific. Económica de Ingresos'!A133</f>
        <v>2.4.1.1.01.00.0.0.000</v>
      </c>
      <c r="B301" s="179" t="s">
        <v>435</v>
      </c>
      <c r="C301" s="180">
        <f>SUM('[7]Clasific. Económica de Ingresos'!C133)</f>
        <v>1155409803.79</v>
      </c>
      <c r="D301" s="105"/>
      <c r="E301" s="105"/>
      <c r="F301" s="105"/>
      <c r="G301" s="113"/>
      <c r="H301" s="147"/>
      <c r="I301" s="244"/>
      <c r="J301" s="244"/>
      <c r="K301" s="103"/>
      <c r="L301" s="103"/>
    </row>
    <row r="302" spans="1:12" ht="12.75">
      <c r="A302" s="104"/>
      <c r="B302" s="179"/>
      <c r="C302" s="180"/>
      <c r="D302" s="105" t="s">
        <v>396</v>
      </c>
      <c r="E302" s="105" t="s">
        <v>397</v>
      </c>
      <c r="F302" s="105" t="s">
        <v>390</v>
      </c>
      <c r="G302" s="113" t="s">
        <v>496</v>
      </c>
      <c r="H302" s="419">
        <f>+'[9]Remuneraciones'!$AA$38+'[9]III-02-01'!$D$180</f>
        <v>211025582.8204738</v>
      </c>
      <c r="I302" s="244"/>
      <c r="J302" s="244"/>
      <c r="K302" s="103"/>
      <c r="L302" s="103"/>
    </row>
    <row r="303" spans="1:12" ht="12.75" hidden="1">
      <c r="A303" s="104"/>
      <c r="B303" s="179"/>
      <c r="C303" s="180"/>
      <c r="D303" s="105" t="s">
        <v>396</v>
      </c>
      <c r="E303" s="105" t="s">
        <v>397</v>
      </c>
      <c r="F303" s="105" t="s">
        <v>397</v>
      </c>
      <c r="G303" s="260" t="str">
        <f>+'[7]Egresos Programa III General'!B42</f>
        <v>Mantenimeiento Rutinario de la Red Vial Cantonal</v>
      </c>
      <c r="H303" s="419">
        <v>0</v>
      </c>
      <c r="I303" s="244"/>
      <c r="J303" s="244"/>
      <c r="K303" s="103"/>
      <c r="L303" s="103"/>
    </row>
    <row r="304" spans="1:12" ht="13.5" thickBot="1">
      <c r="A304" s="104"/>
      <c r="B304" s="179"/>
      <c r="C304" s="180"/>
      <c r="D304" s="105" t="s">
        <v>396</v>
      </c>
      <c r="E304" s="105" t="s">
        <v>397</v>
      </c>
      <c r="F304" s="105" t="s">
        <v>399</v>
      </c>
      <c r="G304" s="113" t="s">
        <v>486</v>
      </c>
      <c r="H304" s="419">
        <v>944384220.97</v>
      </c>
      <c r="I304" s="244"/>
      <c r="J304" s="244"/>
      <c r="K304" s="103"/>
      <c r="L304" s="103"/>
    </row>
    <row r="305" spans="1:12" ht="13.5" hidden="1" thickBot="1">
      <c r="A305" s="104"/>
      <c r="B305" s="179"/>
      <c r="C305" s="180"/>
      <c r="D305" s="105" t="s">
        <v>396</v>
      </c>
      <c r="E305" s="105" t="s">
        <v>397</v>
      </c>
      <c r="F305" s="105" t="s">
        <v>393</v>
      </c>
      <c r="G305" s="113" t="s">
        <v>549</v>
      </c>
      <c r="H305" s="419">
        <v>0</v>
      </c>
      <c r="I305" s="244"/>
      <c r="J305" s="244"/>
      <c r="K305" s="103"/>
      <c r="L305" s="103"/>
    </row>
    <row r="306" spans="1:12" ht="13.5" hidden="1" thickBot="1">
      <c r="A306" s="104"/>
      <c r="B306" s="105"/>
      <c r="C306" s="114"/>
      <c r="D306" s="105" t="s">
        <v>396</v>
      </c>
      <c r="E306" s="105">
        <v>7</v>
      </c>
      <c r="F306" s="105"/>
      <c r="G306" s="113" t="s">
        <v>512</v>
      </c>
      <c r="H306" s="418">
        <v>0</v>
      </c>
      <c r="I306" s="239"/>
      <c r="J306" s="239"/>
      <c r="K306" s="103"/>
      <c r="L306" s="103"/>
    </row>
    <row r="307" spans="1:12" ht="13.5" thickBot="1">
      <c r="A307" s="120" t="s">
        <v>402</v>
      </c>
      <c r="B307" s="157"/>
      <c r="C307" s="121">
        <f>SUM(C301:C306)</f>
        <v>1155409803.79</v>
      </c>
      <c r="D307" s="122"/>
      <c r="E307" s="122"/>
      <c r="F307" s="122"/>
      <c r="G307" s="123"/>
      <c r="H307" s="336">
        <f>SUM(H302:H306)</f>
        <v>1155409803.790474</v>
      </c>
      <c r="I307" s="237">
        <f>+C307-H307</f>
        <v>-0.00047397613525390625</v>
      </c>
      <c r="J307" s="240"/>
      <c r="K307" s="103"/>
      <c r="L307" s="103"/>
    </row>
    <row r="308" spans="1:12" ht="12.75">
      <c r="A308" s="104"/>
      <c r="B308" s="105"/>
      <c r="C308" s="29"/>
      <c r="D308" s="30"/>
      <c r="E308" s="30"/>
      <c r="F308" s="30"/>
      <c r="G308" s="113"/>
      <c r="H308" s="422"/>
      <c r="I308" s="253"/>
      <c r="J308" s="253"/>
      <c r="K308" s="103"/>
      <c r="L308" s="103"/>
    </row>
    <row r="309" spans="1:12" ht="12.75">
      <c r="A309" s="104" t="str">
        <f>+'[7]Clasific. Económica de Ingresos'!A134</f>
        <v>2.4.1.1.02.00.0.0.000</v>
      </c>
      <c r="B309" s="179" t="str">
        <f>+'[7]Clasific. Económica de Ingresos'!B134</f>
        <v>Ley 8316 Fondo de Alcantarillados</v>
      </c>
      <c r="C309" s="114">
        <f>SUM('[7]Clasific. Económica de Ingresos'!C134)</f>
        <v>620800000</v>
      </c>
      <c r="D309" s="105"/>
      <c r="E309" s="105"/>
      <c r="F309" s="105"/>
      <c r="G309" s="113"/>
      <c r="H309" s="419"/>
      <c r="I309" s="244"/>
      <c r="J309" s="244"/>
      <c r="K309" s="103"/>
      <c r="L309" s="103"/>
    </row>
    <row r="310" spans="1:12" ht="12.75">
      <c r="A310" s="104"/>
      <c r="B310" s="179"/>
      <c r="C310" s="114"/>
      <c r="D310" s="105" t="s">
        <v>394</v>
      </c>
      <c r="E310" s="105">
        <v>13</v>
      </c>
      <c r="F310" s="105"/>
      <c r="G310" s="261" t="s">
        <v>551</v>
      </c>
      <c r="H310" s="419">
        <v>158000000</v>
      </c>
      <c r="I310" s="244"/>
      <c r="J310" s="244"/>
      <c r="K310" s="103"/>
      <c r="L310" s="103"/>
    </row>
    <row r="311" spans="1:12" ht="12.75">
      <c r="A311" s="104"/>
      <c r="B311" s="105"/>
      <c r="C311" s="114"/>
      <c r="D311" s="105" t="s">
        <v>394</v>
      </c>
      <c r="E311" s="105">
        <v>30</v>
      </c>
      <c r="F311" s="105" t="s">
        <v>146</v>
      </c>
      <c r="G311" s="261" t="str">
        <f>+'[7]Egresos Programa II General'!B41</f>
        <v>Alcantarillado Pluvial</v>
      </c>
      <c r="H311" s="418">
        <f>195250000+131000000+36000000</f>
        <v>362250000</v>
      </c>
      <c r="I311" s="239"/>
      <c r="J311" s="239"/>
      <c r="K311" s="103"/>
      <c r="L311" s="103"/>
    </row>
    <row r="312" spans="1:10" ht="24.75" customHeight="1" thickBot="1">
      <c r="A312" s="104"/>
      <c r="B312" s="179"/>
      <c r="C312" s="114"/>
      <c r="D312" s="105" t="s">
        <v>396</v>
      </c>
      <c r="E312" s="105" t="s">
        <v>420</v>
      </c>
      <c r="F312" s="105" t="s">
        <v>390</v>
      </c>
      <c r="G312" s="211" t="str">
        <f>+'[7]Egresos Programa III General'!B69</f>
        <v>Ley 8316 Mejoramiento Pluvial Calle Los Perfumes</v>
      </c>
      <c r="H312" s="147">
        <f>+'[7]Egresos Programa III General'!C69</f>
        <v>100550000</v>
      </c>
      <c r="I312" s="244"/>
      <c r="J312" s="244"/>
    </row>
    <row r="313" spans="1:12" ht="24.75" customHeight="1" hidden="1">
      <c r="A313" s="104"/>
      <c r="B313" s="179"/>
      <c r="C313" s="114"/>
      <c r="D313" s="105" t="s">
        <v>396</v>
      </c>
      <c r="E313" s="105">
        <v>6</v>
      </c>
      <c r="F313" s="105">
        <v>1</v>
      </c>
      <c r="G313" s="261" t="s">
        <v>410</v>
      </c>
      <c r="H313" s="147">
        <v>0</v>
      </c>
      <c r="I313" s="244"/>
      <c r="J313" s="244"/>
      <c r="L313" s="103"/>
    </row>
    <row r="314" spans="1:12" ht="36" customHeight="1" hidden="1" thickBot="1">
      <c r="A314" s="104"/>
      <c r="B314" s="179"/>
      <c r="C314" s="114"/>
      <c r="D314" s="105" t="s">
        <v>396</v>
      </c>
      <c r="E314" s="105" t="s">
        <v>395</v>
      </c>
      <c r="F314" s="105"/>
      <c r="G314" s="211" t="s">
        <v>482</v>
      </c>
      <c r="H314" s="147">
        <v>0</v>
      </c>
      <c r="I314" s="244"/>
      <c r="J314" s="244"/>
      <c r="L314" s="103"/>
    </row>
    <row r="315" spans="1:12" ht="13.5" thickBot="1">
      <c r="A315" s="120" t="s">
        <v>402</v>
      </c>
      <c r="B315" s="157"/>
      <c r="C315" s="121">
        <f>SUM(C309:C314)</f>
        <v>620800000</v>
      </c>
      <c r="D315" s="122"/>
      <c r="E315" s="122"/>
      <c r="F315" s="122"/>
      <c r="G315" s="123"/>
      <c r="H315" s="131">
        <f>SUM(H310:H314)</f>
        <v>620800000</v>
      </c>
      <c r="I315" s="237">
        <f>+C315-H315</f>
        <v>0</v>
      </c>
      <c r="J315" s="240"/>
      <c r="K315" s="411"/>
      <c r="L315" s="103"/>
    </row>
    <row r="316" spans="1:12" ht="12.75">
      <c r="A316" s="104"/>
      <c r="B316" s="105"/>
      <c r="C316" s="29"/>
      <c r="D316" s="30"/>
      <c r="E316" s="30"/>
      <c r="F316" s="30"/>
      <c r="G316" s="113"/>
      <c r="H316" s="181"/>
      <c r="I316" s="253"/>
      <c r="J316" s="253"/>
      <c r="L316" s="103"/>
    </row>
    <row r="317" spans="1:12" ht="38.25">
      <c r="A317" s="104" t="str">
        <f>+'[7]Clasific. Económica de Ingresos'!A141</f>
        <v>2.4.1.3.01.00.0.0.001</v>
      </c>
      <c r="B317" s="156" t="s">
        <v>436</v>
      </c>
      <c r="C317" s="114">
        <f>SUM('[7]Clasific. Económica de Ingresos'!C141)</f>
        <v>18622019.98</v>
      </c>
      <c r="D317" s="105"/>
      <c r="E317" s="105"/>
      <c r="F317" s="105"/>
      <c r="G317" s="113"/>
      <c r="H317" s="147"/>
      <c r="I317" s="244"/>
      <c r="J317" s="244"/>
      <c r="L317" s="103"/>
    </row>
    <row r="318" spans="1:12" ht="13.5" thickBot="1">
      <c r="A318" s="104"/>
      <c r="B318" s="105"/>
      <c r="C318" s="114"/>
      <c r="D318" s="105" t="s">
        <v>396</v>
      </c>
      <c r="E318" s="105" t="s">
        <v>397</v>
      </c>
      <c r="F318" s="105" t="s">
        <v>390</v>
      </c>
      <c r="G318" s="113" t="s">
        <v>398</v>
      </c>
      <c r="H318" s="129">
        <v>18622019.98</v>
      </c>
      <c r="I318" s="239"/>
      <c r="J318" s="239"/>
      <c r="L318" s="103"/>
    </row>
    <row r="319" spans="1:12" ht="13.5" thickBot="1">
      <c r="A319" s="120" t="s">
        <v>402</v>
      </c>
      <c r="B319" s="157"/>
      <c r="C319" s="121">
        <f>SUM(C317:C318)</f>
        <v>18622019.98</v>
      </c>
      <c r="D319" s="122"/>
      <c r="E319" s="122"/>
      <c r="F319" s="122"/>
      <c r="G319" s="123"/>
      <c r="H319" s="131">
        <f>SUM(H318:H318)</f>
        <v>18622019.98</v>
      </c>
      <c r="I319" s="237">
        <f>+C319-H319</f>
        <v>0</v>
      </c>
      <c r="J319" s="240"/>
      <c r="K319" s="411"/>
      <c r="L319" s="103"/>
    </row>
    <row r="320" spans="1:12" ht="12.75">
      <c r="A320" s="104"/>
      <c r="B320" s="105"/>
      <c r="C320" s="114"/>
      <c r="D320" s="130"/>
      <c r="E320" s="130"/>
      <c r="F320" s="130"/>
      <c r="G320" s="162"/>
      <c r="H320" s="178"/>
      <c r="I320" s="252"/>
      <c r="J320" s="252"/>
      <c r="L320" s="103"/>
    </row>
    <row r="321" spans="1:12" ht="12.75">
      <c r="A321" s="104" t="str">
        <f>+'[7]Clasific. Económica de Ingresos'!A147</f>
        <v>2,4.3,1,00,00,0,0,001</v>
      </c>
      <c r="B321" s="156" t="str">
        <f>+'[7]Clasific. Económica de Ingresos'!B147</f>
        <v>Aporte de Cooperación Alemana</v>
      </c>
      <c r="C321" s="361">
        <f>+'[7]Clasific. Económica de Ingresos'!C147</f>
        <v>0</v>
      </c>
      <c r="D321" s="105"/>
      <c r="E321" s="105"/>
      <c r="F321" s="105"/>
      <c r="G321" s="113"/>
      <c r="H321" s="147"/>
      <c r="I321" s="244"/>
      <c r="J321" s="244"/>
      <c r="L321" s="103"/>
    </row>
    <row r="322" spans="1:12" ht="24.75" customHeight="1" thickBot="1">
      <c r="A322" s="104"/>
      <c r="B322" s="179"/>
      <c r="C322" s="114"/>
      <c r="D322" s="105" t="s">
        <v>396</v>
      </c>
      <c r="E322" s="105">
        <v>6</v>
      </c>
      <c r="F322" s="105">
        <v>18</v>
      </c>
      <c r="G322" s="416" t="str">
        <f>+'[7]Egresos Programa III General'!B114</f>
        <v>III-06-18</v>
      </c>
      <c r="H322" s="147">
        <v>0</v>
      </c>
      <c r="I322" s="244"/>
      <c r="J322" s="244"/>
      <c r="L322" s="103"/>
    </row>
    <row r="323" spans="1:12" ht="13.5" thickBot="1">
      <c r="A323" s="120" t="s">
        <v>402</v>
      </c>
      <c r="B323" s="157"/>
      <c r="C323" s="121">
        <f>SUM(C321:C322)</f>
        <v>0</v>
      </c>
      <c r="D323" s="122"/>
      <c r="E323" s="122"/>
      <c r="F323" s="122"/>
      <c r="G323" s="123"/>
      <c r="H323" s="131">
        <f>+H322</f>
        <v>0</v>
      </c>
      <c r="I323" s="237">
        <f>+C323-H323</f>
        <v>0</v>
      </c>
      <c r="J323" s="240"/>
      <c r="L323" s="103"/>
    </row>
    <row r="324" spans="1:10" ht="12.75" hidden="1">
      <c r="A324" s="104"/>
      <c r="B324" s="105"/>
      <c r="C324" s="114"/>
      <c r="D324" s="105"/>
      <c r="E324" s="105"/>
      <c r="F324" s="105"/>
      <c r="G324" s="113"/>
      <c r="H324" s="129"/>
      <c r="I324" s="239"/>
      <c r="J324" s="239"/>
    </row>
    <row r="325" spans="1:10" ht="25.5" hidden="1">
      <c r="A325" s="104" t="str">
        <f>+'[7]Clasific. Económica de Ingresos'!A137</f>
        <v>2.4.1.2.01.00.0.0.001</v>
      </c>
      <c r="B325" s="179" t="str">
        <f>+'[7]Clasific. Económica de Ingresos'!B137</f>
        <v>Fondo de Desarrollo Social y Asignaciones Familiares</v>
      </c>
      <c r="C325" s="180">
        <f>+'[7]Clasific. Económica de Ingresos'!C137</f>
        <v>0</v>
      </c>
      <c r="D325" s="105"/>
      <c r="E325" s="105"/>
      <c r="F325" s="105"/>
      <c r="G325" s="113"/>
      <c r="H325" s="147"/>
      <c r="I325" s="244"/>
      <c r="J325" s="244"/>
    </row>
    <row r="326" spans="1:10" ht="12.75" hidden="1">
      <c r="A326" s="104"/>
      <c r="B326" s="179"/>
      <c r="C326" s="180"/>
      <c r="D326" s="105" t="s">
        <v>569</v>
      </c>
      <c r="E326" s="105">
        <v>10</v>
      </c>
      <c r="F326" s="105"/>
      <c r="G326" s="113" t="str">
        <f>+'[7]Egresos Programa II General'!B23</f>
        <v>Servicios Sociales Complementarios</v>
      </c>
      <c r="H326" s="147">
        <v>0</v>
      </c>
      <c r="I326" s="244"/>
      <c r="J326" s="244"/>
    </row>
    <row r="327" spans="1:10" ht="13.5" hidden="1" thickBot="1">
      <c r="A327" s="120" t="s">
        <v>402</v>
      </c>
      <c r="B327" s="157"/>
      <c r="C327" s="121">
        <f>SUM(C325:C326)</f>
        <v>0</v>
      </c>
      <c r="D327" s="122"/>
      <c r="E327" s="122"/>
      <c r="F327" s="122"/>
      <c r="G327" s="123"/>
      <c r="H327" s="131">
        <f>SUM(H326:H326)</f>
        <v>0</v>
      </c>
      <c r="I327" s="237">
        <f>+C327-H327</f>
        <v>0</v>
      </c>
      <c r="J327" s="240"/>
    </row>
    <row r="328" spans="1:12" s="183" customFormat="1" ht="12.75">
      <c r="A328" s="152"/>
      <c r="B328" s="133"/>
      <c r="C328" s="40"/>
      <c r="D328" s="133"/>
      <c r="E328" s="133"/>
      <c r="F328" s="133"/>
      <c r="G328" s="134"/>
      <c r="H328" s="255"/>
      <c r="I328" s="255"/>
      <c r="J328" s="40"/>
      <c r="K328" s="404"/>
      <c r="L328" s="182"/>
    </row>
    <row r="329" spans="1:12" s="183" customFormat="1" ht="12.75">
      <c r="A329" s="152" t="str">
        <f>+'[7]Clasific. Económica de Ingresos'!A156</f>
        <v>3.3.1.0.00.00.0.0.000</v>
      </c>
      <c r="B329" s="133" t="str">
        <f>+'[7]Clasific. Económica de Ingresos'!B156</f>
        <v>Superavit Libre</v>
      </c>
      <c r="C329" s="40">
        <f>+'[7]Clasific. Económica de Ingresos'!C156</f>
        <v>1234000000</v>
      </c>
      <c r="D329" s="133"/>
      <c r="E329" s="133"/>
      <c r="F329" s="133"/>
      <c r="G329" s="134"/>
      <c r="H329" s="255"/>
      <c r="I329" s="255"/>
      <c r="J329" s="40"/>
      <c r="K329" s="404"/>
      <c r="L329" s="182"/>
    </row>
    <row r="330" spans="1:12" s="183" customFormat="1" ht="12.75">
      <c r="A330" s="152"/>
      <c r="B330" s="133"/>
      <c r="C330" s="40"/>
      <c r="D330" s="133" t="s">
        <v>394</v>
      </c>
      <c r="E330" s="133">
        <v>10</v>
      </c>
      <c r="F330" s="133"/>
      <c r="G330" s="134" t="str">
        <f>+'[7]Egresos Programa II General'!B23</f>
        <v>Servicios Sociales Complementarios</v>
      </c>
      <c r="H330" s="255">
        <v>30000000</v>
      </c>
      <c r="I330" s="255"/>
      <c r="J330" s="40"/>
      <c r="K330" s="404"/>
      <c r="L330" s="182"/>
    </row>
    <row r="331" spans="1:12" s="183" customFormat="1" ht="12.75">
      <c r="A331" s="152"/>
      <c r="B331" s="133"/>
      <c r="C331" s="40"/>
      <c r="D331" s="133" t="s">
        <v>396</v>
      </c>
      <c r="E331" s="133" t="s">
        <v>390</v>
      </c>
      <c r="F331" s="133" t="s">
        <v>390</v>
      </c>
      <c r="G331" s="134" t="str">
        <f>+'[7]Egresos Programa III General'!B13</f>
        <v>Contrucción de Cancha Multiusos en Calle Arriba San Rafael</v>
      </c>
      <c r="H331" s="255">
        <f>+'[7]Egresos Programa III General'!C13</f>
        <v>12000000</v>
      </c>
      <c r="I331" s="255"/>
      <c r="J331" s="40"/>
      <c r="K331" s="404"/>
      <c r="L331" s="182"/>
    </row>
    <row r="332" spans="1:12" s="183" customFormat="1" ht="12.75">
      <c r="A332" s="152"/>
      <c r="B332" s="133"/>
      <c r="C332" s="40"/>
      <c r="D332" s="133" t="s">
        <v>396</v>
      </c>
      <c r="E332" s="133" t="s">
        <v>390</v>
      </c>
      <c r="F332" s="133" t="s">
        <v>397</v>
      </c>
      <c r="G332" s="134" t="str">
        <f>+'[7]Egresos Programa III General'!B14</f>
        <v>Mejoramiento de Infraestructura CENCINAI el Erizo</v>
      </c>
      <c r="H332" s="255">
        <f>+'[7]Egresos Programa III General'!C14</f>
        <v>15000000</v>
      </c>
      <c r="I332" s="255"/>
      <c r="J332" s="40"/>
      <c r="K332" s="404"/>
      <c r="L332" s="182"/>
    </row>
    <row r="333" spans="1:12" s="183" customFormat="1" ht="12.75">
      <c r="A333" s="152"/>
      <c r="B333" s="133"/>
      <c r="C333" s="40"/>
      <c r="D333" s="133" t="s">
        <v>396</v>
      </c>
      <c r="E333" s="133" t="s">
        <v>397</v>
      </c>
      <c r="F333" s="133" t="s">
        <v>399</v>
      </c>
      <c r="G333" s="134" t="s">
        <v>486</v>
      </c>
      <c r="H333" s="255">
        <v>438000000</v>
      </c>
      <c r="I333" s="255"/>
      <c r="J333" s="40"/>
      <c r="K333" s="404"/>
      <c r="L333" s="182"/>
    </row>
    <row r="334" spans="1:12" s="183" customFormat="1" ht="12.75">
      <c r="A334" s="152"/>
      <c r="B334" s="133"/>
      <c r="C334" s="40"/>
      <c r="D334" s="133" t="s">
        <v>396</v>
      </c>
      <c r="E334" s="133" t="s">
        <v>397</v>
      </c>
      <c r="F334" s="133" t="s">
        <v>393</v>
      </c>
      <c r="G334" s="134" t="str">
        <f>+'[7]Egresos Programa III General'!B44</f>
        <v>Construcción de Aceras peatonales Canoas</v>
      </c>
      <c r="H334" s="255">
        <f>+'[7]Egresos Programa III General'!C44</f>
        <v>100000000</v>
      </c>
      <c r="I334" s="255"/>
      <c r="J334" s="40"/>
      <c r="K334" s="404"/>
      <c r="L334" s="182"/>
    </row>
    <row r="335" spans="1:12" s="183" customFormat="1" ht="12.75">
      <c r="A335" s="152"/>
      <c r="B335" s="133"/>
      <c r="C335" s="40"/>
      <c r="D335" s="133" t="s">
        <v>396</v>
      </c>
      <c r="E335" s="133" t="s">
        <v>405</v>
      </c>
      <c r="F335" s="133" t="s">
        <v>390</v>
      </c>
      <c r="G335" s="246" t="str">
        <f>+'[7]Egresos Programa III General'!B97</f>
        <v>Dierección Técnica y Estudio</v>
      </c>
      <c r="H335" s="255">
        <f>69000000+26500000</f>
        <v>95500000</v>
      </c>
      <c r="I335" s="255"/>
      <c r="J335" s="40"/>
      <c r="K335" s="404"/>
      <c r="L335" s="182"/>
    </row>
    <row r="336" spans="1:12" s="183" customFormat="1" ht="12.75">
      <c r="A336" s="152"/>
      <c r="B336" s="133"/>
      <c r="C336" s="40"/>
      <c r="D336" s="133" t="s">
        <v>396</v>
      </c>
      <c r="E336" s="133" t="s">
        <v>405</v>
      </c>
      <c r="F336" s="133" t="s">
        <v>420</v>
      </c>
      <c r="G336" s="134" t="str">
        <f>+'[7]Egresos Programa III General'!B101</f>
        <v>Alajuela Ciudad Segura</v>
      </c>
      <c r="H336" s="255">
        <v>27000000</v>
      </c>
      <c r="I336" s="255"/>
      <c r="J336" s="40"/>
      <c r="K336" s="404"/>
      <c r="L336" s="182"/>
    </row>
    <row r="337" spans="1:12" s="183" customFormat="1" ht="12.75">
      <c r="A337" s="152"/>
      <c r="B337" s="133"/>
      <c r="C337" s="40"/>
      <c r="D337" s="133" t="s">
        <v>396</v>
      </c>
      <c r="E337" s="133" t="s">
        <v>405</v>
      </c>
      <c r="F337" s="133" t="s">
        <v>395</v>
      </c>
      <c r="G337" s="246" t="str">
        <f>+'[7]Egresos Programa III General'!B105</f>
        <v>Mejoras Parque Multiusos Urbanizción Las Palmas</v>
      </c>
      <c r="H337" s="255">
        <f>+'[7]Egresos Programa III General'!C105</f>
        <v>10000000</v>
      </c>
      <c r="I337" s="255"/>
      <c r="J337" s="40"/>
      <c r="K337" s="404"/>
      <c r="L337" s="182"/>
    </row>
    <row r="338" spans="1:12" s="183" customFormat="1" ht="12.75" hidden="1">
      <c r="A338" s="152"/>
      <c r="B338" s="133"/>
      <c r="C338" s="40"/>
      <c r="D338" s="133"/>
      <c r="E338" s="133"/>
      <c r="F338" s="133"/>
      <c r="G338" s="134"/>
      <c r="H338" s="255"/>
      <c r="I338" s="255"/>
      <c r="J338" s="40"/>
      <c r="K338" s="404"/>
      <c r="L338" s="182"/>
    </row>
    <row r="339" spans="1:12" s="183" customFormat="1" ht="12.75" hidden="1">
      <c r="A339" s="152"/>
      <c r="B339" s="133"/>
      <c r="C339" s="40"/>
      <c r="D339" s="133"/>
      <c r="E339" s="133"/>
      <c r="F339" s="133"/>
      <c r="G339" s="134"/>
      <c r="H339" s="255"/>
      <c r="I339" s="255"/>
      <c r="J339" s="40"/>
      <c r="K339" s="404"/>
      <c r="L339" s="182"/>
    </row>
    <row r="340" spans="1:12" s="183" customFormat="1" ht="12.75" hidden="1">
      <c r="A340" s="152"/>
      <c r="B340" s="133"/>
      <c r="C340" s="40"/>
      <c r="D340" s="133"/>
      <c r="E340" s="133"/>
      <c r="F340" s="133"/>
      <c r="G340" s="134"/>
      <c r="H340" s="255"/>
      <c r="I340" s="255"/>
      <c r="J340" s="40"/>
      <c r="K340" s="404"/>
      <c r="L340" s="182"/>
    </row>
    <row r="341" spans="1:12" s="183" customFormat="1" ht="12.75" hidden="1">
      <c r="A341" s="152"/>
      <c r="B341" s="133"/>
      <c r="C341" s="40"/>
      <c r="D341" s="133"/>
      <c r="E341" s="133"/>
      <c r="F341" s="133"/>
      <c r="G341" s="134"/>
      <c r="H341" s="255"/>
      <c r="I341" s="255"/>
      <c r="J341" s="40"/>
      <c r="K341" s="404"/>
      <c r="L341" s="182"/>
    </row>
    <row r="342" spans="1:12" s="183" customFormat="1" ht="12.75" hidden="1">
      <c r="A342" s="152"/>
      <c r="B342" s="133"/>
      <c r="C342" s="40"/>
      <c r="D342" s="133"/>
      <c r="E342" s="133"/>
      <c r="F342" s="133"/>
      <c r="G342" s="134"/>
      <c r="H342" s="255"/>
      <c r="I342" s="255"/>
      <c r="J342" s="40"/>
      <c r="K342" s="404"/>
      <c r="L342" s="182"/>
    </row>
    <row r="343" spans="1:12" s="183" customFormat="1" ht="12.75" hidden="1">
      <c r="A343" s="152"/>
      <c r="B343" s="133"/>
      <c r="C343" s="40"/>
      <c r="D343" s="133"/>
      <c r="E343" s="133"/>
      <c r="F343" s="133"/>
      <c r="G343" s="134"/>
      <c r="H343" s="255"/>
      <c r="I343" s="255"/>
      <c r="J343" s="40"/>
      <c r="K343" s="404"/>
      <c r="L343" s="182"/>
    </row>
    <row r="344" spans="1:12" s="183" customFormat="1" ht="12.75" hidden="1">
      <c r="A344" s="152"/>
      <c r="B344" s="133"/>
      <c r="C344" s="40"/>
      <c r="D344" s="133"/>
      <c r="E344" s="133"/>
      <c r="F344" s="133"/>
      <c r="G344" s="134"/>
      <c r="H344" s="255"/>
      <c r="I344" s="255"/>
      <c r="J344" s="40"/>
      <c r="K344" s="404"/>
      <c r="L344" s="182"/>
    </row>
    <row r="345" spans="1:12" s="183" customFormat="1" ht="12.75" hidden="1">
      <c r="A345" s="152"/>
      <c r="B345" s="133"/>
      <c r="C345" s="40"/>
      <c r="D345" s="133"/>
      <c r="E345" s="133"/>
      <c r="F345" s="133"/>
      <c r="G345" s="134"/>
      <c r="H345" s="255"/>
      <c r="I345" s="255"/>
      <c r="J345" s="40"/>
      <c r="K345" s="404"/>
      <c r="L345" s="182"/>
    </row>
    <row r="346" spans="1:12" s="183" customFormat="1" ht="12.75" hidden="1">
      <c r="A346" s="152"/>
      <c r="B346" s="133"/>
      <c r="C346" s="40"/>
      <c r="D346" s="133"/>
      <c r="E346" s="133"/>
      <c r="F346" s="133"/>
      <c r="G346" s="134"/>
      <c r="H346" s="255"/>
      <c r="I346" s="255"/>
      <c r="J346" s="40"/>
      <c r="K346" s="404"/>
      <c r="L346" s="182"/>
    </row>
    <row r="347" spans="1:12" s="183" customFormat="1" ht="12.75" hidden="1">
      <c r="A347" s="152"/>
      <c r="B347" s="133"/>
      <c r="C347" s="40"/>
      <c r="D347" s="133"/>
      <c r="E347" s="133"/>
      <c r="F347" s="133"/>
      <c r="G347" s="134"/>
      <c r="H347" s="255"/>
      <c r="I347" s="255"/>
      <c r="J347" s="40"/>
      <c r="K347" s="404"/>
      <c r="L347" s="182"/>
    </row>
    <row r="348" spans="1:12" s="183" customFormat="1" ht="12.75" hidden="1">
      <c r="A348" s="152"/>
      <c r="B348" s="133"/>
      <c r="C348" s="40"/>
      <c r="D348" s="133"/>
      <c r="E348" s="133"/>
      <c r="F348" s="133"/>
      <c r="G348" s="134"/>
      <c r="H348" s="255"/>
      <c r="I348" s="255"/>
      <c r="J348" s="40"/>
      <c r="K348" s="404"/>
      <c r="L348" s="182"/>
    </row>
    <row r="349" spans="1:12" s="183" customFormat="1" ht="12.75">
      <c r="A349" s="152"/>
      <c r="B349" s="133"/>
      <c r="C349" s="40"/>
      <c r="D349" s="133" t="s">
        <v>396</v>
      </c>
      <c r="E349" s="133" t="s">
        <v>405</v>
      </c>
      <c r="F349" s="133">
        <v>11</v>
      </c>
      <c r="G349" s="246" t="str">
        <f>+'[7]Egresos Programa III General'!B107</f>
        <v>Compra de Terreno para Salón Comunal Río Segundo</v>
      </c>
      <c r="H349" s="255">
        <v>50000000</v>
      </c>
      <c r="I349" s="255"/>
      <c r="J349" s="40"/>
      <c r="K349" s="404"/>
      <c r="L349" s="182"/>
    </row>
    <row r="350" spans="1:12" s="183" customFormat="1" ht="12.75">
      <c r="A350" s="152"/>
      <c r="B350" s="133"/>
      <c r="C350" s="40"/>
      <c r="D350" s="133" t="s">
        <v>396</v>
      </c>
      <c r="E350" s="133" t="s">
        <v>400</v>
      </c>
      <c r="F350" s="133"/>
      <c r="G350" s="134" t="s">
        <v>731</v>
      </c>
      <c r="H350" s="255">
        <v>143000000</v>
      </c>
      <c r="I350" s="255"/>
      <c r="J350" s="40">
        <f>+J351-1954969833.13</f>
        <v>-1641469833.13</v>
      </c>
      <c r="K350" s="404"/>
      <c r="L350" s="182"/>
    </row>
    <row r="351" spans="1:12" s="183" customFormat="1" ht="12.75">
      <c r="A351" s="152"/>
      <c r="B351" s="133"/>
      <c r="C351" s="40"/>
      <c r="D351" s="133" t="s">
        <v>396</v>
      </c>
      <c r="E351" s="133" t="s">
        <v>400</v>
      </c>
      <c r="F351" s="133"/>
      <c r="G351" s="134" t="s">
        <v>401</v>
      </c>
      <c r="H351" s="255">
        <f>289500000+20000000+4000000</f>
        <v>313500000</v>
      </c>
      <c r="I351" s="255"/>
      <c r="J351" s="40">
        <f>+H351+H388+H405+H496</f>
        <v>313500000</v>
      </c>
      <c r="K351" s="404">
        <f>+H351+H350+H352+H404+H579+H593+H365+H405</f>
        <v>456500000</v>
      </c>
      <c r="L351" s="182"/>
    </row>
    <row r="352" spans="1:12" s="183" customFormat="1" ht="13.5" thickBot="1">
      <c r="A352" s="152"/>
      <c r="B352" s="133"/>
      <c r="C352" s="40"/>
      <c r="D352" s="133" t="s">
        <v>396</v>
      </c>
      <c r="E352" s="133" t="s">
        <v>395</v>
      </c>
      <c r="F352" s="133"/>
      <c r="G352" s="134" t="s">
        <v>634</v>
      </c>
      <c r="H352" s="255">
        <v>0</v>
      </c>
      <c r="I352" s="255"/>
      <c r="J352" s="40"/>
      <c r="K352" s="404"/>
      <c r="L352" s="182"/>
    </row>
    <row r="353" spans="1:12" s="183" customFormat="1" ht="13.5" thickBot="1">
      <c r="A353" s="413" t="s">
        <v>402</v>
      </c>
      <c r="B353" s="48"/>
      <c r="C353" s="414">
        <f>SUM(C329:C352)</f>
        <v>1234000000</v>
      </c>
      <c r="D353" s="48"/>
      <c r="E353" s="48"/>
      <c r="F353" s="48"/>
      <c r="G353" s="141"/>
      <c r="H353" s="423">
        <f>SUM(H328:H352)</f>
        <v>1234000000</v>
      </c>
      <c r="I353" s="255">
        <f>+C353-H353</f>
        <v>0</v>
      </c>
      <c r="J353" s="40"/>
      <c r="K353" s="404"/>
      <c r="L353" s="182"/>
    </row>
    <row r="354" spans="1:10" ht="12.75" hidden="1">
      <c r="A354" s="104"/>
      <c r="B354" s="105"/>
      <c r="C354" s="114"/>
      <c r="D354" s="105"/>
      <c r="E354" s="105"/>
      <c r="F354" s="105"/>
      <c r="G354" s="113"/>
      <c r="H354" s="424"/>
      <c r="I354" s="254"/>
      <c r="J354" s="254"/>
    </row>
    <row r="355" spans="1:10" ht="12.75" hidden="1">
      <c r="A355" s="104"/>
      <c r="B355" s="105"/>
      <c r="C355" s="114"/>
      <c r="D355" s="105"/>
      <c r="E355" s="105"/>
      <c r="F355" s="105"/>
      <c r="G355" s="113"/>
      <c r="H355" s="129"/>
      <c r="I355" s="239"/>
      <c r="J355" s="239"/>
    </row>
    <row r="356" spans="1:10" ht="12.75" hidden="1">
      <c r="A356" s="104" t="str">
        <f>+'[7]Clasific. Económica de Ingresos'!A153</f>
        <v>3.1.1.6.01.00.0.0.000</v>
      </c>
      <c r="B356" s="179" t="str">
        <f>+'[7]Clasific. Económica de Ingresos'!B153</f>
        <v>Banco Popular </v>
      </c>
      <c r="C356" s="180">
        <f>+'[7]Clasific. Económica de Ingresos'!C153</f>
        <v>0</v>
      </c>
      <c r="D356" s="105" t="s">
        <v>396</v>
      </c>
      <c r="E356" s="105" t="s">
        <v>397</v>
      </c>
      <c r="F356" s="105"/>
      <c r="G356" s="260" t="str">
        <f>+'[7]Egresos Programa III General'!B17</f>
        <v>Mejoras en la infraestructura del CENCINAI de Villa Bonita</v>
      </c>
      <c r="H356" s="147">
        <v>0</v>
      </c>
      <c r="I356" s="244"/>
      <c r="J356" s="244"/>
    </row>
    <row r="357" spans="1:10" ht="12.75" hidden="1">
      <c r="A357" s="104"/>
      <c r="B357" s="179"/>
      <c r="C357" s="180"/>
      <c r="D357" s="105"/>
      <c r="E357" s="105"/>
      <c r="F357" s="105"/>
      <c r="G357" s="113"/>
      <c r="H357" s="147">
        <v>0</v>
      </c>
      <c r="I357" s="244"/>
      <c r="J357" s="244"/>
    </row>
    <row r="358" spans="1:10" ht="13.5" hidden="1" thickBot="1">
      <c r="A358" s="120" t="s">
        <v>402</v>
      </c>
      <c r="B358" s="157"/>
      <c r="C358" s="121">
        <f>SUM(C356:C357)</f>
        <v>0</v>
      </c>
      <c r="D358" s="122"/>
      <c r="E358" s="122"/>
      <c r="F358" s="122"/>
      <c r="G358" s="123"/>
      <c r="H358" s="131">
        <f>SUM(H356:H357)</f>
        <v>0</v>
      </c>
      <c r="I358" s="237">
        <f>+C358-H358</f>
        <v>0</v>
      </c>
      <c r="J358" s="240"/>
    </row>
    <row r="359" spans="1:12" ht="12.75">
      <c r="A359" s="161" t="s">
        <v>437</v>
      </c>
      <c r="B359" s="105"/>
      <c r="C359" s="114">
        <f>+C63+C73+C82+C131+C146+C152+C161+C167+C178+C184+C189+C195+C215+C220+C199+C274+C289+C299+C307+C319+C280+C315+C172+C323+C327+C204+C358</f>
        <v>19466165980.81</v>
      </c>
      <c r="D359" s="105"/>
      <c r="E359" s="105"/>
      <c r="F359" s="105"/>
      <c r="G359" s="113"/>
      <c r="H359" s="256">
        <f>+H63+H73+H82+H131+H146+H152+H161+H167+H178+H184+H189+H195+H215+H220+H199+H274+H289+H299+H307+H319+H280+H315+H172+H323+H327+H204+H358</f>
        <v>19466165980.81732</v>
      </c>
      <c r="I359" s="114">
        <f>+I63+I73+I82+I131+I146+I152+I161+I167+I178+I184+I189+I195+I215+I220+I199+I274+I289+I299+I307+I319+I280+I315+I172+I323+I327+I204+I358</f>
        <v>-0.007323652505874634</v>
      </c>
      <c r="J359" s="114"/>
      <c r="K359" s="403">
        <f>+C359-H359</f>
        <v>-0.007320404052734375</v>
      </c>
      <c r="L359" s="102">
        <f>+H359-I359</f>
        <v>19466165980.824646</v>
      </c>
    </row>
    <row r="360" spans="1:12" s="183" customFormat="1" ht="12.75">
      <c r="A360" s="152" t="s">
        <v>438</v>
      </c>
      <c r="B360" s="133"/>
      <c r="C360" s="40">
        <f>+C78+C89+C95+C99+C118+C125+C156+C210+C241+C253+C269+C234+C259+C295+C353</f>
        <v>9674350000</v>
      </c>
      <c r="D360" s="133"/>
      <c r="E360" s="133"/>
      <c r="F360" s="133"/>
      <c r="G360" s="134"/>
      <c r="H360" s="255">
        <f>+H78+H89+H95+H99+H118+H125+H156+H210+H241+H253+H269+H234+H259+H295+H353</f>
        <v>9674349999.999928</v>
      </c>
      <c r="I360" s="40">
        <f>+I78+I89+I95+I99+I118+I125+I156+I210+I241+I253+I269+I234+I259+I295+I353</f>
        <v>7.289648056030273E-05</v>
      </c>
      <c r="J360" s="40"/>
      <c r="K360" s="404">
        <f>+C360-H360</f>
        <v>7.2479248046875E-05</v>
      </c>
      <c r="L360" s="182"/>
    </row>
    <row r="361" spans="1:12" ht="13.5" thickBot="1">
      <c r="A361" s="173"/>
      <c r="B361" s="174"/>
      <c r="C361" s="175">
        <f>+C359+C360</f>
        <v>29140515980.81</v>
      </c>
      <c r="D361" s="174"/>
      <c r="E361" s="174"/>
      <c r="F361" s="174"/>
      <c r="G361" s="176"/>
      <c r="H361" s="335">
        <f>+H359+H360</f>
        <v>29140515980.81725</v>
      </c>
      <c r="I361" s="175">
        <f>+I359+I360</f>
        <v>-0.007250756025314331</v>
      </c>
      <c r="J361" s="114"/>
      <c r="K361" s="403">
        <f>+K359+K360</f>
        <v>-0.0072479248046875</v>
      </c>
      <c r="L361" s="103"/>
    </row>
    <row r="362" spans="1:12" ht="13.5" thickBot="1">
      <c r="A362" s="110" t="s">
        <v>439</v>
      </c>
      <c r="B362" s="122"/>
      <c r="C362" s="121">
        <f>+C63+C73+C78+C82+C89+C95+C99+C118+C125+C131+C146+C152+C156+C161+C167++C178+C184+C189+C195+C210+C215+C220+C234+C241+C253+C269+C199+C274+C289+C295+C299+C307+C319+C259+C280+C315+C172+C323+C327+C353+C204+C358</f>
        <v>29140515980.81</v>
      </c>
      <c r="D362" s="184"/>
      <c r="E362" s="184"/>
      <c r="F362" s="184"/>
      <c r="G362" s="185"/>
      <c r="H362" s="121">
        <f>+H63+H73+H78+H82+H89+H95+H99+H118+H125+H131+H146+H152+H156+H161+H167++H178+H184+H189+H195+H210+H215+H220+H234+H241+H253+H269+H199+H274+H289+H295+H299+H307+H319+H259+H280+H315+H172+H323+H327+H353+H204+H358</f>
        <v>29140515980.817253</v>
      </c>
      <c r="I362" s="121">
        <f>+I63+I73+I78+I82+I89+I95+I99+I118+I125+I131+I146+I152+I156+I161+I167++I178+I184+I189+I195+I210+I215+I220+I234+I241+I253+I269+I199+I274+I289+I295+I299+I307+I319+I259+I280+I315+I172+I323+I327+I353+I204+I358</f>
        <v>-0.007250756025314331</v>
      </c>
      <c r="J362" s="148">
        <f>+C362-H362</f>
        <v>-0.007251739501953125</v>
      </c>
      <c r="L362" s="103"/>
    </row>
    <row r="363" spans="1:12" ht="12.75">
      <c r="A363" s="104"/>
      <c r="B363" s="105"/>
      <c r="C363" s="148">
        <f>+C362-'[7]Clasific. Económica de Ingresos'!D161</f>
        <v>0</v>
      </c>
      <c r="D363" s="29"/>
      <c r="E363" s="29"/>
      <c r="F363" s="29"/>
      <c r="G363" s="167"/>
      <c r="H363" s="278"/>
      <c r="I363" s="148"/>
      <c r="J363" s="148"/>
      <c r="L363" s="103"/>
    </row>
    <row r="364" spans="1:12" ht="31.5" customHeight="1">
      <c r="A364" s="539" t="s">
        <v>550</v>
      </c>
      <c r="B364" s="540"/>
      <c r="C364" s="540"/>
      <c r="D364" s="540"/>
      <c r="E364" s="540"/>
      <c r="F364" s="540"/>
      <c r="G364" s="540"/>
      <c r="H364" s="541"/>
      <c r="I364" s="211"/>
      <c r="J364" s="211"/>
      <c r="L364" s="103"/>
    </row>
    <row r="365" spans="1:12" ht="12.75">
      <c r="A365" s="104"/>
      <c r="B365" s="105"/>
      <c r="C365" s="148"/>
      <c r="D365" s="29"/>
      <c r="E365" s="29"/>
      <c r="F365" s="29"/>
      <c r="G365" s="167"/>
      <c r="H365" s="278"/>
      <c r="I365" s="148"/>
      <c r="J365" s="148"/>
      <c r="L365" s="103"/>
    </row>
    <row r="366" spans="1:12" ht="12.75">
      <c r="A366" s="161" t="s">
        <v>440</v>
      </c>
      <c r="B366" s="105"/>
      <c r="C366" s="148"/>
      <c r="D366" s="29"/>
      <c r="E366" s="29"/>
      <c r="F366" s="29"/>
      <c r="G366" s="167"/>
      <c r="H366" s="278"/>
      <c r="I366" s="148"/>
      <c r="J366" s="148"/>
      <c r="L366" s="103"/>
    </row>
    <row r="367" spans="1:12" ht="12.75">
      <c r="A367" s="104"/>
      <c r="B367" s="105"/>
      <c r="C367" s="148"/>
      <c r="D367" s="29"/>
      <c r="E367" s="29"/>
      <c r="F367" s="29"/>
      <c r="G367" s="167"/>
      <c r="H367" s="278"/>
      <c r="I367" s="148"/>
      <c r="J367" s="148"/>
      <c r="L367" s="103"/>
    </row>
    <row r="368" spans="1:12" ht="13.5" thickBot="1">
      <c r="A368" s="295" t="s">
        <v>730</v>
      </c>
      <c r="B368" s="174"/>
      <c r="C368" s="296"/>
      <c r="D368" s="108"/>
      <c r="E368" s="108"/>
      <c r="F368" s="108"/>
      <c r="G368" s="109"/>
      <c r="H368" s="297"/>
      <c r="I368" s="148"/>
      <c r="J368" s="148"/>
      <c r="L368" s="103"/>
    </row>
    <row r="369" spans="8:12" ht="12.75">
      <c r="H369" s="269">
        <f>+H362-C362</f>
        <v>0.007251739501953125</v>
      </c>
      <c r="L369" s="103"/>
    </row>
    <row r="370" spans="1:12" ht="12.75">
      <c r="A370" s="187"/>
      <c r="B370" s="187"/>
      <c r="C370" s="188">
        <f>+C362-C361</f>
        <v>0</v>
      </c>
      <c r="H370" s="269">
        <f>+H362-'[7]Detalle General de Egresos'!E7</f>
        <v>0.00861358642578125</v>
      </c>
      <c r="L370" s="103"/>
    </row>
    <row r="371" spans="1:12" ht="12.75">
      <c r="A371" s="187"/>
      <c r="B371" s="187"/>
      <c r="C371" s="188"/>
      <c r="I371" s="102">
        <f>845000000+330000000</f>
        <v>1175000000</v>
      </c>
      <c r="L371" s="103"/>
    </row>
    <row r="372" spans="1:12" ht="12.75">
      <c r="A372" s="187"/>
      <c r="B372" s="187"/>
      <c r="C372" s="188"/>
      <c r="L372" s="103"/>
    </row>
    <row r="373" spans="1:12" ht="12.75">
      <c r="A373" s="187"/>
      <c r="B373" s="187"/>
      <c r="C373" s="188"/>
      <c r="I373" s="102">
        <f>+H369+I371</f>
        <v>1175000000.0072517</v>
      </c>
      <c r="L373" s="103"/>
    </row>
    <row r="374" spans="1:12" ht="12.75">
      <c r="A374" s="187"/>
      <c r="B374" s="187"/>
      <c r="C374" s="188"/>
      <c r="L374" s="103"/>
    </row>
    <row r="375" spans="1:12" ht="12.75">
      <c r="A375" s="187"/>
      <c r="B375" s="187"/>
      <c r="C375" s="188"/>
      <c r="L375" s="103"/>
    </row>
    <row r="376" spans="1:12" ht="12.75">
      <c r="A376" s="187"/>
      <c r="B376" s="187"/>
      <c r="C376" s="188"/>
      <c r="I376" s="102">
        <v>118088283.14</v>
      </c>
      <c r="L376" s="103"/>
    </row>
    <row r="377" spans="1:12" ht="12.75">
      <c r="A377" s="187"/>
      <c r="B377" s="187"/>
      <c r="C377" s="188"/>
      <c r="I377" s="102">
        <f>+I373+I376</f>
        <v>1293088283.1472518</v>
      </c>
      <c r="J377" s="103"/>
      <c r="K377" s="103"/>
      <c r="L377" s="103"/>
    </row>
    <row r="378" spans="1:12" ht="12.75">
      <c r="A378" s="187"/>
      <c r="B378" s="187"/>
      <c r="C378" s="188"/>
      <c r="J378" s="103"/>
      <c r="K378" s="103"/>
      <c r="L378" s="103"/>
    </row>
    <row r="379" spans="1:12" ht="12.75">
      <c r="A379" s="187"/>
      <c r="B379" s="187"/>
      <c r="C379" s="188"/>
      <c r="J379" s="103"/>
      <c r="K379" s="103"/>
      <c r="L379" s="103"/>
    </row>
    <row r="380" spans="1:12" ht="12.75">
      <c r="A380" s="187"/>
      <c r="B380" s="187"/>
      <c r="C380" s="188"/>
      <c r="J380" s="103"/>
      <c r="K380" s="103"/>
      <c r="L380" s="103"/>
    </row>
    <row r="381" spans="1:12" ht="12.75">
      <c r="A381" s="187"/>
      <c r="B381" s="187"/>
      <c r="C381" s="188"/>
      <c r="J381" s="103"/>
      <c r="K381" s="103"/>
      <c r="L381" s="103"/>
    </row>
    <row r="382" spans="1:12" ht="12.75">
      <c r="A382" s="187"/>
      <c r="B382" s="187"/>
      <c r="C382" s="188"/>
      <c r="J382" s="103"/>
      <c r="K382" s="103"/>
      <c r="L382" s="103"/>
    </row>
    <row r="383" spans="1:12" ht="12.75">
      <c r="A383" s="187"/>
      <c r="B383" s="187"/>
      <c r="C383" s="188"/>
      <c r="J383" s="103"/>
      <c r="K383" s="103"/>
      <c r="L383" s="103"/>
    </row>
    <row r="384" spans="1:12" ht="12.75">
      <c r="A384" s="187"/>
      <c r="B384" s="187"/>
      <c r="C384" s="188"/>
      <c r="J384" s="103"/>
      <c r="K384" s="103"/>
      <c r="L384" s="103"/>
    </row>
    <row r="385" spans="1:12" ht="12.75">
      <c r="A385" s="187"/>
      <c r="B385" s="187"/>
      <c r="C385" s="188"/>
      <c r="J385" s="103"/>
      <c r="K385" s="103"/>
      <c r="L385" s="103"/>
    </row>
    <row r="386" spans="1:12" ht="12.75">
      <c r="A386" s="187"/>
      <c r="B386" s="187"/>
      <c r="C386" s="188"/>
      <c r="J386" s="103"/>
      <c r="K386" s="103"/>
      <c r="L386" s="103"/>
    </row>
    <row r="387" spans="1:12" ht="12.75">
      <c r="A387" s="187"/>
      <c r="B387" s="187"/>
      <c r="C387" s="188"/>
      <c r="J387" s="103"/>
      <c r="K387" s="103"/>
      <c r="L387" s="103"/>
    </row>
    <row r="388" spans="1:12" ht="12.75">
      <c r="A388" s="187"/>
      <c r="B388" s="187"/>
      <c r="C388" s="188"/>
      <c r="J388" s="103"/>
      <c r="K388" s="103"/>
      <c r="L388" s="103"/>
    </row>
    <row r="389" spans="1:12" ht="12.75">
      <c r="A389" s="187"/>
      <c r="B389" s="187"/>
      <c r="C389" s="188"/>
      <c r="J389" s="103"/>
      <c r="K389" s="103"/>
      <c r="L389" s="103"/>
    </row>
    <row r="390" spans="1:12" ht="12.75">
      <c r="A390" s="187"/>
      <c r="B390" s="187"/>
      <c r="C390" s="188"/>
      <c r="J390" s="103"/>
      <c r="K390" s="103"/>
      <c r="L390" s="103"/>
    </row>
    <row r="391" spans="1:12" ht="12.75">
      <c r="A391" s="187"/>
      <c r="B391" s="187"/>
      <c r="C391" s="188"/>
      <c r="J391" s="103"/>
      <c r="K391" s="103"/>
      <c r="L391" s="103"/>
    </row>
    <row r="392" spans="1:12" ht="12.75">
      <c r="A392" s="187"/>
      <c r="B392" s="187"/>
      <c r="C392" s="188"/>
      <c r="J392" s="103"/>
      <c r="K392" s="103"/>
      <c r="L392" s="103"/>
    </row>
    <row r="393" spans="1:12" ht="12.75">
      <c r="A393" s="187"/>
      <c r="B393" s="187"/>
      <c r="C393" s="188"/>
      <c r="G393" s="103"/>
      <c r="H393" s="103"/>
      <c r="I393" s="103"/>
      <c r="J393" s="103"/>
      <c r="K393" s="103"/>
      <c r="L393" s="103"/>
    </row>
    <row r="394" spans="1:12" ht="12.75">
      <c r="A394" s="187"/>
      <c r="B394" s="187"/>
      <c r="C394" s="188"/>
      <c r="G394" s="103"/>
      <c r="H394" s="103"/>
      <c r="I394" s="103"/>
      <c r="J394" s="103"/>
      <c r="K394" s="103"/>
      <c r="L394" s="103"/>
    </row>
    <row r="395" spans="1:12" ht="12.75">
      <c r="A395" s="187"/>
      <c r="B395" s="187"/>
      <c r="C395" s="188"/>
      <c r="G395" s="103"/>
      <c r="H395" s="103"/>
      <c r="I395" s="103"/>
      <c r="J395" s="103"/>
      <c r="K395" s="103"/>
      <c r="L395" s="103"/>
    </row>
    <row r="396" spans="1:12" ht="12.75">
      <c r="A396" s="187"/>
      <c r="B396" s="187"/>
      <c r="C396" s="188"/>
      <c r="G396" s="103"/>
      <c r="H396" s="103"/>
      <c r="I396" s="103"/>
      <c r="J396" s="103"/>
      <c r="K396" s="103"/>
      <c r="L396" s="103"/>
    </row>
    <row r="397" spans="1:12" ht="12.75">
      <c r="A397" s="187"/>
      <c r="B397" s="187"/>
      <c r="C397" s="188"/>
      <c r="G397" s="103"/>
      <c r="H397" s="103"/>
      <c r="I397" s="103"/>
      <c r="J397" s="103"/>
      <c r="K397" s="103"/>
      <c r="L397" s="103"/>
    </row>
    <row r="398" spans="1:12" ht="12.75">
      <c r="A398" s="187"/>
      <c r="B398" s="187"/>
      <c r="C398" s="188"/>
      <c r="G398" s="103"/>
      <c r="H398" s="103"/>
      <c r="I398" s="103"/>
      <c r="J398" s="103"/>
      <c r="K398" s="103"/>
      <c r="L398" s="103"/>
    </row>
    <row r="399" spans="1:12" ht="12.75">
      <c r="A399" s="187"/>
      <c r="B399" s="187"/>
      <c r="C399" s="188"/>
      <c r="G399" s="103"/>
      <c r="H399" s="103"/>
      <c r="I399" s="103"/>
      <c r="J399" s="103"/>
      <c r="K399" s="103"/>
      <c r="L399" s="103"/>
    </row>
    <row r="400" spans="1:12" ht="12.75">
      <c r="A400" s="187"/>
      <c r="B400" s="187"/>
      <c r="C400" s="188"/>
      <c r="G400" s="103"/>
      <c r="H400" s="103"/>
      <c r="I400" s="103"/>
      <c r="J400" s="103"/>
      <c r="K400" s="103"/>
      <c r="L400" s="103"/>
    </row>
    <row r="401" spans="1:12" ht="12.75">
      <c r="A401" s="187"/>
      <c r="B401" s="187"/>
      <c r="C401" s="188"/>
      <c r="G401" s="103"/>
      <c r="H401" s="103"/>
      <c r="I401" s="103"/>
      <c r="J401" s="103"/>
      <c r="K401" s="103"/>
      <c r="L401" s="103"/>
    </row>
    <row r="402" spans="1:12" ht="12.75">
      <c r="A402" s="187"/>
      <c r="B402" s="187"/>
      <c r="C402" s="188"/>
      <c r="G402" s="103"/>
      <c r="H402" s="103"/>
      <c r="I402" s="103"/>
      <c r="J402" s="103"/>
      <c r="K402" s="103"/>
      <c r="L402" s="103"/>
    </row>
    <row r="403" spans="1:12" ht="12.75">
      <c r="A403" s="187"/>
      <c r="B403" s="187"/>
      <c r="C403" s="188"/>
      <c r="G403" s="103"/>
      <c r="H403" s="103"/>
      <c r="I403" s="103"/>
      <c r="J403" s="103"/>
      <c r="K403" s="103"/>
      <c r="L403" s="103"/>
    </row>
    <row r="404" spans="1:12" ht="12.75">
      <c r="A404" s="187"/>
      <c r="B404" s="187"/>
      <c r="C404" s="188"/>
      <c r="G404" s="103"/>
      <c r="H404" s="103"/>
      <c r="I404" s="103"/>
      <c r="J404" s="103"/>
      <c r="K404" s="103"/>
      <c r="L404" s="103"/>
    </row>
    <row r="405" spans="1:12" ht="12.75">
      <c r="A405" s="187"/>
      <c r="B405" s="187"/>
      <c r="C405" s="188"/>
      <c r="G405" s="103"/>
      <c r="H405" s="103"/>
      <c r="I405" s="103"/>
      <c r="J405" s="103"/>
      <c r="K405" s="103"/>
      <c r="L405" s="103"/>
    </row>
    <row r="406" spans="1:12" ht="12.75">
      <c r="A406" s="187"/>
      <c r="B406" s="187"/>
      <c r="C406" s="188"/>
      <c r="G406" s="103"/>
      <c r="H406" s="103"/>
      <c r="I406" s="103"/>
      <c r="J406" s="103"/>
      <c r="K406" s="103"/>
      <c r="L406" s="103"/>
    </row>
    <row r="407" spans="1:12" ht="12.75">
      <c r="A407" s="187"/>
      <c r="B407" s="187"/>
      <c r="C407" s="188"/>
      <c r="G407" s="103"/>
      <c r="H407" s="103"/>
      <c r="I407" s="103"/>
      <c r="J407" s="103"/>
      <c r="K407" s="103"/>
      <c r="L407" s="103"/>
    </row>
    <row r="408" spans="1:12" ht="12.75">
      <c r="A408" s="187"/>
      <c r="B408" s="187"/>
      <c r="C408" s="188"/>
      <c r="G408" s="103"/>
      <c r="H408" s="103"/>
      <c r="I408" s="103"/>
      <c r="J408" s="103"/>
      <c r="K408" s="103"/>
      <c r="L408" s="103"/>
    </row>
    <row r="409" spans="1:12" ht="12.75">
      <c r="A409" s="187"/>
      <c r="B409" s="187"/>
      <c r="C409" s="188"/>
      <c r="G409" s="103"/>
      <c r="H409" s="103"/>
      <c r="I409" s="103"/>
      <c r="J409" s="103"/>
      <c r="K409" s="103"/>
      <c r="L409" s="103"/>
    </row>
    <row r="410" spans="1:12" ht="12.75">
      <c r="A410" s="187"/>
      <c r="B410" s="187"/>
      <c r="C410" s="188"/>
      <c r="G410" s="103"/>
      <c r="H410" s="103"/>
      <c r="I410" s="103"/>
      <c r="J410" s="103"/>
      <c r="K410" s="103"/>
      <c r="L410" s="103"/>
    </row>
    <row r="411" spans="1:12" ht="12.75">
      <c r="A411" s="187"/>
      <c r="B411" s="187"/>
      <c r="C411" s="188"/>
      <c r="G411" s="103"/>
      <c r="H411" s="103"/>
      <c r="I411" s="103"/>
      <c r="J411" s="103"/>
      <c r="K411" s="103"/>
      <c r="L411" s="103"/>
    </row>
    <row r="412" spans="1:12" ht="12.75">
      <c r="A412" s="187"/>
      <c r="B412" s="187"/>
      <c r="C412" s="188"/>
      <c r="G412" s="103"/>
      <c r="H412" s="103"/>
      <c r="I412" s="103"/>
      <c r="J412" s="103"/>
      <c r="K412" s="103"/>
      <c r="L412" s="103"/>
    </row>
    <row r="413" spans="1:12" ht="12.75">
      <c r="A413" s="187"/>
      <c r="B413" s="187"/>
      <c r="C413" s="188"/>
      <c r="G413" s="103"/>
      <c r="H413" s="103"/>
      <c r="I413" s="103"/>
      <c r="J413" s="103"/>
      <c r="K413" s="103"/>
      <c r="L413" s="103"/>
    </row>
    <row r="414" spans="1:12" ht="12.75">
      <c r="A414" s="187"/>
      <c r="B414" s="187"/>
      <c r="C414" s="188"/>
      <c r="G414" s="103"/>
      <c r="H414" s="103"/>
      <c r="I414" s="103"/>
      <c r="J414" s="103"/>
      <c r="K414" s="103"/>
      <c r="L414" s="103"/>
    </row>
    <row r="415" spans="1:12" ht="12.75">
      <c r="A415" s="187"/>
      <c r="B415" s="187"/>
      <c r="C415" s="188"/>
      <c r="G415" s="103"/>
      <c r="H415" s="103"/>
      <c r="I415" s="103"/>
      <c r="J415" s="103"/>
      <c r="K415" s="103"/>
      <c r="L415" s="103"/>
    </row>
    <row r="416" spans="1:12" ht="12.75">
      <c r="A416" s="187"/>
      <c r="B416" s="187"/>
      <c r="C416" s="188"/>
      <c r="G416" s="103"/>
      <c r="H416" s="103"/>
      <c r="I416" s="103"/>
      <c r="J416" s="103"/>
      <c r="K416" s="103"/>
      <c r="L416" s="103"/>
    </row>
    <row r="417" spans="1:12" ht="12.75">
      <c r="A417" s="187"/>
      <c r="B417" s="187"/>
      <c r="C417" s="188"/>
      <c r="G417" s="103"/>
      <c r="H417" s="103"/>
      <c r="I417" s="103"/>
      <c r="J417" s="103"/>
      <c r="K417" s="103"/>
      <c r="L417" s="103"/>
    </row>
    <row r="418" spans="1:12" ht="12.75">
      <c r="A418" s="187"/>
      <c r="B418" s="187"/>
      <c r="C418" s="188"/>
      <c r="G418" s="103"/>
      <c r="H418" s="103"/>
      <c r="I418" s="103"/>
      <c r="J418" s="103"/>
      <c r="K418" s="103"/>
      <c r="L418" s="103"/>
    </row>
    <row r="419" spans="1:12" ht="12.75">
      <c r="A419" s="187"/>
      <c r="B419" s="187"/>
      <c r="C419" s="188"/>
      <c r="G419" s="103"/>
      <c r="H419" s="103"/>
      <c r="I419" s="103"/>
      <c r="J419" s="103"/>
      <c r="K419" s="103"/>
      <c r="L419" s="103"/>
    </row>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sheetData>
  <sheetProtection/>
  <mergeCells count="6">
    <mergeCell ref="A1:H1"/>
    <mergeCell ref="A2:H2"/>
    <mergeCell ref="A3:H3"/>
    <mergeCell ref="A5:H5"/>
    <mergeCell ref="A4:H4"/>
    <mergeCell ref="A364:H364"/>
  </mergeCells>
  <printOptions horizontalCentered="1" verticalCentered="1"/>
  <pageMargins left="0" right="0" top="0" bottom="0" header="0" footer="0"/>
  <pageSetup horizontalDpi="300" verticalDpi="300" orientation="landscape" scale="41" r:id="rId3"/>
  <rowBreaks count="3" manualBreakCount="3">
    <brk id="99" max="8" man="1"/>
    <brk id="195" max="8" man="1"/>
    <brk id="319" max="8" man="1"/>
  </rowBreaks>
  <legacyDrawing r:id="rId2"/>
</worksheet>
</file>

<file path=xl/worksheets/sheet6.xml><?xml version="1.0" encoding="utf-8"?>
<worksheet xmlns="http://schemas.openxmlformats.org/spreadsheetml/2006/main" xmlns:r="http://schemas.openxmlformats.org/officeDocument/2006/relationships">
  <dimension ref="A1:Q65"/>
  <sheetViews>
    <sheetView showGridLines="0" zoomScale="120" zoomScaleNormal="120" zoomScalePageLayoutView="0" workbookViewId="0" topLeftCell="A10">
      <selection activeCell="G29" sqref="G29"/>
    </sheetView>
  </sheetViews>
  <sheetFormatPr defaultColWidth="11.57421875" defaultRowHeight="12.75"/>
  <cols>
    <col min="1" max="1" width="20.7109375" style="299" customWidth="1"/>
    <col min="2" max="2" width="13.57421875" style="299" customWidth="1"/>
    <col min="3" max="3" width="12.8515625" style="299" customWidth="1"/>
    <col min="4" max="8" width="4.8515625" style="299" customWidth="1"/>
    <col min="9" max="9" width="4.140625" style="299" customWidth="1"/>
    <col min="10" max="10" width="13.140625" style="299" customWidth="1"/>
    <col min="11" max="11" width="9.421875" style="299" customWidth="1"/>
    <col min="12" max="12" width="7.57421875" style="300" customWidth="1"/>
    <col min="13" max="16" width="4.421875" style="299" customWidth="1"/>
    <col min="17" max="17" width="4.8515625" style="299" customWidth="1"/>
    <col min="18" max="16384" width="11.57421875" style="299" customWidth="1"/>
  </cols>
  <sheetData>
    <row r="1" spans="1:16" ht="15.75">
      <c r="A1" s="542" t="s">
        <v>0</v>
      </c>
      <c r="B1" s="542"/>
      <c r="C1" s="542"/>
      <c r="D1" s="542"/>
      <c r="E1" s="542"/>
      <c r="F1" s="542"/>
      <c r="G1" s="542"/>
      <c r="H1" s="542"/>
      <c r="I1" s="542"/>
      <c r="J1" s="542"/>
      <c r="K1" s="542"/>
      <c r="L1" s="542"/>
      <c r="M1" s="542"/>
      <c r="N1" s="542"/>
      <c r="O1" s="542"/>
      <c r="P1" s="542"/>
    </row>
    <row r="2" spans="1:16" ht="15.75">
      <c r="A2" s="542" t="s">
        <v>570</v>
      </c>
      <c r="B2" s="542"/>
      <c r="C2" s="542"/>
      <c r="D2" s="542"/>
      <c r="E2" s="542"/>
      <c r="F2" s="542"/>
      <c r="G2" s="542"/>
      <c r="H2" s="542"/>
      <c r="I2" s="542"/>
      <c r="J2" s="542"/>
      <c r="K2" s="542"/>
      <c r="L2" s="542"/>
      <c r="M2" s="542"/>
      <c r="N2" s="542"/>
      <c r="O2" s="542"/>
      <c r="P2" s="542"/>
    </row>
    <row r="3" spans="1:16" ht="18">
      <c r="A3" s="543" t="s">
        <v>571</v>
      </c>
      <c r="B3" s="543"/>
      <c r="C3" s="543"/>
      <c r="D3" s="543"/>
      <c r="E3" s="543"/>
      <c r="F3" s="543"/>
      <c r="G3" s="543"/>
      <c r="H3" s="543"/>
      <c r="I3" s="543"/>
      <c r="J3" s="543"/>
      <c r="K3" s="543"/>
      <c r="L3" s="543"/>
      <c r="M3" s="543"/>
      <c r="N3" s="543"/>
      <c r="O3" s="543"/>
      <c r="P3" s="543"/>
    </row>
    <row r="4" spans="2:16" ht="12.75">
      <c r="B4" s="362"/>
      <c r="C4" s="362"/>
      <c r="D4" s="362"/>
      <c r="E4" s="362"/>
      <c r="F4" s="362"/>
      <c r="G4" s="362"/>
      <c r="H4" s="362"/>
      <c r="I4" s="362"/>
      <c r="J4" s="362"/>
      <c r="K4" s="362"/>
      <c r="L4" s="362"/>
      <c r="M4" s="362"/>
      <c r="N4" s="362"/>
      <c r="O4" s="362"/>
      <c r="P4" s="362"/>
    </row>
    <row r="5" spans="1:16" ht="20.25">
      <c r="A5" s="363"/>
      <c r="B5" s="362"/>
      <c r="C5" s="362"/>
      <c r="D5" s="362"/>
      <c r="E5" s="362"/>
      <c r="F5" s="362"/>
      <c r="G5" s="362"/>
      <c r="H5" s="362"/>
      <c r="I5" s="362"/>
      <c r="J5" s="362"/>
      <c r="K5" s="362"/>
      <c r="L5" s="362"/>
      <c r="M5" s="362"/>
      <c r="N5" s="362"/>
      <c r="O5" s="362"/>
      <c r="P5" s="362"/>
    </row>
    <row r="6" spans="2:17" s="362" customFormat="1" ht="13.5" thickBot="1">
      <c r="B6" s="544" t="s">
        <v>572</v>
      </c>
      <c r="C6" s="545"/>
      <c r="D6" s="364"/>
      <c r="E6" s="544" t="s">
        <v>573</v>
      </c>
      <c r="F6" s="546"/>
      <c r="G6" s="546"/>
      <c r="H6" s="545"/>
      <c r="J6" s="544" t="s">
        <v>574</v>
      </c>
      <c r="K6" s="545"/>
      <c r="L6" s="364"/>
      <c r="M6" s="364"/>
      <c r="N6" s="544" t="s">
        <v>573</v>
      </c>
      <c r="O6" s="546"/>
      <c r="P6" s="546"/>
      <c r="Q6" s="545"/>
    </row>
    <row r="7" spans="1:17" s="362" customFormat="1" ht="26.25" customHeight="1" thickBot="1">
      <c r="A7" s="553" t="s">
        <v>575</v>
      </c>
      <c r="B7" s="555" t="s">
        <v>205</v>
      </c>
      <c r="C7" s="555" t="s">
        <v>576</v>
      </c>
      <c r="D7" s="549" t="s">
        <v>577</v>
      </c>
      <c r="E7" s="551" t="s">
        <v>389</v>
      </c>
      <c r="F7" s="551" t="s">
        <v>394</v>
      </c>
      <c r="G7" s="551" t="s">
        <v>396</v>
      </c>
      <c r="H7" s="551" t="s">
        <v>578</v>
      </c>
      <c r="I7" s="365"/>
      <c r="J7" s="555" t="s">
        <v>205</v>
      </c>
      <c r="K7" s="547" t="s">
        <v>579</v>
      </c>
      <c r="L7" s="548"/>
      <c r="M7" s="549" t="s">
        <v>577</v>
      </c>
      <c r="N7" s="551" t="s">
        <v>389</v>
      </c>
      <c r="O7" s="551" t="s">
        <v>394</v>
      </c>
      <c r="P7" s="551" t="s">
        <v>396</v>
      </c>
      <c r="Q7" s="551" t="s">
        <v>578</v>
      </c>
    </row>
    <row r="8" spans="1:17" s="362" customFormat="1" ht="34.5" thickBot="1">
      <c r="A8" s="554"/>
      <c r="B8" s="556"/>
      <c r="C8" s="556"/>
      <c r="D8" s="550"/>
      <c r="E8" s="552"/>
      <c r="F8" s="552"/>
      <c r="G8" s="552"/>
      <c r="H8" s="552"/>
      <c r="I8" s="365"/>
      <c r="J8" s="556"/>
      <c r="K8" s="367" t="s">
        <v>580</v>
      </c>
      <c r="L8" s="366" t="s">
        <v>581</v>
      </c>
      <c r="M8" s="550"/>
      <c r="N8" s="552"/>
      <c r="O8" s="552"/>
      <c r="P8" s="552"/>
      <c r="Q8" s="552"/>
    </row>
    <row r="9" s="362" customFormat="1" ht="12.75"/>
    <row r="10" spans="1:17" s="362" customFormat="1" ht="12.75">
      <c r="A10" s="368" t="s">
        <v>582</v>
      </c>
      <c r="B10" s="369">
        <f>+F10+G10</f>
        <v>2</v>
      </c>
      <c r="C10" s="369"/>
      <c r="D10" s="370">
        <f>(B10+C10)-(E10+F10+G10+H10)</f>
        <v>0</v>
      </c>
      <c r="E10" s="369"/>
      <c r="F10" s="369">
        <v>1</v>
      </c>
      <c r="G10" s="369">
        <v>1</v>
      </c>
      <c r="H10" s="369"/>
      <c r="I10" s="371"/>
      <c r="J10" s="369">
        <v>2</v>
      </c>
      <c r="K10" s="369">
        <v>3</v>
      </c>
      <c r="L10" s="369"/>
      <c r="M10" s="370">
        <f>(J10+K10+L10)-(N10+O10+P10+Q10)</f>
        <v>0</v>
      </c>
      <c r="N10" s="369">
        <v>5</v>
      </c>
      <c r="O10" s="369"/>
      <c r="P10" s="369"/>
      <c r="Q10" s="369"/>
    </row>
    <row r="11" spans="1:17" s="362" customFormat="1" ht="12.75">
      <c r="A11" s="368"/>
      <c r="B11" s="371"/>
      <c r="C11" s="371"/>
      <c r="D11" s="371"/>
      <c r="E11" s="371"/>
      <c r="F11" s="371"/>
      <c r="G11" s="371"/>
      <c r="H11" s="371"/>
      <c r="I11" s="371"/>
      <c r="J11" s="371"/>
      <c r="K11" s="371"/>
      <c r="L11" s="371"/>
      <c r="M11" s="371"/>
      <c r="N11" s="371"/>
      <c r="O11" s="371"/>
      <c r="P11" s="371"/>
      <c r="Q11" s="371"/>
    </row>
    <row r="12" spans="1:17" s="362" customFormat="1" ht="12.75">
      <c r="A12" s="368" t="s">
        <v>583</v>
      </c>
      <c r="B12" s="369">
        <v>53</v>
      </c>
      <c r="C12" s="369"/>
      <c r="D12" s="370">
        <f>(B12+C12)-(E12+F12+G12+H12)</f>
        <v>0</v>
      </c>
      <c r="E12" s="369"/>
      <c r="F12" s="369">
        <v>31</v>
      </c>
      <c r="G12" s="369">
        <v>22</v>
      </c>
      <c r="H12" s="369"/>
      <c r="I12" s="371"/>
      <c r="J12" s="369">
        <v>66</v>
      </c>
      <c r="K12" s="369">
        <v>15</v>
      </c>
      <c r="L12" s="369"/>
      <c r="M12" s="370">
        <f>(J12+K12+L12)-(N12+O12+P12+Q12)</f>
        <v>0</v>
      </c>
      <c r="N12" s="369">
        <v>81</v>
      </c>
      <c r="O12" s="369"/>
      <c r="P12" s="369"/>
      <c r="Q12" s="369"/>
    </row>
    <row r="13" spans="1:17" s="362" customFormat="1" ht="12.75">
      <c r="A13" s="368"/>
      <c r="B13" s="371"/>
      <c r="C13" s="371"/>
      <c r="D13" s="371"/>
      <c r="E13" s="371"/>
      <c r="F13" s="371"/>
      <c r="G13" s="371"/>
      <c r="H13" s="371"/>
      <c r="I13" s="371"/>
      <c r="J13" s="371"/>
      <c r="K13" s="371"/>
      <c r="L13" s="371"/>
      <c r="M13" s="371"/>
      <c r="N13" s="371"/>
      <c r="O13" s="371"/>
      <c r="P13" s="371"/>
      <c r="Q13" s="371"/>
    </row>
    <row r="14" spans="1:17" s="362" customFormat="1" ht="12.75">
      <c r="A14" s="368" t="s">
        <v>584</v>
      </c>
      <c r="B14" s="369">
        <v>25</v>
      </c>
      <c r="C14" s="369"/>
      <c r="D14" s="370">
        <f>(B14+C14)-(E14+F14+G14+H14)</f>
        <v>0</v>
      </c>
      <c r="E14" s="369"/>
      <c r="F14" s="369">
        <v>20</v>
      </c>
      <c r="G14" s="369">
        <v>5</v>
      </c>
      <c r="H14" s="369"/>
      <c r="I14" s="371"/>
      <c r="J14" s="369">
        <v>45</v>
      </c>
      <c r="K14" s="369">
        <v>0</v>
      </c>
      <c r="L14" s="369"/>
      <c r="M14" s="370">
        <f>(J14+K14+L14)-(N14+O14+P14+Q14)</f>
        <v>0</v>
      </c>
      <c r="N14" s="369">
        <v>45</v>
      </c>
      <c r="O14" s="369"/>
      <c r="P14" s="369"/>
      <c r="Q14" s="369"/>
    </row>
    <row r="15" spans="1:17" s="362" customFormat="1" ht="12.75">
      <c r="A15" s="368"/>
      <c r="B15" s="371"/>
      <c r="C15" s="371"/>
      <c r="D15" s="371"/>
      <c r="E15" s="371"/>
      <c r="F15" s="371"/>
      <c r="G15" s="371"/>
      <c r="H15" s="371"/>
      <c r="I15" s="371"/>
      <c r="J15" s="371"/>
      <c r="K15" s="371"/>
      <c r="L15" s="371"/>
      <c r="M15" s="371"/>
      <c r="N15" s="371"/>
      <c r="O15" s="371"/>
      <c r="P15" s="371"/>
      <c r="Q15" s="371"/>
    </row>
    <row r="16" spans="1:17" s="362" customFormat="1" ht="12.75">
      <c r="A16" s="368" t="s">
        <v>585</v>
      </c>
      <c r="B16" s="369">
        <v>61</v>
      </c>
      <c r="C16" s="369"/>
      <c r="D16" s="370">
        <f>(B16+C16)-(E16+F16+G16+H16)</f>
        <v>0</v>
      </c>
      <c r="E16" s="369"/>
      <c r="F16" s="369">
        <v>51</v>
      </c>
      <c r="G16" s="369">
        <v>10</v>
      </c>
      <c r="H16" s="369"/>
      <c r="I16" s="371"/>
      <c r="J16" s="369">
        <v>76</v>
      </c>
      <c r="K16" s="369">
        <v>1</v>
      </c>
      <c r="L16" s="369"/>
      <c r="M16" s="370">
        <f>(J16+K16+L16)-(N16+O16+P16+Q16)</f>
        <v>0</v>
      </c>
      <c r="N16" s="369">
        <v>77</v>
      </c>
      <c r="O16" s="369"/>
      <c r="P16" s="369"/>
      <c r="Q16" s="369"/>
    </row>
    <row r="17" spans="1:17" s="362" customFormat="1" ht="12.75">
      <c r="A17" s="368"/>
      <c r="B17" s="371"/>
      <c r="C17" s="371"/>
      <c r="D17" s="371"/>
      <c r="E17" s="371"/>
      <c r="F17" s="371"/>
      <c r="G17" s="371"/>
      <c r="H17" s="371"/>
      <c r="I17" s="371"/>
      <c r="J17" s="371"/>
      <c r="K17" s="371"/>
      <c r="L17" s="371"/>
      <c r="M17" s="371"/>
      <c r="N17" s="371"/>
      <c r="O17" s="371"/>
      <c r="P17" s="371"/>
      <c r="Q17" s="371"/>
    </row>
    <row r="18" spans="1:17" s="362" customFormat="1" ht="12.75">
      <c r="A18" s="368" t="s">
        <v>586</v>
      </c>
      <c r="B18" s="369">
        <v>272</v>
      </c>
      <c r="C18" s="369"/>
      <c r="D18" s="370">
        <f>(B18+C18)-(E18+F18+G18+H18)</f>
        <v>0</v>
      </c>
      <c r="E18" s="369"/>
      <c r="F18" s="369">
        <v>201</v>
      </c>
      <c r="G18" s="369">
        <v>71</v>
      </c>
      <c r="H18" s="369"/>
      <c r="I18" s="371"/>
      <c r="J18" s="369">
        <v>24</v>
      </c>
      <c r="K18" s="369">
        <v>0</v>
      </c>
      <c r="L18" s="369"/>
      <c r="M18" s="370">
        <f>(J18+K18+L18)-(N18+O18+P18+Q18)</f>
        <v>0</v>
      </c>
      <c r="N18" s="369">
        <v>24</v>
      </c>
      <c r="O18" s="369"/>
      <c r="P18" s="369"/>
      <c r="Q18" s="369"/>
    </row>
    <row r="19" s="362" customFormat="1" ht="13.5" thickBot="1">
      <c r="A19" s="372"/>
    </row>
    <row r="20" spans="1:17" s="362" customFormat="1" ht="15.75" thickBot="1">
      <c r="A20" s="373" t="s">
        <v>587</v>
      </c>
      <c r="B20" s="374">
        <f>SUM(B10:B19)</f>
        <v>413</v>
      </c>
      <c r="C20" s="375">
        <f>SUM(C10:C18)</f>
        <v>0</v>
      </c>
      <c r="D20" s="376">
        <f>(B20+C20)-(E20+F20+G20+H20)</f>
        <v>0</v>
      </c>
      <c r="E20" s="374">
        <f>SUM(E10:E18)</f>
        <v>0</v>
      </c>
      <c r="F20" s="375">
        <f>SUM(F10:F18)</f>
        <v>304</v>
      </c>
      <c r="G20" s="375">
        <f>SUM(G10:G18)</f>
        <v>109</v>
      </c>
      <c r="H20" s="375">
        <f>SUM(H10:H18)</f>
        <v>0</v>
      </c>
      <c r="I20" s="377"/>
      <c r="J20" s="374">
        <f>SUM(J10:J18)</f>
        <v>213</v>
      </c>
      <c r="K20" s="375">
        <f>SUM(K10:K18)</f>
        <v>19</v>
      </c>
      <c r="L20" s="375">
        <f>SUM(L10:L18)</f>
        <v>0</v>
      </c>
      <c r="M20" s="378">
        <f>(J20+K20+L20)-(N20+O20+P20+Q20)</f>
        <v>0</v>
      </c>
      <c r="N20" s="374">
        <f>SUM(N10:N18)</f>
        <v>232</v>
      </c>
      <c r="O20" s="375">
        <f>SUM(O10:O18)</f>
        <v>0</v>
      </c>
      <c r="P20" s="375">
        <f>SUM(P10:P18)</f>
        <v>0</v>
      </c>
      <c r="Q20" s="375">
        <f>SUM(Q10:Q18)</f>
        <v>0</v>
      </c>
    </row>
    <row r="21" spans="1:16" ht="12.75">
      <c r="A21" s="362"/>
      <c r="B21" s="362"/>
      <c r="C21" s="362"/>
      <c r="D21" s="362"/>
      <c r="E21" s="362"/>
      <c r="F21" s="362"/>
      <c r="G21" s="362"/>
      <c r="H21" s="362"/>
      <c r="I21" s="362"/>
      <c r="J21" s="362"/>
      <c r="K21" s="362"/>
      <c r="L21" s="362"/>
      <c r="M21" s="362"/>
      <c r="N21" s="362"/>
      <c r="O21" s="362"/>
      <c r="P21" s="362"/>
    </row>
    <row r="22" spans="1:16" ht="13.5" thickBot="1">
      <c r="A22" s="362"/>
      <c r="B22" s="362"/>
      <c r="C22" s="362"/>
      <c r="D22" s="362"/>
      <c r="E22" s="362"/>
      <c r="F22" s="362"/>
      <c r="G22" s="362"/>
      <c r="H22" s="362"/>
      <c r="I22" s="362"/>
      <c r="J22" s="362"/>
      <c r="K22" s="362"/>
      <c r="L22" s="362"/>
      <c r="M22" s="362"/>
      <c r="N22" s="362"/>
      <c r="O22" s="362"/>
      <c r="P22" s="362"/>
    </row>
    <row r="23" spans="1:16" ht="13.5" thickBot="1">
      <c r="A23" s="379" t="s">
        <v>588</v>
      </c>
      <c r="B23" s="380"/>
      <c r="C23" s="381"/>
      <c r="D23" s="382"/>
      <c r="E23" s="362"/>
      <c r="F23" s="379" t="s">
        <v>589</v>
      </c>
      <c r="G23" s="380"/>
      <c r="H23" s="383"/>
      <c r="I23" s="383"/>
      <c r="J23" s="383"/>
      <c r="K23" s="383"/>
      <c r="L23" s="383"/>
      <c r="M23" s="381"/>
      <c r="N23" s="362"/>
      <c r="O23" s="362"/>
      <c r="P23" s="362"/>
    </row>
    <row r="24" spans="1:16" ht="12.75">
      <c r="A24" s="362" t="s">
        <v>590</v>
      </c>
      <c r="B24" s="362"/>
      <c r="C24" s="362">
        <f>B20+J20</f>
        <v>626</v>
      </c>
      <c r="D24" s="362"/>
      <c r="E24" s="362"/>
      <c r="F24" s="362" t="s">
        <v>591</v>
      </c>
      <c r="G24" s="362"/>
      <c r="H24" s="362"/>
      <c r="I24" s="362"/>
      <c r="J24" s="362"/>
      <c r="K24" s="362"/>
      <c r="L24" s="362"/>
      <c r="M24" s="362">
        <f>E20+N20</f>
        <v>232</v>
      </c>
      <c r="N24" s="362"/>
      <c r="O24" s="362"/>
      <c r="P24" s="362"/>
    </row>
    <row r="25" spans="1:16" ht="12.75">
      <c r="A25" s="362" t="s">
        <v>592</v>
      </c>
      <c r="B25" s="362"/>
      <c r="C25" s="362">
        <f>C20+K20+L20</f>
        <v>19</v>
      </c>
      <c r="D25" s="362"/>
      <c r="E25" s="362"/>
      <c r="F25" s="362" t="s">
        <v>593</v>
      </c>
      <c r="G25" s="362"/>
      <c r="H25" s="362"/>
      <c r="I25" s="362"/>
      <c r="J25" s="362"/>
      <c r="K25" s="362"/>
      <c r="L25" s="362"/>
      <c r="M25" s="362">
        <f>F20+O20</f>
        <v>304</v>
      </c>
      <c r="N25" s="362"/>
      <c r="O25" s="362"/>
      <c r="P25" s="362"/>
    </row>
    <row r="26" spans="1:16" ht="12.75">
      <c r="A26" s="362" t="s">
        <v>594</v>
      </c>
      <c r="B26" s="362"/>
      <c r="C26" s="362">
        <f>B20+C20</f>
        <v>413</v>
      </c>
      <c r="D26" s="362"/>
      <c r="E26" s="362"/>
      <c r="F26" s="362" t="s">
        <v>595</v>
      </c>
      <c r="G26" s="362"/>
      <c r="H26" s="362"/>
      <c r="I26" s="362"/>
      <c r="J26" s="362"/>
      <c r="K26" s="362"/>
      <c r="L26" s="362"/>
      <c r="M26" s="362">
        <f>G20+P20</f>
        <v>109</v>
      </c>
      <c r="N26" s="362"/>
      <c r="O26" s="362"/>
      <c r="P26" s="362"/>
    </row>
    <row r="27" spans="1:16" ht="13.5" thickBot="1">
      <c r="A27" s="362" t="s">
        <v>596</v>
      </c>
      <c r="B27" s="362"/>
      <c r="C27" s="362">
        <f>J20+K20+L20</f>
        <v>232</v>
      </c>
      <c r="D27" s="362"/>
      <c r="E27" s="362"/>
      <c r="F27" s="362" t="s">
        <v>597</v>
      </c>
      <c r="G27" s="362"/>
      <c r="H27" s="362"/>
      <c r="I27" s="362"/>
      <c r="J27" s="362"/>
      <c r="K27" s="362"/>
      <c r="L27" s="362"/>
      <c r="M27" s="362">
        <f>H20+Q20</f>
        <v>0</v>
      </c>
      <c r="N27" s="362"/>
      <c r="O27" s="362"/>
      <c r="P27" s="362"/>
    </row>
    <row r="28" spans="1:16" ht="13.5" thickBot="1">
      <c r="A28" s="379" t="s">
        <v>598</v>
      </c>
      <c r="B28" s="380"/>
      <c r="C28" s="381">
        <f>B20+C20+J20+K20+L20</f>
        <v>645</v>
      </c>
      <c r="D28" s="382"/>
      <c r="E28" s="362"/>
      <c r="F28" s="379" t="s">
        <v>598</v>
      </c>
      <c r="G28" s="380"/>
      <c r="H28" s="383"/>
      <c r="I28" s="383"/>
      <c r="J28" s="383"/>
      <c r="K28" s="383"/>
      <c r="L28" s="383"/>
      <c r="M28" s="381">
        <f>SUM(M24:M27)</f>
        <v>645</v>
      </c>
      <c r="N28" s="362"/>
      <c r="O28" s="362"/>
      <c r="P28" s="362"/>
    </row>
    <row r="29" spans="1:16" ht="12.75">
      <c r="A29" s="382"/>
      <c r="B29" s="382"/>
      <c r="C29" s="382"/>
      <c r="D29" s="382"/>
      <c r="E29" s="362"/>
      <c r="F29" s="362"/>
      <c r="G29" s="362"/>
      <c r="H29" s="362"/>
      <c r="I29" s="362"/>
      <c r="J29" s="362"/>
      <c r="K29" s="362"/>
      <c r="L29" s="362"/>
      <c r="M29" s="362"/>
      <c r="N29" s="362"/>
      <c r="O29" s="362"/>
      <c r="P29" s="362"/>
    </row>
    <row r="30" spans="1:16" ht="12.75">
      <c r="A30" s="382"/>
      <c r="B30" s="382"/>
      <c r="C30" s="382"/>
      <c r="D30" s="382"/>
      <c r="E30" s="362"/>
      <c r="F30" s="362"/>
      <c r="G30" s="362"/>
      <c r="H30" s="362"/>
      <c r="I30" s="362"/>
      <c r="J30" s="362"/>
      <c r="K30" s="362"/>
      <c r="L30" s="362"/>
      <c r="M30" s="362"/>
      <c r="N30" s="362"/>
      <c r="O30" s="362"/>
      <c r="P30" s="362"/>
    </row>
    <row r="31" spans="1:16" ht="12.75">
      <c r="A31" s="382"/>
      <c r="B31" s="382"/>
      <c r="C31" s="382"/>
      <c r="D31" s="382"/>
      <c r="E31" s="362"/>
      <c r="F31" s="362"/>
      <c r="G31" s="362"/>
      <c r="H31" s="362"/>
      <c r="I31" s="362"/>
      <c r="J31" s="362"/>
      <c r="K31" s="362"/>
      <c r="L31" s="362"/>
      <c r="M31" s="362"/>
      <c r="N31" s="362"/>
      <c r="O31" s="362"/>
      <c r="P31" s="362"/>
    </row>
    <row r="32" spans="1:16" ht="12.75">
      <c r="A32" s="382"/>
      <c r="B32" s="382"/>
      <c r="C32" s="382"/>
      <c r="D32" s="382"/>
      <c r="E32" s="362"/>
      <c r="F32" s="362"/>
      <c r="G32" s="362"/>
      <c r="H32" s="362"/>
      <c r="I32" s="362"/>
      <c r="J32" s="362"/>
      <c r="K32" s="362"/>
      <c r="L32" s="362"/>
      <c r="M32" s="362"/>
      <c r="N32" s="362"/>
      <c r="O32" s="362"/>
      <c r="P32" s="362"/>
    </row>
    <row r="33" spans="1:16" ht="12.75">
      <c r="A33" s="382"/>
      <c r="B33" s="382"/>
      <c r="C33" s="382"/>
      <c r="D33" s="382"/>
      <c r="E33" s="362"/>
      <c r="F33" s="362"/>
      <c r="G33" s="362"/>
      <c r="H33" s="362"/>
      <c r="I33" s="362"/>
      <c r="J33" s="362"/>
      <c r="K33" s="362"/>
      <c r="L33" s="362"/>
      <c r="M33" s="362"/>
      <c r="N33" s="362"/>
      <c r="O33" s="362"/>
      <c r="P33" s="362"/>
    </row>
    <row r="34" spans="1:16" ht="12.75">
      <c r="A34" s="362"/>
      <c r="B34" s="362"/>
      <c r="C34" s="362"/>
      <c r="D34" s="362"/>
      <c r="E34" s="362"/>
      <c r="F34" s="362"/>
      <c r="G34" s="362"/>
      <c r="H34" s="362"/>
      <c r="I34" s="362"/>
      <c r="J34" s="362"/>
      <c r="K34" s="362"/>
      <c r="L34" s="362"/>
      <c r="M34" s="362"/>
      <c r="N34" s="362"/>
      <c r="O34" s="362"/>
      <c r="P34" s="362"/>
    </row>
    <row r="35" spans="1:16" ht="12.75">
      <c r="A35" s="362"/>
      <c r="B35" s="362"/>
      <c r="C35" s="362"/>
      <c r="D35" s="362"/>
      <c r="E35" s="362"/>
      <c r="F35" s="362"/>
      <c r="G35" s="362"/>
      <c r="H35" s="362"/>
      <c r="I35" s="362"/>
      <c r="J35" s="362"/>
      <c r="K35" s="362"/>
      <c r="L35" s="362"/>
      <c r="M35" s="362"/>
      <c r="N35" s="362"/>
      <c r="O35" s="362"/>
      <c r="P35" s="362"/>
    </row>
    <row r="36" spans="1:16" ht="12.75">
      <c r="A36" s="362"/>
      <c r="B36" s="362"/>
      <c r="C36" s="362"/>
      <c r="D36" s="362"/>
      <c r="E36" s="362"/>
      <c r="F36" s="362"/>
      <c r="G36" s="362"/>
      <c r="H36" s="362"/>
      <c r="I36" s="362"/>
      <c r="J36" s="362"/>
      <c r="K36" s="362"/>
      <c r="L36" s="362"/>
      <c r="M36" s="362"/>
      <c r="N36" s="362"/>
      <c r="O36" s="362"/>
      <c r="P36" s="362"/>
    </row>
    <row r="37" spans="1:16" ht="12.75">
      <c r="A37" s="362"/>
      <c r="B37" s="362"/>
      <c r="C37" s="362"/>
      <c r="D37" s="362"/>
      <c r="E37" s="362"/>
      <c r="F37" s="362"/>
      <c r="G37" s="362"/>
      <c r="H37" s="362"/>
      <c r="I37" s="362"/>
      <c r="J37" s="362"/>
      <c r="K37" s="362"/>
      <c r="L37" s="362"/>
      <c r="M37" s="362"/>
      <c r="N37" s="362"/>
      <c r="O37" s="362"/>
      <c r="P37" s="362"/>
    </row>
    <row r="38" spans="1:16" ht="12.75">
      <c r="A38" s="362"/>
      <c r="B38" s="362"/>
      <c r="C38" s="362"/>
      <c r="D38" s="362"/>
      <c r="E38" s="362"/>
      <c r="F38" s="362"/>
      <c r="G38" s="362"/>
      <c r="H38" s="362"/>
      <c r="I38" s="362"/>
      <c r="J38" s="362"/>
      <c r="K38" s="362"/>
      <c r="L38" s="362"/>
      <c r="M38" s="362"/>
      <c r="N38" s="362"/>
      <c r="O38" s="362"/>
      <c r="P38" s="362"/>
    </row>
    <row r="39" spans="1:16" ht="12.75">
      <c r="A39" s="362"/>
      <c r="B39" s="362"/>
      <c r="C39" s="362"/>
      <c r="D39" s="362"/>
      <c r="E39" s="362"/>
      <c r="F39" s="362"/>
      <c r="G39" s="362"/>
      <c r="H39" s="362"/>
      <c r="I39" s="362"/>
      <c r="J39" s="362"/>
      <c r="K39" s="362"/>
      <c r="L39" s="362"/>
      <c r="M39" s="362"/>
      <c r="N39" s="362"/>
      <c r="O39" s="362"/>
      <c r="P39" s="362"/>
    </row>
    <row r="40" spans="1:16" ht="12.75">
      <c r="A40" s="362"/>
      <c r="B40" s="362"/>
      <c r="C40" s="362"/>
      <c r="D40" s="362"/>
      <c r="E40" s="362"/>
      <c r="F40" s="362"/>
      <c r="G40" s="362"/>
      <c r="H40" s="362"/>
      <c r="I40" s="362"/>
      <c r="J40" s="362"/>
      <c r="K40" s="362"/>
      <c r="L40" s="362"/>
      <c r="M40" s="362"/>
      <c r="N40" s="362"/>
      <c r="O40" s="362"/>
      <c r="P40" s="362"/>
    </row>
    <row r="41" spans="1:16" ht="12.75">
      <c r="A41" s="362"/>
      <c r="B41" s="362"/>
      <c r="C41" s="362"/>
      <c r="D41" s="362"/>
      <c r="E41" s="362"/>
      <c r="F41" s="362"/>
      <c r="G41" s="362"/>
      <c r="H41" s="362"/>
      <c r="I41" s="362"/>
      <c r="J41" s="362"/>
      <c r="K41" s="362"/>
      <c r="L41" s="362"/>
      <c r="M41" s="362"/>
      <c r="N41" s="362"/>
      <c r="O41" s="362"/>
      <c r="P41" s="362"/>
    </row>
    <row r="42" spans="1:16" ht="12.75">
      <c r="A42" s="362"/>
      <c r="B42" s="362"/>
      <c r="C42" s="362"/>
      <c r="D42" s="362"/>
      <c r="E42" s="362"/>
      <c r="F42" s="362"/>
      <c r="G42" s="362"/>
      <c r="H42" s="362"/>
      <c r="I42" s="362"/>
      <c r="J42" s="362"/>
      <c r="K42" s="362"/>
      <c r="L42" s="362"/>
      <c r="M42" s="362"/>
      <c r="N42" s="362"/>
      <c r="O42" s="362"/>
      <c r="P42" s="362"/>
    </row>
    <row r="43" spans="1:16" ht="12.75">
      <c r="A43" s="362"/>
      <c r="B43" s="362"/>
      <c r="C43" s="362"/>
      <c r="D43" s="362"/>
      <c r="E43" s="362"/>
      <c r="F43" s="362"/>
      <c r="G43" s="362"/>
      <c r="H43" s="362"/>
      <c r="I43" s="362"/>
      <c r="J43" s="362"/>
      <c r="K43" s="362"/>
      <c r="L43" s="362"/>
      <c r="M43" s="362"/>
      <c r="N43" s="362"/>
      <c r="O43" s="362"/>
      <c r="P43" s="362"/>
    </row>
    <row r="44" spans="1:16" ht="12.75">
      <c r="A44" s="362"/>
      <c r="B44" s="362"/>
      <c r="C44" s="362"/>
      <c r="D44" s="362"/>
      <c r="E44" s="362"/>
      <c r="F44" s="362"/>
      <c r="G44" s="362"/>
      <c r="H44" s="362"/>
      <c r="I44" s="362"/>
      <c r="J44" s="362"/>
      <c r="K44" s="362"/>
      <c r="L44" s="362"/>
      <c r="M44" s="362"/>
      <c r="N44" s="362"/>
      <c r="O44" s="362"/>
      <c r="P44" s="362"/>
    </row>
    <row r="45" spans="1:16" ht="12.75">
      <c r="A45" s="362"/>
      <c r="B45" s="362"/>
      <c r="C45" s="362"/>
      <c r="D45" s="362"/>
      <c r="E45" s="362"/>
      <c r="F45" s="362"/>
      <c r="G45" s="362"/>
      <c r="H45" s="362"/>
      <c r="I45" s="362"/>
      <c r="J45" s="362"/>
      <c r="K45" s="362"/>
      <c r="L45" s="362"/>
      <c r="M45" s="362"/>
      <c r="N45" s="362"/>
      <c r="O45" s="362"/>
      <c r="P45" s="362"/>
    </row>
    <row r="46" spans="1:16" ht="12.75">
      <c r="A46" s="362"/>
      <c r="B46" s="362"/>
      <c r="C46" s="362"/>
      <c r="D46" s="362"/>
      <c r="E46" s="362"/>
      <c r="F46" s="362"/>
      <c r="G46" s="362"/>
      <c r="H46" s="362"/>
      <c r="I46" s="362"/>
      <c r="J46" s="362"/>
      <c r="K46" s="362"/>
      <c r="L46" s="362"/>
      <c r="M46" s="362"/>
      <c r="N46" s="362"/>
      <c r="O46" s="362"/>
      <c r="P46" s="362"/>
    </row>
    <row r="47" spans="1:16" ht="12.75">
      <c r="A47" s="362"/>
      <c r="B47" s="362"/>
      <c r="C47" s="362"/>
      <c r="D47" s="362"/>
      <c r="E47" s="362"/>
      <c r="F47" s="362"/>
      <c r="G47" s="362"/>
      <c r="H47" s="362"/>
      <c r="I47" s="362"/>
      <c r="J47" s="362"/>
      <c r="K47" s="362"/>
      <c r="L47" s="362"/>
      <c r="M47" s="362"/>
      <c r="N47" s="362"/>
      <c r="O47" s="362"/>
      <c r="P47" s="362"/>
    </row>
    <row r="48" spans="1:16" ht="12.75">
      <c r="A48" s="362"/>
      <c r="B48" s="362"/>
      <c r="C48" s="362"/>
      <c r="D48" s="362"/>
      <c r="E48" s="362"/>
      <c r="F48" s="362"/>
      <c r="G48" s="362"/>
      <c r="H48" s="362"/>
      <c r="I48" s="362"/>
      <c r="J48" s="362"/>
      <c r="K48" s="362"/>
      <c r="L48" s="362"/>
      <c r="M48" s="362"/>
      <c r="N48" s="362"/>
      <c r="O48" s="362"/>
      <c r="P48" s="362"/>
    </row>
    <row r="49" spans="1:16" ht="12.75">
      <c r="A49" s="362"/>
      <c r="B49" s="362"/>
      <c r="C49" s="362"/>
      <c r="D49" s="362"/>
      <c r="E49" s="362"/>
      <c r="F49" s="362"/>
      <c r="G49" s="362"/>
      <c r="H49" s="362"/>
      <c r="I49" s="362"/>
      <c r="J49" s="362"/>
      <c r="K49" s="362"/>
      <c r="L49" s="362"/>
      <c r="M49" s="362"/>
      <c r="N49" s="362"/>
      <c r="O49" s="362"/>
      <c r="P49" s="362"/>
    </row>
    <row r="50" spans="1:16" ht="12.75">
      <c r="A50" s="362"/>
      <c r="B50" s="362"/>
      <c r="C50" s="362"/>
      <c r="D50" s="362"/>
      <c r="E50" s="362"/>
      <c r="F50" s="362"/>
      <c r="G50" s="362"/>
      <c r="H50" s="362"/>
      <c r="I50" s="362"/>
      <c r="J50" s="362"/>
      <c r="K50" s="362"/>
      <c r="L50" s="362"/>
      <c r="M50" s="362"/>
      <c r="N50" s="362"/>
      <c r="O50" s="362"/>
      <c r="P50" s="362"/>
    </row>
    <row r="51" spans="1:16" ht="12.75">
      <c r="A51" s="362"/>
      <c r="B51" s="362"/>
      <c r="C51" s="362"/>
      <c r="D51" s="362"/>
      <c r="E51" s="362"/>
      <c r="F51" s="362"/>
      <c r="G51" s="362"/>
      <c r="H51" s="362"/>
      <c r="I51" s="362"/>
      <c r="J51" s="362"/>
      <c r="K51" s="362"/>
      <c r="L51" s="362"/>
      <c r="M51" s="362"/>
      <c r="N51" s="362"/>
      <c r="O51" s="362"/>
      <c r="P51" s="362"/>
    </row>
    <row r="52" spans="1:16" ht="12.75">
      <c r="A52" s="362"/>
      <c r="B52" s="362"/>
      <c r="C52" s="362"/>
      <c r="D52" s="362"/>
      <c r="E52" s="362"/>
      <c r="F52" s="362"/>
      <c r="G52" s="362"/>
      <c r="H52" s="362"/>
      <c r="I52" s="362"/>
      <c r="J52" s="362"/>
      <c r="K52" s="362"/>
      <c r="L52" s="362"/>
      <c r="M52" s="362"/>
      <c r="N52" s="362"/>
      <c r="O52" s="362"/>
      <c r="P52" s="362"/>
    </row>
    <row r="53" spans="1:16" ht="12.75">
      <c r="A53" s="362"/>
      <c r="B53" s="362"/>
      <c r="C53" s="362"/>
      <c r="D53" s="362"/>
      <c r="E53" s="362"/>
      <c r="F53" s="362"/>
      <c r="G53" s="362"/>
      <c r="H53" s="362"/>
      <c r="I53" s="362"/>
      <c r="J53" s="362"/>
      <c r="K53" s="362"/>
      <c r="L53" s="362"/>
      <c r="M53" s="362"/>
      <c r="N53" s="362"/>
      <c r="O53" s="362"/>
      <c r="P53" s="362"/>
    </row>
    <row r="54" spans="1:16" ht="12.75">
      <c r="A54" s="362"/>
      <c r="B54" s="362"/>
      <c r="C54" s="362"/>
      <c r="D54" s="362"/>
      <c r="E54" s="362"/>
      <c r="F54" s="362"/>
      <c r="G54" s="362"/>
      <c r="H54" s="362"/>
      <c r="I54" s="362"/>
      <c r="J54" s="362"/>
      <c r="K54" s="362"/>
      <c r="L54" s="362"/>
      <c r="M54" s="362"/>
      <c r="N54" s="362"/>
      <c r="O54" s="362"/>
      <c r="P54" s="362"/>
    </row>
    <row r="55" spans="1:16" ht="12.75">
      <c r="A55" s="559" t="s">
        <v>599</v>
      </c>
      <c r="B55" s="559"/>
      <c r="C55" s="384"/>
      <c r="D55" s="384"/>
      <c r="E55" s="362"/>
      <c r="F55" s="362"/>
      <c r="G55" s="362"/>
      <c r="H55" s="362"/>
      <c r="I55" s="384"/>
      <c r="J55" s="384"/>
      <c r="K55" s="362"/>
      <c r="L55" s="362"/>
      <c r="M55" s="362"/>
      <c r="N55" s="362"/>
      <c r="O55" s="362"/>
      <c r="P55" s="362"/>
    </row>
    <row r="56" spans="1:16" ht="13.5" thickBot="1">
      <c r="A56" s="384"/>
      <c r="B56" s="384"/>
      <c r="C56" s="384"/>
      <c r="D56" s="384"/>
      <c r="E56" s="362"/>
      <c r="F56" s="362"/>
      <c r="G56" s="362"/>
      <c r="H56" s="362"/>
      <c r="I56" s="384"/>
      <c r="J56" s="384"/>
      <c r="K56" s="362"/>
      <c r="L56" s="362"/>
      <c r="M56" s="362"/>
      <c r="N56" s="362"/>
      <c r="O56" s="362"/>
      <c r="P56" s="362"/>
    </row>
    <row r="57" spans="1:16" ht="13.5" thickBot="1">
      <c r="A57" s="560"/>
      <c r="B57" s="561"/>
      <c r="C57" s="561"/>
      <c r="D57" s="561"/>
      <c r="E57" s="561"/>
      <c r="F57" s="561"/>
      <c r="G57" s="561"/>
      <c r="H57" s="561"/>
      <c r="I57" s="561"/>
      <c r="J57" s="562"/>
      <c r="K57" s="385"/>
      <c r="L57" s="385"/>
      <c r="M57" s="385"/>
      <c r="N57" s="385"/>
      <c r="O57" s="385"/>
      <c r="P57" s="362"/>
    </row>
    <row r="58" spans="1:16" ht="12.75">
      <c r="A58" s="385"/>
      <c r="B58" s="385"/>
      <c r="C58" s="385"/>
      <c r="D58" s="385"/>
      <c r="E58" s="385"/>
      <c r="F58" s="385"/>
      <c r="G58" s="385"/>
      <c r="H58" s="385"/>
      <c r="I58" s="385"/>
      <c r="J58" s="385"/>
      <c r="K58" s="385"/>
      <c r="L58" s="385"/>
      <c r="M58" s="385"/>
      <c r="N58" s="385"/>
      <c r="O58" s="385"/>
      <c r="P58" s="362"/>
    </row>
    <row r="59" spans="1:16" ht="13.5" thickBot="1">
      <c r="A59" s="385"/>
      <c r="B59" s="385"/>
      <c r="C59" s="385"/>
      <c r="D59" s="385"/>
      <c r="E59" s="385"/>
      <c r="F59" s="385"/>
      <c r="G59" s="385"/>
      <c r="H59" s="385"/>
      <c r="I59" s="385"/>
      <c r="J59" s="385"/>
      <c r="K59" s="385"/>
      <c r="L59" s="385"/>
      <c r="M59" s="385"/>
      <c r="N59" s="385"/>
      <c r="O59" s="385"/>
      <c r="P59" s="362"/>
    </row>
    <row r="60" spans="1:16" ht="13.5" thickBot="1">
      <c r="A60" s="386" t="s">
        <v>600</v>
      </c>
      <c r="B60" s="385"/>
      <c r="C60" s="563" t="s">
        <v>642</v>
      </c>
      <c r="D60" s="564"/>
      <c r="E60" s="564"/>
      <c r="F60" s="564"/>
      <c r="G60" s="564"/>
      <c r="H60" s="564"/>
      <c r="I60" s="564"/>
      <c r="J60" s="564"/>
      <c r="K60" s="558"/>
      <c r="L60" s="385"/>
      <c r="M60" s="385"/>
      <c r="N60" s="385"/>
      <c r="O60" s="385"/>
      <c r="P60" s="362"/>
    </row>
    <row r="61" spans="1:16" ht="13.5" thickBot="1">
      <c r="A61" s="386"/>
      <c r="B61" s="386"/>
      <c r="C61" s="386"/>
      <c r="D61" s="386"/>
      <c r="E61" s="385"/>
      <c r="F61" s="385"/>
      <c r="G61" s="385"/>
      <c r="H61" s="385"/>
      <c r="I61" s="386"/>
      <c r="J61" s="385"/>
      <c r="K61" s="385"/>
      <c r="L61" s="385"/>
      <c r="M61" s="385"/>
      <c r="N61" s="385"/>
      <c r="O61" s="385"/>
      <c r="P61" s="362"/>
    </row>
    <row r="62" spans="1:16" ht="13.5" thickBot="1">
      <c r="A62" s="386" t="s">
        <v>601</v>
      </c>
      <c r="B62" s="557">
        <v>43341</v>
      </c>
      <c r="C62" s="558"/>
      <c r="D62" s="387"/>
      <c r="E62" s="385"/>
      <c r="F62" s="385"/>
      <c r="G62" s="385"/>
      <c r="H62" s="385"/>
      <c r="I62" s="385"/>
      <c r="J62" s="385"/>
      <c r="K62" s="385"/>
      <c r="L62" s="385"/>
      <c r="M62" s="385"/>
      <c r="N62" s="385"/>
      <c r="O62" s="385"/>
      <c r="P62" s="362"/>
    </row>
    <row r="63" spans="1:16" ht="12.75">
      <c r="A63" s="385"/>
      <c r="B63" s="385"/>
      <c r="C63" s="385"/>
      <c r="D63" s="385"/>
      <c r="E63" s="385"/>
      <c r="F63" s="385"/>
      <c r="G63" s="385"/>
      <c r="H63" s="385"/>
      <c r="I63" s="385"/>
      <c r="J63" s="385"/>
      <c r="K63" s="385"/>
      <c r="L63" s="385"/>
      <c r="M63" s="385"/>
      <c r="N63" s="385"/>
      <c r="O63" s="385"/>
      <c r="P63" s="362"/>
    </row>
    <row r="64" spans="1:16" ht="12.75">
      <c r="A64" s="385"/>
      <c r="B64" s="385"/>
      <c r="C64" s="385"/>
      <c r="D64" s="385"/>
      <c r="E64" s="385"/>
      <c r="F64" s="385"/>
      <c r="G64" s="385"/>
      <c r="H64" s="385"/>
      <c r="I64" s="385"/>
      <c r="J64" s="385"/>
      <c r="K64" s="385"/>
      <c r="L64" s="385"/>
      <c r="M64" s="385"/>
      <c r="N64" s="385"/>
      <c r="O64" s="385"/>
      <c r="P64" s="362"/>
    </row>
    <row r="65" spans="1:16" ht="12.75">
      <c r="A65" s="385"/>
      <c r="B65" s="385"/>
      <c r="C65" s="385"/>
      <c r="D65" s="385"/>
      <c r="E65" s="385"/>
      <c r="F65" s="385"/>
      <c r="G65" s="385"/>
      <c r="H65" s="385"/>
      <c r="I65" s="385"/>
      <c r="J65" s="385"/>
      <c r="K65" s="385"/>
      <c r="L65" s="385"/>
      <c r="M65" s="385"/>
      <c r="N65" s="385"/>
      <c r="O65" s="385"/>
      <c r="P65" s="362"/>
    </row>
  </sheetData>
  <sheetProtection/>
  <mergeCells count="26">
    <mergeCell ref="B62:C62"/>
    <mergeCell ref="O7:O8"/>
    <mergeCell ref="P7:P8"/>
    <mergeCell ref="Q7:Q8"/>
    <mergeCell ref="A55:B55"/>
    <mergeCell ref="A57:J57"/>
    <mergeCell ref="C60:K60"/>
    <mergeCell ref="G7:G8"/>
    <mergeCell ref="H7:H8"/>
    <mergeCell ref="J7:J8"/>
    <mergeCell ref="K7:L7"/>
    <mergeCell ref="M7:M8"/>
    <mergeCell ref="N7:N8"/>
    <mergeCell ref="A7:A8"/>
    <mergeCell ref="B7:B8"/>
    <mergeCell ref="C7:C8"/>
    <mergeCell ref="D7:D8"/>
    <mergeCell ref="E7:E8"/>
    <mergeCell ref="F7:F8"/>
    <mergeCell ref="A1:P1"/>
    <mergeCell ref="A2:P2"/>
    <mergeCell ref="A3:P3"/>
    <mergeCell ref="B6:C6"/>
    <mergeCell ref="E6:H6"/>
    <mergeCell ref="J6:K6"/>
    <mergeCell ref="N6:Q6"/>
  </mergeCells>
  <printOptions horizontalCentered="1" verticalCentered="1"/>
  <pageMargins left="0.16" right="0.22" top="0.57" bottom="1" header="0" footer="0"/>
  <pageSetup horizontalDpi="300" verticalDpi="300" orientation="portrait" scale="75" r:id="rId4"/>
  <drawing r:id="rId3"/>
  <legacyDrawing r:id="rId2"/>
</worksheet>
</file>

<file path=xl/worksheets/sheet7.xml><?xml version="1.0" encoding="utf-8"?>
<worksheet xmlns="http://schemas.openxmlformats.org/spreadsheetml/2006/main" xmlns:r="http://schemas.openxmlformats.org/officeDocument/2006/relationships">
  <dimension ref="A2:H68"/>
  <sheetViews>
    <sheetView showGridLines="0" view="pageBreakPreview" zoomScaleSheetLayoutView="100" zoomScalePageLayoutView="0" workbookViewId="0" topLeftCell="A22">
      <selection activeCell="A1" sqref="A1:G1"/>
    </sheetView>
  </sheetViews>
  <sheetFormatPr defaultColWidth="11.421875" defaultRowHeight="12.75"/>
  <cols>
    <col min="1" max="1" width="2.28125" style="0" customWidth="1"/>
    <col min="2" max="2" width="56.00390625" style="0" customWidth="1"/>
    <col min="3" max="3" width="17.140625" style="0" customWidth="1"/>
    <col min="4" max="4" width="19.421875" style="0" customWidth="1"/>
    <col min="5" max="5" width="3.00390625" style="322" customWidth="1"/>
    <col min="6" max="6" width="17.28125" style="0" customWidth="1"/>
    <col min="7" max="7" width="11.7109375" style="0" bestFit="1" customWidth="1"/>
  </cols>
  <sheetData>
    <row r="2" spans="2:5" ht="15.75">
      <c r="B2" s="542" t="s">
        <v>0</v>
      </c>
      <c r="C2" s="542"/>
      <c r="D2" s="542"/>
      <c r="E2" s="298"/>
    </row>
    <row r="3" spans="2:5" ht="15.75">
      <c r="B3" s="542" t="s">
        <v>513</v>
      </c>
      <c r="C3" s="542"/>
      <c r="D3" s="542"/>
      <c r="E3" s="298"/>
    </row>
    <row r="4" spans="2:5" ht="15.75">
      <c r="B4" s="542" t="s">
        <v>602</v>
      </c>
      <c r="C4" s="542"/>
      <c r="D4" s="542"/>
      <c r="E4" s="298"/>
    </row>
    <row r="6" spans="2:5" ht="12.75">
      <c r="B6" s="299" t="s">
        <v>514</v>
      </c>
      <c r="C6" s="299"/>
      <c r="D6" s="299"/>
      <c r="E6" s="300"/>
    </row>
    <row r="7" spans="3:5" ht="13.5" thickBot="1">
      <c r="C7" s="299"/>
      <c r="D7" s="299"/>
      <c r="E7" s="300"/>
    </row>
    <row r="8" spans="2:5" ht="36">
      <c r="B8" s="301" t="s">
        <v>515</v>
      </c>
      <c r="C8" s="337" t="s">
        <v>516</v>
      </c>
      <c r="D8" s="565" t="s">
        <v>603</v>
      </c>
      <c r="E8" s="566"/>
    </row>
    <row r="9" spans="2:5" ht="12.75">
      <c r="B9" s="302" t="s">
        <v>517</v>
      </c>
      <c r="C9" s="2"/>
      <c r="D9" s="2"/>
      <c r="E9" s="303"/>
    </row>
    <row r="10" spans="2:5" ht="12.75">
      <c r="B10" s="1" t="s">
        <v>518</v>
      </c>
      <c r="C10" s="304" t="s">
        <v>519</v>
      </c>
      <c r="D10" s="304" t="s">
        <v>520</v>
      </c>
      <c r="E10" s="303"/>
    </row>
    <row r="11" spans="2:7" ht="12.75">
      <c r="B11" s="302" t="s">
        <v>521</v>
      </c>
      <c r="C11" s="305">
        <v>752050</v>
      </c>
      <c r="D11" s="305">
        <v>797150</v>
      </c>
      <c r="E11" s="303"/>
      <c r="F11" s="201"/>
      <c r="G11" s="201"/>
    </row>
    <row r="12" spans="2:7" ht="12.75">
      <c r="B12" s="302" t="s">
        <v>522</v>
      </c>
      <c r="C12" s="305">
        <v>1082952</v>
      </c>
      <c r="D12" s="305">
        <v>1171810.5</v>
      </c>
      <c r="E12" s="303"/>
      <c r="F12" s="201"/>
      <c r="G12" s="201"/>
    </row>
    <row r="13" spans="2:7" ht="12.75" customHeight="1">
      <c r="B13" s="306" t="s">
        <v>523</v>
      </c>
      <c r="C13" s="305">
        <v>488832.5</v>
      </c>
      <c r="D13" s="305">
        <v>518147.5</v>
      </c>
      <c r="E13" s="303"/>
      <c r="F13" s="201"/>
      <c r="G13" s="201"/>
    </row>
    <row r="14" spans="2:7" ht="12.75">
      <c r="B14" s="302" t="s">
        <v>524</v>
      </c>
      <c r="C14" s="305">
        <v>84208</v>
      </c>
      <c r="D14" s="305">
        <v>86424</v>
      </c>
      <c r="E14" s="303"/>
      <c r="F14" s="201"/>
      <c r="G14" s="201"/>
    </row>
    <row r="15" spans="2:5" ht="12.75">
      <c r="B15" s="302" t="s">
        <v>525</v>
      </c>
      <c r="C15" s="305">
        <v>164448</v>
      </c>
      <c r="D15" s="305">
        <v>164448</v>
      </c>
      <c r="E15" s="303"/>
    </row>
    <row r="16" spans="2:5" ht="13.5" thickBot="1">
      <c r="B16" s="302"/>
      <c r="C16" s="307"/>
      <c r="D16" s="307"/>
      <c r="E16" s="308"/>
    </row>
    <row r="17" spans="2:5" ht="13.5" thickTop="1">
      <c r="B17" s="302" t="s">
        <v>526</v>
      </c>
      <c r="C17" s="305">
        <f>SUM(C11:C16)</f>
        <v>2572490.5</v>
      </c>
      <c r="D17" s="305">
        <f>SUM(D11:D16)</f>
        <v>2737980</v>
      </c>
      <c r="E17" s="303"/>
    </row>
    <row r="18" spans="2:5" ht="12.75">
      <c r="B18" s="309" t="s">
        <v>527</v>
      </c>
      <c r="C18" s="305"/>
      <c r="D18" s="305"/>
      <c r="E18" s="303"/>
    </row>
    <row r="19" spans="2:5" ht="12.75">
      <c r="B19" s="302" t="s">
        <v>528</v>
      </c>
      <c r="C19" s="305">
        <f>C17*10%</f>
        <v>257249.05000000002</v>
      </c>
      <c r="D19" s="305">
        <f>D17*10%</f>
        <v>273798</v>
      </c>
      <c r="E19" s="303"/>
    </row>
    <row r="20" spans="2:5" ht="13.5" thickBot="1">
      <c r="B20" s="302"/>
      <c r="C20" s="307"/>
      <c r="D20" s="307"/>
      <c r="E20" s="308"/>
    </row>
    <row r="21" spans="2:5" ht="13.5" thickTop="1">
      <c r="B21" s="302" t="s">
        <v>529</v>
      </c>
      <c r="C21" s="305">
        <f>C17+C19</f>
        <v>2829739.55</v>
      </c>
      <c r="D21" s="305">
        <f>D17+D19</f>
        <v>3011778</v>
      </c>
      <c r="E21" s="303" t="s">
        <v>530</v>
      </c>
    </row>
    <row r="22" spans="2:5" ht="12.75">
      <c r="B22" s="309" t="s">
        <v>531</v>
      </c>
      <c r="C22" s="305"/>
      <c r="D22" s="305"/>
      <c r="E22" s="303"/>
    </row>
    <row r="23" spans="2:5" ht="12.75" customHeight="1">
      <c r="B23" s="306" t="s">
        <v>532</v>
      </c>
      <c r="C23" s="305">
        <f>+C21*0.65</f>
        <v>1839330.7075</v>
      </c>
      <c r="D23" s="305">
        <f>+D21*0.65</f>
        <v>1957655.7</v>
      </c>
      <c r="E23" s="303" t="s">
        <v>533</v>
      </c>
    </row>
    <row r="24" spans="2:5" ht="13.5" thickBot="1">
      <c r="B24" s="310" t="s">
        <v>534</v>
      </c>
      <c r="C24" s="311">
        <f>C21+C23</f>
        <v>4669070.2575</v>
      </c>
      <c r="D24" s="311">
        <f>D21+D23</f>
        <v>4969433.7</v>
      </c>
      <c r="E24" s="312"/>
    </row>
    <row r="25" ht="12.75">
      <c r="E25" s="300"/>
    </row>
    <row r="26" spans="2:5" ht="13.5" thickBot="1">
      <c r="B26" s="299"/>
      <c r="C26" s="305"/>
      <c r="D26" s="305"/>
      <c r="E26" s="300"/>
    </row>
    <row r="27" spans="2:5" ht="12.75">
      <c r="B27" s="301" t="s">
        <v>535</v>
      </c>
      <c r="C27" s="313"/>
      <c r="D27" s="313"/>
      <c r="E27" s="314"/>
    </row>
    <row r="28" spans="2:5" ht="12.75">
      <c r="B28" s="309"/>
      <c r="C28" s="304" t="s">
        <v>146</v>
      </c>
      <c r="D28" s="304" t="s">
        <v>520</v>
      </c>
      <c r="E28" s="303"/>
    </row>
    <row r="29" spans="2:5" ht="12.75">
      <c r="B29" s="302" t="s">
        <v>536</v>
      </c>
      <c r="C29" s="305" t="s">
        <v>146</v>
      </c>
      <c r="D29" s="305">
        <v>0</v>
      </c>
      <c r="E29" s="303"/>
    </row>
    <row r="30" spans="2:5" ht="12.75">
      <c r="B30" s="302"/>
      <c r="C30" s="305"/>
      <c r="D30" s="305"/>
      <c r="E30" s="303"/>
    </row>
    <row r="31" spans="2:5" ht="12.75">
      <c r="B31" s="302" t="s">
        <v>537</v>
      </c>
      <c r="C31" s="305" t="s">
        <v>146</v>
      </c>
      <c r="D31" s="305">
        <v>0</v>
      </c>
      <c r="E31" s="303" t="s">
        <v>530</v>
      </c>
    </row>
    <row r="32" spans="2:5" ht="12.75">
      <c r="B32" s="315" t="s">
        <v>546</v>
      </c>
      <c r="C32" s="305"/>
      <c r="D32" s="305"/>
      <c r="E32" s="303"/>
    </row>
    <row r="33" spans="2:5" ht="12" customHeight="1">
      <c r="B33" s="306" t="s">
        <v>532</v>
      </c>
      <c r="C33" s="305" t="s">
        <v>146</v>
      </c>
      <c r="D33" s="305">
        <v>0</v>
      </c>
      <c r="E33" s="303" t="s">
        <v>533</v>
      </c>
    </row>
    <row r="34" spans="2:5" ht="13.5" thickBot="1">
      <c r="B34" s="310" t="s">
        <v>538</v>
      </c>
      <c r="C34" s="311" t="s">
        <v>146</v>
      </c>
      <c r="D34" s="311">
        <f>D31+D33</f>
        <v>0</v>
      </c>
      <c r="E34" s="312"/>
    </row>
    <row r="35" ht="12.75">
      <c r="E35" s="300"/>
    </row>
    <row r="36" spans="2:5" ht="13.5" thickBot="1">
      <c r="B36" s="299"/>
      <c r="C36" s="299"/>
      <c r="D36" s="299"/>
      <c r="E36" s="300"/>
    </row>
    <row r="37" spans="2:5" ht="12.75">
      <c r="B37" s="301" t="s">
        <v>604</v>
      </c>
      <c r="C37" s="316"/>
      <c r="D37" s="316"/>
      <c r="E37" s="314"/>
    </row>
    <row r="38" spans="2:5" ht="12.75">
      <c r="B38" s="302"/>
      <c r="C38" s="304" t="s">
        <v>146</v>
      </c>
      <c r="D38" s="304" t="s">
        <v>520</v>
      </c>
      <c r="E38" s="303"/>
    </row>
    <row r="39" spans="2:5" ht="12.75">
      <c r="B39" s="1" t="s">
        <v>539</v>
      </c>
      <c r="C39" s="305" t="s">
        <v>146</v>
      </c>
      <c r="D39" s="305">
        <v>0</v>
      </c>
      <c r="E39" s="317"/>
    </row>
    <row r="40" spans="2:5" ht="13.5" thickBot="1">
      <c r="B40" s="1" t="s">
        <v>540</v>
      </c>
      <c r="C40" s="305" t="s">
        <v>146</v>
      </c>
      <c r="D40" s="311">
        <f>D39*50%</f>
        <v>0</v>
      </c>
      <c r="E40" s="318" t="s">
        <v>541</v>
      </c>
    </row>
    <row r="41" spans="2:5" ht="13.5" thickBot="1">
      <c r="B41" s="319"/>
      <c r="C41" s="320"/>
      <c r="D41" s="311"/>
      <c r="E41" s="318"/>
    </row>
    <row r="42" spans="2:4" ht="12.75">
      <c r="B42" s="321"/>
      <c r="C42" s="2"/>
      <c r="D42" s="305"/>
    </row>
    <row r="44" spans="2:4" ht="15.75">
      <c r="B44" s="542" t="s">
        <v>605</v>
      </c>
      <c r="C44" s="542"/>
      <c r="D44" s="542"/>
    </row>
    <row r="45" ht="13.5" thickBot="1">
      <c r="F45" s="322"/>
    </row>
    <row r="46" spans="2:6" ht="16.5" customHeight="1">
      <c r="B46" s="63" t="s">
        <v>606</v>
      </c>
      <c r="C46" s="32"/>
      <c r="D46" s="316"/>
      <c r="E46" s="33"/>
      <c r="F46" s="322"/>
    </row>
    <row r="47" spans="2:6" ht="16.5" customHeight="1">
      <c r="B47" s="10"/>
      <c r="C47" s="2"/>
      <c r="D47" s="304" t="s">
        <v>520</v>
      </c>
      <c r="E47" s="4"/>
      <c r="F47" s="322"/>
    </row>
    <row r="48" spans="2:6" ht="12.75">
      <c r="B48" s="388" t="s">
        <v>607</v>
      </c>
      <c r="C48" s="2"/>
      <c r="D48" s="201">
        <v>2409422.4</v>
      </c>
      <c r="E48" s="4"/>
      <c r="F48" s="322"/>
    </row>
    <row r="49" spans="2:8" ht="12.75">
      <c r="B49" s="389" t="s">
        <v>608</v>
      </c>
      <c r="C49" s="2"/>
      <c r="D49" s="390"/>
      <c r="E49" s="317"/>
      <c r="F49" s="322"/>
      <c r="G49" s="2"/>
      <c r="H49" s="2"/>
    </row>
    <row r="50" spans="2:8" ht="13.5" thickBot="1">
      <c r="B50" s="306" t="s">
        <v>609</v>
      </c>
      <c r="C50" s="2"/>
      <c r="D50" s="201">
        <v>1566124.56</v>
      </c>
      <c r="E50" s="318"/>
      <c r="F50" s="322"/>
      <c r="G50" s="2"/>
      <c r="H50" s="2"/>
    </row>
    <row r="51" spans="2:8" ht="13.5" thickBot="1">
      <c r="B51" s="310" t="s">
        <v>610</v>
      </c>
      <c r="C51" s="320"/>
      <c r="D51" s="311">
        <f>+D48+D50</f>
        <v>3975546.96</v>
      </c>
      <c r="E51" s="318"/>
      <c r="F51" s="322"/>
      <c r="G51" s="2"/>
      <c r="H51" s="2"/>
    </row>
    <row r="52" ht="13.5" thickBot="1">
      <c r="F52" s="322"/>
    </row>
    <row r="53" spans="2:6" ht="12.75">
      <c r="B53" s="301" t="s">
        <v>611</v>
      </c>
      <c r="C53" s="316"/>
      <c r="D53" s="316"/>
      <c r="E53" s="314"/>
      <c r="F53" s="322"/>
    </row>
    <row r="54" spans="2:6" ht="12.75">
      <c r="B54" s="302"/>
      <c r="C54" s="304" t="s">
        <v>146</v>
      </c>
      <c r="D54" s="304" t="s">
        <v>520</v>
      </c>
      <c r="E54" s="303"/>
      <c r="F54" s="322"/>
    </row>
    <row r="55" spans="2:6" ht="12.75">
      <c r="B55" s="1" t="s">
        <v>539</v>
      </c>
      <c r="C55" s="305" t="s">
        <v>146</v>
      </c>
      <c r="D55" s="305">
        <v>0</v>
      </c>
      <c r="E55" s="317"/>
      <c r="F55" s="322"/>
    </row>
    <row r="56" spans="2:6" ht="13.5" thickBot="1">
      <c r="B56" s="1" t="s">
        <v>540</v>
      </c>
      <c r="C56" s="305" t="s">
        <v>146</v>
      </c>
      <c r="D56" s="311">
        <f>D55*50%</f>
        <v>0</v>
      </c>
      <c r="E56" s="318" t="s">
        <v>541</v>
      </c>
      <c r="F56" s="322"/>
    </row>
    <row r="57" spans="2:6" ht="13.5" thickBot="1">
      <c r="B57" s="319"/>
      <c r="C57" s="320"/>
      <c r="D57" s="311"/>
      <c r="E57" s="318"/>
      <c r="F57" s="322"/>
    </row>
    <row r="58" ht="12.75">
      <c r="F58" s="322"/>
    </row>
    <row r="59" spans="2:6" ht="12.75">
      <c r="B59" s="299" t="s">
        <v>542</v>
      </c>
      <c r="F59" s="322"/>
    </row>
    <row r="60" spans="2:6" ht="12.75">
      <c r="B60" s="299" t="s">
        <v>612</v>
      </c>
      <c r="F60" s="322"/>
    </row>
    <row r="61" spans="2:6" ht="12.75">
      <c r="B61" s="299" t="s">
        <v>543</v>
      </c>
      <c r="F61" s="322"/>
    </row>
    <row r="62" spans="2:6" ht="12.75">
      <c r="B62" t="s">
        <v>544</v>
      </c>
      <c r="F62" s="322"/>
    </row>
    <row r="63" ht="12.75">
      <c r="B63" t="s">
        <v>545</v>
      </c>
    </row>
    <row r="65" ht="12.75">
      <c r="B65" s="299" t="s">
        <v>146</v>
      </c>
    </row>
    <row r="66" s="194" customFormat="1" ht="12.75">
      <c r="A66" s="323" t="s">
        <v>635</v>
      </c>
    </row>
    <row r="67" s="194" customFormat="1" ht="18" customHeight="1">
      <c r="A67" s="323" t="s">
        <v>643</v>
      </c>
    </row>
    <row r="68" s="194" customFormat="1" ht="12.75">
      <c r="A68" s="323"/>
    </row>
  </sheetData>
  <sheetProtection/>
  <mergeCells count="5">
    <mergeCell ref="B2:D2"/>
    <mergeCell ref="B3:D3"/>
    <mergeCell ref="B4:D4"/>
    <mergeCell ref="D8:E8"/>
    <mergeCell ref="B44:D44"/>
  </mergeCells>
  <printOptions horizontalCentered="1" verticalCentered="1"/>
  <pageMargins left="0.16" right="0.45" top="1" bottom="1" header="0" footer="0"/>
  <pageSetup horizontalDpi="300" verticalDpi="300" orientation="portrait" scale="70" r:id="rId1"/>
</worksheet>
</file>

<file path=xl/worksheets/sheet8.xml><?xml version="1.0" encoding="utf-8"?>
<worksheet xmlns="http://schemas.openxmlformats.org/spreadsheetml/2006/main" xmlns:r="http://schemas.openxmlformats.org/officeDocument/2006/relationships">
  <dimension ref="A3:G31"/>
  <sheetViews>
    <sheetView showGridLines="0" view="pageBreakPreview" zoomScaleSheetLayoutView="100" zoomScalePageLayoutView="0" workbookViewId="0" topLeftCell="A4">
      <selection activeCell="A1" sqref="A1:G1"/>
    </sheetView>
  </sheetViews>
  <sheetFormatPr defaultColWidth="11.421875" defaultRowHeight="12.75"/>
  <cols>
    <col min="1" max="1" width="24.421875" style="190" customWidth="1"/>
    <col min="2" max="2" width="23.421875" style="0" bestFit="1" customWidth="1"/>
    <col min="3" max="3" width="20.00390625" style="0" customWidth="1"/>
    <col min="4" max="4" width="24.140625" style="0" bestFit="1" customWidth="1"/>
    <col min="5" max="5" width="20.8515625" style="0" bestFit="1" customWidth="1"/>
    <col min="6" max="6" width="32.421875" style="0" customWidth="1"/>
    <col min="7" max="7" width="21.00390625" style="0" customWidth="1"/>
  </cols>
  <sheetData>
    <row r="1" ht="12.75"/>
    <row r="2" ht="12.75"/>
    <row r="3" spans="1:6" ht="15.75">
      <c r="A3" s="189" t="s">
        <v>0</v>
      </c>
      <c r="B3" s="455"/>
      <c r="C3" s="455"/>
      <c r="D3" s="455"/>
      <c r="E3" s="455"/>
      <c r="F3" s="455"/>
    </row>
    <row r="4" spans="1:6" ht="15.75">
      <c r="A4" s="189" t="s">
        <v>441</v>
      </c>
      <c r="B4" s="455"/>
      <c r="C4" s="455"/>
      <c r="D4" s="455"/>
      <c r="E4" s="455"/>
      <c r="F4" s="455"/>
    </row>
    <row r="5" spans="1:6" ht="15.75">
      <c r="A5" s="189" t="s">
        <v>442</v>
      </c>
      <c r="B5" s="455"/>
      <c r="C5" s="455"/>
      <c r="D5" s="455"/>
      <c r="E5" s="455"/>
      <c r="F5" s="455"/>
    </row>
    <row r="6" spans="1:5" ht="12.75">
      <c r="A6" s="186"/>
      <c r="B6" s="103"/>
      <c r="C6" s="103"/>
      <c r="D6" s="103"/>
      <c r="E6" s="103"/>
    </row>
    <row r="7" spans="1:5" ht="12.75">
      <c r="A7" s="454"/>
      <c r="B7" s="103"/>
      <c r="C7" s="103"/>
      <c r="D7" s="103"/>
      <c r="E7" s="103"/>
    </row>
    <row r="8" ht="13.5" thickBot="1"/>
    <row r="9" spans="1:7" ht="18.75" thickBot="1">
      <c r="A9" s="453"/>
      <c r="B9" s="451"/>
      <c r="C9" s="452" t="s">
        <v>613</v>
      </c>
      <c r="D9" s="451"/>
      <c r="E9" s="451"/>
      <c r="F9" s="451"/>
      <c r="G9" s="450"/>
    </row>
    <row r="10" spans="1:7" ht="12.75">
      <c r="A10" s="447" t="s">
        <v>443</v>
      </c>
      <c r="B10" s="448"/>
      <c r="C10" s="449"/>
      <c r="D10" s="448"/>
      <c r="E10" s="448"/>
      <c r="F10" s="444" t="s">
        <v>444</v>
      </c>
      <c r="G10" s="444"/>
    </row>
    <row r="11" spans="1:7" ht="12.75">
      <c r="A11" s="447" t="s">
        <v>614</v>
      </c>
      <c r="B11" s="445" t="s">
        <v>445</v>
      </c>
      <c r="C11" s="445" t="s">
        <v>446</v>
      </c>
      <c r="D11" s="446" t="s">
        <v>447</v>
      </c>
      <c r="E11" s="445" t="s">
        <v>6</v>
      </c>
      <c r="F11" s="444" t="s">
        <v>448</v>
      </c>
      <c r="G11" s="444" t="s">
        <v>615</v>
      </c>
    </row>
    <row r="12" spans="1:7" ht="12.75">
      <c r="A12" s="191" t="s">
        <v>510</v>
      </c>
      <c r="B12" s="442">
        <f>+'[5]deuda'!$B$11</f>
        <v>30658712</v>
      </c>
      <c r="C12" s="415">
        <v>252500000</v>
      </c>
      <c r="D12" s="193">
        <v>69000000</v>
      </c>
      <c r="E12" s="436">
        <f>SUM(C12:D12)</f>
        <v>321500000</v>
      </c>
      <c r="F12" s="443" t="s">
        <v>616</v>
      </c>
      <c r="G12" s="439"/>
    </row>
    <row r="13" spans="1:7" ht="12.75">
      <c r="A13" s="191" t="s">
        <v>510</v>
      </c>
      <c r="B13" s="442">
        <v>30689289</v>
      </c>
      <c r="C13" s="415">
        <v>14000000</v>
      </c>
      <c r="D13" s="193">
        <v>22000000</v>
      </c>
      <c r="E13" s="436">
        <f aca="true" t="shared" si="0" ref="E13:E20">SUM(C13:D13)</f>
        <v>36000000</v>
      </c>
      <c r="F13" s="439" t="s">
        <v>644</v>
      </c>
      <c r="G13" s="439"/>
    </row>
    <row r="14" spans="1:7" ht="12.75">
      <c r="A14" s="191" t="s">
        <v>510</v>
      </c>
      <c r="B14" s="442">
        <v>30658709</v>
      </c>
      <c r="C14" s="415">
        <v>153000000</v>
      </c>
      <c r="D14" s="193">
        <v>158000000</v>
      </c>
      <c r="E14" s="436">
        <f t="shared" si="0"/>
        <v>311000000</v>
      </c>
      <c r="F14" s="439" t="s">
        <v>636</v>
      </c>
      <c r="G14" s="439"/>
    </row>
    <row r="15" spans="1:7" ht="12.75">
      <c r="A15" s="191" t="s">
        <v>510</v>
      </c>
      <c r="B15" s="441" t="s">
        <v>733</v>
      </c>
      <c r="C15" s="415">
        <v>131000000</v>
      </c>
      <c r="D15" s="437">
        <v>36000000</v>
      </c>
      <c r="E15" s="436">
        <f t="shared" si="0"/>
        <v>167000000</v>
      </c>
      <c r="F15" s="440" t="s">
        <v>734</v>
      </c>
      <c r="G15" s="439"/>
    </row>
    <row r="16" spans="1:7" ht="12.75">
      <c r="A16" s="438"/>
      <c r="B16" s="192" t="s">
        <v>511</v>
      </c>
      <c r="C16" s="415"/>
      <c r="D16" s="437">
        <v>0</v>
      </c>
      <c r="E16" s="436">
        <f>SUM(C16:D16)</f>
        <v>0</v>
      </c>
      <c r="F16" s="439"/>
      <c r="G16" s="439"/>
    </row>
    <row r="17" spans="1:7" ht="12.75">
      <c r="A17" s="438"/>
      <c r="B17" s="192" t="s">
        <v>511</v>
      </c>
      <c r="C17" s="437">
        <v>0</v>
      </c>
      <c r="D17" s="437">
        <v>0</v>
      </c>
      <c r="E17" s="436">
        <f>SUM(C17:D17)</f>
        <v>0</v>
      </c>
      <c r="F17" s="439"/>
      <c r="G17" s="439"/>
    </row>
    <row r="18" spans="1:7" ht="12.75">
      <c r="A18" s="438"/>
      <c r="B18" s="192" t="s">
        <v>511</v>
      </c>
      <c r="C18" s="437">
        <v>0</v>
      </c>
      <c r="D18" s="437">
        <v>0</v>
      </c>
      <c r="E18" s="436">
        <f>SUM(C18:D18)</f>
        <v>0</v>
      </c>
      <c r="F18" s="439"/>
      <c r="G18" s="439"/>
    </row>
    <row r="19" spans="1:7" ht="12.75">
      <c r="A19" s="438"/>
      <c r="B19" s="192" t="s">
        <v>511</v>
      </c>
      <c r="C19" s="437">
        <v>0</v>
      </c>
      <c r="D19" s="437">
        <v>0</v>
      </c>
      <c r="E19" s="436">
        <f t="shared" si="0"/>
        <v>0</v>
      </c>
      <c r="F19" s="439"/>
      <c r="G19" s="439"/>
    </row>
    <row r="20" spans="1:7" ht="12.75">
      <c r="A20" s="438"/>
      <c r="B20" s="192" t="s">
        <v>511</v>
      </c>
      <c r="C20" s="437">
        <v>0</v>
      </c>
      <c r="D20" s="437">
        <v>0</v>
      </c>
      <c r="E20" s="436">
        <f t="shared" si="0"/>
        <v>0</v>
      </c>
      <c r="F20" s="435"/>
      <c r="G20" s="435"/>
    </row>
    <row r="21" spans="1:7" ht="13.5" thickBot="1">
      <c r="A21" s="434" t="s">
        <v>449</v>
      </c>
      <c r="B21" s="433"/>
      <c r="C21" s="433">
        <f>SUM(C12:C20)</f>
        <v>550500000</v>
      </c>
      <c r="D21" s="433">
        <f>SUM(D12:D20)</f>
        <v>285000000</v>
      </c>
      <c r="E21" s="433">
        <f>SUM(E12:E20)</f>
        <v>835500000</v>
      </c>
      <c r="F21" s="432"/>
      <c r="G21" s="432"/>
    </row>
    <row r="22" ht="13.5" thickBot="1"/>
    <row r="23" spans="1:6" ht="13.5" thickBot="1">
      <c r="A23" s="429" t="s">
        <v>735</v>
      </c>
      <c r="B23" s="428"/>
      <c r="C23" s="431">
        <v>550500000</v>
      </c>
      <c r="D23" s="430">
        <v>285000000</v>
      </c>
      <c r="E23" s="426">
        <f>+C23+D23</f>
        <v>835500000</v>
      </c>
      <c r="F23" s="425"/>
    </row>
    <row r="24" ht="13.5" thickBot="1">
      <c r="F24" s="29"/>
    </row>
    <row r="25" spans="1:6" ht="13.5" thickBot="1">
      <c r="A25" s="429" t="s">
        <v>450</v>
      </c>
      <c r="B25" s="428"/>
      <c r="C25" s="428">
        <f>C21-C23</f>
        <v>0</v>
      </c>
      <c r="D25" s="427">
        <f>D21-D23</f>
        <v>0</v>
      </c>
      <c r="E25" s="426">
        <f>E21-E23</f>
        <v>0</v>
      </c>
      <c r="F25" s="425"/>
    </row>
    <row r="26" ht="12.75"/>
    <row r="27" ht="12.75">
      <c r="A27" s="190" t="s">
        <v>451</v>
      </c>
    </row>
    <row r="28" ht="12.75">
      <c r="A28" s="190" t="s">
        <v>452</v>
      </c>
    </row>
    <row r="29" ht="12.75"/>
    <row r="30" ht="12.75">
      <c r="A30" s="190" t="s">
        <v>617</v>
      </c>
    </row>
    <row r="31" ht="18" customHeight="1">
      <c r="A31" s="190" t="s">
        <v>736</v>
      </c>
    </row>
    <row r="35" ht="12.75"/>
    <row r="36" ht="12.75"/>
    <row r="37" ht="12.75"/>
    <row r="38" ht="12.75"/>
  </sheetData>
  <sheetProtection/>
  <printOptions horizontalCentered="1" verticalCentered="1"/>
  <pageMargins left="0.75" right="0.75" top="1" bottom="1" header="0" footer="0"/>
  <pageSetup horizontalDpi="600" verticalDpi="600" orientation="landscape" scale="73" r:id="rId3"/>
  <legacyDrawing r:id="rId2"/>
</worksheet>
</file>

<file path=xl/worksheets/sheet9.xml><?xml version="1.0" encoding="utf-8"?>
<worksheet xmlns="http://schemas.openxmlformats.org/spreadsheetml/2006/main" xmlns:r="http://schemas.openxmlformats.org/officeDocument/2006/relationships">
  <dimension ref="A1:F84"/>
  <sheetViews>
    <sheetView tabSelected="1" view="pageBreakPreview" zoomScaleSheetLayoutView="100" zoomScalePageLayoutView="0" workbookViewId="0" topLeftCell="A4">
      <selection activeCell="A1" sqref="A1:G1"/>
    </sheetView>
  </sheetViews>
  <sheetFormatPr defaultColWidth="11.421875" defaultRowHeight="12.75"/>
  <cols>
    <col min="1" max="1" width="9.28125" style="473" customWidth="1"/>
    <col min="2" max="2" width="32.28125" style="206" customWidth="1"/>
    <col min="3" max="3" width="15.28125" style="206" customWidth="1"/>
    <col min="4" max="4" width="31.421875" style="206" customWidth="1"/>
    <col min="5" max="5" width="19.140625" style="473" bestFit="1" customWidth="1"/>
    <col min="6" max="6" width="23.57421875" style="206" customWidth="1"/>
    <col min="7" max="16384" width="11.421875" style="24" customWidth="1"/>
  </cols>
  <sheetData>
    <row r="1" spans="1:6" ht="12.75">
      <c r="A1" s="567" t="s">
        <v>735</v>
      </c>
      <c r="B1" s="567"/>
      <c r="C1" s="567"/>
      <c r="D1" s="567"/>
      <c r="E1" s="567"/>
      <c r="F1" s="567"/>
    </row>
    <row r="2" spans="1:6" ht="14.25" customHeight="1">
      <c r="A2" s="568" t="s">
        <v>0</v>
      </c>
      <c r="B2" s="568"/>
      <c r="C2" s="568"/>
      <c r="D2" s="568"/>
      <c r="E2" s="568"/>
      <c r="F2" s="568"/>
    </row>
    <row r="3" spans="1:6" ht="14.25" customHeight="1">
      <c r="A3" s="568" t="s">
        <v>645</v>
      </c>
      <c r="B3" s="568"/>
      <c r="C3" s="568"/>
      <c r="D3" s="568"/>
      <c r="E3" s="568"/>
      <c r="F3" s="568"/>
    </row>
    <row r="4" spans="1:6" ht="14.25" customHeight="1">
      <c r="A4" s="568" t="s">
        <v>646</v>
      </c>
      <c r="B4" s="568"/>
      <c r="C4" s="568"/>
      <c r="D4" s="568"/>
      <c r="E4" s="568"/>
      <c r="F4" s="568"/>
    </row>
    <row r="5" ht="13.5" thickBot="1"/>
    <row r="6" spans="1:6" ht="51.75" thickBot="1">
      <c r="A6" s="474" t="s">
        <v>647</v>
      </c>
      <c r="B6" s="475" t="s">
        <v>648</v>
      </c>
      <c r="C6" s="476" t="s">
        <v>649</v>
      </c>
      <c r="D6" s="475" t="s">
        <v>650</v>
      </c>
      <c r="E6" s="477" t="s">
        <v>383</v>
      </c>
      <c r="F6" s="478" t="s">
        <v>651</v>
      </c>
    </row>
    <row r="7" spans="1:6" ht="12.75">
      <c r="A7" s="456">
        <v>7</v>
      </c>
      <c r="B7" s="457" t="s">
        <v>358</v>
      </c>
      <c r="C7" s="458"/>
      <c r="D7" s="458"/>
      <c r="E7" s="459">
        <f>SUM(E8+E63)</f>
        <v>1867850760.63</v>
      </c>
      <c r="F7" s="460"/>
    </row>
    <row r="8" spans="1:6" ht="40.5" customHeight="1">
      <c r="A8" s="479" t="s">
        <v>652</v>
      </c>
      <c r="B8" s="480" t="s">
        <v>653</v>
      </c>
      <c r="C8" s="461"/>
      <c r="D8" s="461"/>
      <c r="E8" s="462">
        <f>SUM(E9:E62)</f>
        <v>1483960050.3700001</v>
      </c>
      <c r="F8" s="462"/>
    </row>
    <row r="9" spans="1:6" ht="51">
      <c r="A9" s="463"/>
      <c r="B9" s="464" t="s">
        <v>737</v>
      </c>
      <c r="C9" s="481" t="s">
        <v>738</v>
      </c>
      <c r="D9" s="465" t="s">
        <v>655</v>
      </c>
      <c r="E9" s="482">
        <v>18823719.44</v>
      </c>
      <c r="F9" s="464" t="s">
        <v>739</v>
      </c>
    </row>
    <row r="10" spans="1:6" ht="51">
      <c r="A10" s="463"/>
      <c r="B10" s="464" t="s">
        <v>703</v>
      </c>
      <c r="C10" s="481" t="s">
        <v>704</v>
      </c>
      <c r="D10" s="465" t="s">
        <v>655</v>
      </c>
      <c r="E10" s="482">
        <v>17000000</v>
      </c>
      <c r="F10" s="464" t="s">
        <v>705</v>
      </c>
    </row>
    <row r="11" spans="1:6" ht="63.75">
      <c r="A11" s="463"/>
      <c r="B11" s="464" t="s">
        <v>701</v>
      </c>
      <c r="C11" s="481" t="s">
        <v>702</v>
      </c>
      <c r="D11" s="465" t="s">
        <v>655</v>
      </c>
      <c r="E11" s="482">
        <v>12000000</v>
      </c>
      <c r="F11" s="464" t="s">
        <v>740</v>
      </c>
    </row>
    <row r="12" spans="1:6" ht="51">
      <c r="A12" s="463"/>
      <c r="B12" s="464" t="s">
        <v>741</v>
      </c>
      <c r="C12" s="481" t="s">
        <v>689</v>
      </c>
      <c r="D12" s="465" t="s">
        <v>655</v>
      </c>
      <c r="E12" s="482">
        <v>17000000</v>
      </c>
      <c r="F12" s="464" t="s">
        <v>742</v>
      </c>
    </row>
    <row r="13" spans="1:6" ht="51">
      <c r="A13" s="463"/>
      <c r="B13" s="464" t="s">
        <v>743</v>
      </c>
      <c r="C13" s="481" t="s">
        <v>744</v>
      </c>
      <c r="D13" s="465" t="s">
        <v>655</v>
      </c>
      <c r="E13" s="482">
        <v>24844177.26</v>
      </c>
      <c r="F13" s="464" t="s">
        <v>745</v>
      </c>
    </row>
    <row r="14" spans="1:6" ht="25.5" customHeight="1">
      <c r="A14" s="463"/>
      <c r="B14" s="569" t="s">
        <v>693</v>
      </c>
      <c r="C14" s="571" t="s">
        <v>746</v>
      </c>
      <c r="D14" s="573" t="s">
        <v>655</v>
      </c>
      <c r="E14" s="483">
        <v>10000000</v>
      </c>
      <c r="F14" s="484" t="s">
        <v>747</v>
      </c>
    </row>
    <row r="15" spans="1:6" ht="38.25" customHeight="1">
      <c r="A15" s="463"/>
      <c r="B15" s="570"/>
      <c r="C15" s="572"/>
      <c r="D15" s="570"/>
      <c r="E15" s="482">
        <v>19424998</v>
      </c>
      <c r="F15" s="464" t="s">
        <v>748</v>
      </c>
    </row>
    <row r="16" spans="1:6" ht="38.25" customHeight="1">
      <c r="A16" s="463"/>
      <c r="B16" s="574" t="s">
        <v>749</v>
      </c>
      <c r="C16" s="575" t="s">
        <v>750</v>
      </c>
      <c r="D16" s="573" t="s">
        <v>655</v>
      </c>
      <c r="E16" s="482">
        <v>25000000</v>
      </c>
      <c r="F16" s="464" t="s">
        <v>751</v>
      </c>
    </row>
    <row r="17" spans="1:6" ht="25.5">
      <c r="A17" s="463"/>
      <c r="B17" s="570"/>
      <c r="C17" s="572"/>
      <c r="D17" s="570"/>
      <c r="E17" s="483">
        <v>10000000</v>
      </c>
      <c r="F17" s="484" t="s">
        <v>752</v>
      </c>
    </row>
    <row r="18" spans="1:6" ht="51">
      <c r="A18" s="463"/>
      <c r="B18" s="468" t="s">
        <v>753</v>
      </c>
      <c r="C18" s="485">
        <v>3002635244</v>
      </c>
      <c r="D18" s="465" t="s">
        <v>655</v>
      </c>
      <c r="E18" s="486">
        <v>31594411.02</v>
      </c>
      <c r="F18" s="468" t="s">
        <v>754</v>
      </c>
    </row>
    <row r="19" spans="1:6" ht="51">
      <c r="A19" s="463"/>
      <c r="B19" s="484" t="s">
        <v>696</v>
      </c>
      <c r="C19" s="487" t="s">
        <v>697</v>
      </c>
      <c r="D19" s="465" t="s">
        <v>655</v>
      </c>
      <c r="E19" s="483">
        <v>10000000</v>
      </c>
      <c r="F19" s="484" t="s">
        <v>755</v>
      </c>
    </row>
    <row r="20" spans="1:6" ht="51">
      <c r="A20" s="463"/>
      <c r="B20" s="468" t="s">
        <v>706</v>
      </c>
      <c r="C20" s="485" t="s">
        <v>707</v>
      </c>
      <c r="D20" s="465" t="s">
        <v>655</v>
      </c>
      <c r="E20" s="486">
        <v>10000000</v>
      </c>
      <c r="F20" s="468" t="s">
        <v>708</v>
      </c>
    </row>
    <row r="21" spans="1:6" ht="51">
      <c r="A21" s="463"/>
      <c r="B21" s="464" t="s">
        <v>699</v>
      </c>
      <c r="C21" s="481" t="s">
        <v>700</v>
      </c>
      <c r="D21" s="465" t="s">
        <v>655</v>
      </c>
      <c r="E21" s="482">
        <v>20000000</v>
      </c>
      <c r="F21" s="464" t="s">
        <v>756</v>
      </c>
    </row>
    <row r="22" spans="1:6" ht="63.75">
      <c r="A22" s="463"/>
      <c r="B22" s="464" t="s">
        <v>757</v>
      </c>
      <c r="C22" s="481" t="s">
        <v>667</v>
      </c>
      <c r="D22" s="465" t="s">
        <v>655</v>
      </c>
      <c r="E22" s="482">
        <v>30000000</v>
      </c>
      <c r="F22" s="464" t="s">
        <v>668</v>
      </c>
    </row>
    <row r="23" spans="1:6" ht="51">
      <c r="A23" s="463"/>
      <c r="B23" s="464" t="s">
        <v>669</v>
      </c>
      <c r="C23" s="481" t="s">
        <v>670</v>
      </c>
      <c r="D23" s="465" t="s">
        <v>655</v>
      </c>
      <c r="E23" s="482">
        <v>50000000</v>
      </c>
      <c r="F23" s="464" t="s">
        <v>758</v>
      </c>
    </row>
    <row r="24" spans="1:6" ht="38.25" customHeight="1">
      <c r="A24" s="463"/>
      <c r="B24" s="576" t="s">
        <v>759</v>
      </c>
      <c r="C24" s="578" t="s">
        <v>760</v>
      </c>
      <c r="D24" s="573" t="s">
        <v>655</v>
      </c>
      <c r="E24" s="486">
        <v>20000000</v>
      </c>
      <c r="F24" s="468" t="s">
        <v>761</v>
      </c>
    </row>
    <row r="25" spans="1:6" ht="25.5">
      <c r="A25" s="463"/>
      <c r="B25" s="577"/>
      <c r="C25" s="579"/>
      <c r="D25" s="577"/>
      <c r="E25" s="482">
        <v>15000000</v>
      </c>
      <c r="F25" s="464" t="s">
        <v>762</v>
      </c>
    </row>
    <row r="26" spans="1:6" ht="25.5">
      <c r="A26" s="463"/>
      <c r="B26" s="570"/>
      <c r="C26" s="572"/>
      <c r="D26" s="570"/>
      <c r="E26" s="483">
        <v>10000000</v>
      </c>
      <c r="F26" s="484" t="s">
        <v>763</v>
      </c>
    </row>
    <row r="27" spans="1:6" ht="51">
      <c r="A27" s="463"/>
      <c r="B27" s="464" t="s">
        <v>764</v>
      </c>
      <c r="C27" s="481" t="s">
        <v>685</v>
      </c>
      <c r="D27" s="465" t="s">
        <v>655</v>
      </c>
      <c r="E27" s="482">
        <v>19000000</v>
      </c>
      <c r="F27" s="464" t="s">
        <v>765</v>
      </c>
    </row>
    <row r="28" spans="1:6" ht="51">
      <c r="A28" s="463"/>
      <c r="B28" s="464" t="s">
        <v>766</v>
      </c>
      <c r="C28" s="481" t="s">
        <v>767</v>
      </c>
      <c r="D28" s="465" t="s">
        <v>655</v>
      </c>
      <c r="E28" s="482">
        <v>19001289</v>
      </c>
      <c r="F28" s="464" t="s">
        <v>768</v>
      </c>
    </row>
    <row r="29" spans="1:6" ht="51">
      <c r="A29" s="463"/>
      <c r="B29" s="464" t="s">
        <v>713</v>
      </c>
      <c r="C29" s="481" t="s">
        <v>714</v>
      </c>
      <c r="D29" s="465" t="s">
        <v>655</v>
      </c>
      <c r="E29" s="482">
        <v>50000000</v>
      </c>
      <c r="F29" s="464" t="s">
        <v>769</v>
      </c>
    </row>
    <row r="30" spans="1:6" ht="51">
      <c r="A30" s="463"/>
      <c r="B30" s="464" t="s">
        <v>690</v>
      </c>
      <c r="C30" s="481" t="s">
        <v>691</v>
      </c>
      <c r="D30" s="465" t="s">
        <v>655</v>
      </c>
      <c r="E30" s="482">
        <v>20000000</v>
      </c>
      <c r="F30" s="464" t="s">
        <v>692</v>
      </c>
    </row>
    <row r="31" spans="1:6" ht="51">
      <c r="A31" s="463"/>
      <c r="B31" s="464" t="s">
        <v>674</v>
      </c>
      <c r="C31" s="481" t="s">
        <v>675</v>
      </c>
      <c r="D31" s="465" t="s">
        <v>655</v>
      </c>
      <c r="E31" s="482">
        <v>23795833</v>
      </c>
      <c r="F31" s="464" t="s">
        <v>770</v>
      </c>
    </row>
    <row r="32" spans="1:6" ht="51">
      <c r="A32" s="463"/>
      <c r="B32" s="464" t="s">
        <v>771</v>
      </c>
      <c r="C32" s="481" t="s">
        <v>772</v>
      </c>
      <c r="D32" s="465" t="s">
        <v>655</v>
      </c>
      <c r="E32" s="482">
        <v>19001289</v>
      </c>
      <c r="F32" s="464" t="s">
        <v>773</v>
      </c>
    </row>
    <row r="33" spans="1:6" ht="51">
      <c r="A33" s="463"/>
      <c r="B33" s="468" t="s">
        <v>774</v>
      </c>
      <c r="C33" s="485" t="s">
        <v>671</v>
      </c>
      <c r="D33" s="465" t="s">
        <v>655</v>
      </c>
      <c r="E33" s="486">
        <v>19424998</v>
      </c>
      <c r="F33" s="464" t="s">
        <v>775</v>
      </c>
    </row>
    <row r="34" spans="1:6" ht="38.25" customHeight="1">
      <c r="A34" s="463"/>
      <c r="B34" s="576" t="s">
        <v>776</v>
      </c>
      <c r="C34" s="578" t="s">
        <v>664</v>
      </c>
      <c r="D34" s="573" t="s">
        <v>655</v>
      </c>
      <c r="E34" s="486">
        <f>29381124.12+2987500</f>
        <v>32368624.12</v>
      </c>
      <c r="F34" s="464" t="s">
        <v>777</v>
      </c>
    </row>
    <row r="35" spans="1:6" ht="38.25">
      <c r="A35" s="463"/>
      <c r="B35" s="570"/>
      <c r="C35" s="586"/>
      <c r="D35" s="570"/>
      <c r="E35" s="482">
        <f>16950000+2987500</f>
        <v>19937500</v>
      </c>
      <c r="F35" s="464" t="s">
        <v>665</v>
      </c>
    </row>
    <row r="36" spans="1:6" ht="51">
      <c r="A36" s="488"/>
      <c r="B36" s="464" t="s">
        <v>778</v>
      </c>
      <c r="C36" s="481" t="s">
        <v>779</v>
      </c>
      <c r="D36" s="465" t="s">
        <v>655</v>
      </c>
      <c r="E36" s="482">
        <v>24844177.26</v>
      </c>
      <c r="F36" s="464" t="s">
        <v>780</v>
      </c>
    </row>
    <row r="37" spans="1:6" s="489" customFormat="1" ht="51">
      <c r="A37" s="463"/>
      <c r="B37" s="464" t="s">
        <v>781</v>
      </c>
      <c r="C37" s="481" t="s">
        <v>682</v>
      </c>
      <c r="D37" s="465" t="s">
        <v>655</v>
      </c>
      <c r="E37" s="482">
        <v>10000000</v>
      </c>
      <c r="F37" s="464" t="s">
        <v>782</v>
      </c>
    </row>
    <row r="38" spans="1:6" s="489" customFormat="1" ht="38.25" customHeight="1">
      <c r="A38" s="463"/>
      <c r="B38" s="574" t="s">
        <v>783</v>
      </c>
      <c r="C38" s="575" t="s">
        <v>671</v>
      </c>
      <c r="D38" s="573" t="s">
        <v>655</v>
      </c>
      <c r="E38" s="482">
        <v>10000000</v>
      </c>
      <c r="F38" s="464" t="s">
        <v>672</v>
      </c>
    </row>
    <row r="39" spans="1:6" s="489" customFormat="1" ht="38.25">
      <c r="A39" s="463"/>
      <c r="B39" s="577"/>
      <c r="C39" s="587"/>
      <c r="D39" s="577"/>
      <c r="E39" s="482">
        <v>30000000</v>
      </c>
      <c r="F39" s="464" t="s">
        <v>784</v>
      </c>
    </row>
    <row r="40" spans="1:6" s="13" customFormat="1" ht="51">
      <c r="A40" s="490"/>
      <c r="B40" s="570"/>
      <c r="C40" s="586"/>
      <c r="D40" s="570"/>
      <c r="E40" s="482">
        <v>80627850.25</v>
      </c>
      <c r="F40" s="464" t="s">
        <v>673</v>
      </c>
    </row>
    <row r="41" spans="1:6" s="13" customFormat="1" ht="51">
      <c r="A41" s="490"/>
      <c r="B41" s="464" t="s">
        <v>785</v>
      </c>
      <c r="C41" s="481" t="s">
        <v>684</v>
      </c>
      <c r="D41" s="465" t="s">
        <v>655</v>
      </c>
      <c r="E41" s="482">
        <v>40000000</v>
      </c>
      <c r="F41" s="464" t="s">
        <v>786</v>
      </c>
    </row>
    <row r="42" spans="1:6" s="13" customFormat="1" ht="51">
      <c r="A42" s="490"/>
      <c r="B42" s="464" t="s">
        <v>787</v>
      </c>
      <c r="C42" s="481" t="s">
        <v>678</v>
      </c>
      <c r="D42" s="465" t="s">
        <v>655</v>
      </c>
      <c r="E42" s="482">
        <v>21575384.5</v>
      </c>
      <c r="F42" s="464" t="s">
        <v>788</v>
      </c>
    </row>
    <row r="43" spans="1:6" s="13" customFormat="1" ht="51">
      <c r="A43" s="490"/>
      <c r="B43" s="464" t="s">
        <v>686</v>
      </c>
      <c r="C43" s="481" t="s">
        <v>687</v>
      </c>
      <c r="D43" s="465" t="s">
        <v>655</v>
      </c>
      <c r="E43" s="482">
        <v>19424998</v>
      </c>
      <c r="F43" s="464" t="s">
        <v>688</v>
      </c>
    </row>
    <row r="44" spans="1:6" s="13" customFormat="1" ht="51">
      <c r="A44" s="490"/>
      <c r="B44" s="468" t="s">
        <v>679</v>
      </c>
      <c r="C44" s="485" t="s">
        <v>680</v>
      </c>
      <c r="D44" s="465" t="s">
        <v>655</v>
      </c>
      <c r="E44" s="486">
        <v>201734260.3</v>
      </c>
      <c r="F44" s="468" t="s">
        <v>681</v>
      </c>
    </row>
    <row r="45" spans="1:6" s="13" customFormat="1" ht="51">
      <c r="A45" s="490"/>
      <c r="B45" s="464" t="s">
        <v>789</v>
      </c>
      <c r="C45" s="481" t="s">
        <v>790</v>
      </c>
      <c r="D45" s="465" t="s">
        <v>655</v>
      </c>
      <c r="E45" s="482">
        <v>22547438.61</v>
      </c>
      <c r="F45" s="464" t="s">
        <v>791</v>
      </c>
    </row>
    <row r="46" spans="1:6" s="13" customFormat="1" ht="51">
      <c r="A46" s="490"/>
      <c r="B46" s="484" t="s">
        <v>709</v>
      </c>
      <c r="C46" s="487" t="s">
        <v>710</v>
      </c>
      <c r="D46" s="465" t="s">
        <v>655</v>
      </c>
      <c r="E46" s="483">
        <v>40000000</v>
      </c>
      <c r="F46" s="484" t="s">
        <v>711</v>
      </c>
    </row>
    <row r="47" spans="1:6" s="13" customFormat="1" ht="51">
      <c r="A47" s="490"/>
      <c r="B47" s="464" t="s">
        <v>661</v>
      </c>
      <c r="C47" s="481" t="s">
        <v>662</v>
      </c>
      <c r="D47" s="465" t="s">
        <v>655</v>
      </c>
      <c r="E47" s="482">
        <v>23795833</v>
      </c>
      <c r="F47" s="464" t="s">
        <v>663</v>
      </c>
    </row>
    <row r="48" spans="1:6" s="13" customFormat="1" ht="51">
      <c r="A48" s="490"/>
      <c r="B48" s="464" t="s">
        <v>792</v>
      </c>
      <c r="C48" s="481" t="s">
        <v>656</v>
      </c>
      <c r="D48" s="465" t="s">
        <v>655</v>
      </c>
      <c r="E48" s="482">
        <v>25000000</v>
      </c>
      <c r="F48" s="464" t="s">
        <v>657</v>
      </c>
    </row>
    <row r="49" spans="1:6" s="13" customFormat="1" ht="51">
      <c r="A49" s="490"/>
      <c r="B49" s="484" t="s">
        <v>793</v>
      </c>
      <c r="C49" s="487" t="s">
        <v>794</v>
      </c>
      <c r="D49" s="465" t="s">
        <v>655</v>
      </c>
      <c r="E49" s="491">
        <f>17500000+22547438.61</f>
        <v>40047438.61</v>
      </c>
      <c r="F49" s="484" t="s">
        <v>795</v>
      </c>
    </row>
    <row r="50" spans="1:6" s="13" customFormat="1" ht="51">
      <c r="A50" s="490"/>
      <c r="B50" s="468" t="s">
        <v>694</v>
      </c>
      <c r="C50" s="485" t="s">
        <v>695</v>
      </c>
      <c r="D50" s="465" t="s">
        <v>655</v>
      </c>
      <c r="E50" s="486">
        <v>20000000</v>
      </c>
      <c r="F50" s="468" t="s">
        <v>712</v>
      </c>
    </row>
    <row r="51" spans="1:6" s="13" customFormat="1" ht="25.5" customHeight="1">
      <c r="A51" s="490"/>
      <c r="B51" s="580" t="s">
        <v>796</v>
      </c>
      <c r="C51" s="581" t="s">
        <v>697</v>
      </c>
      <c r="D51" s="573" t="s">
        <v>655</v>
      </c>
      <c r="E51" s="483">
        <v>10000000</v>
      </c>
      <c r="F51" s="484" t="s">
        <v>797</v>
      </c>
    </row>
    <row r="52" spans="1:6" s="13" customFormat="1" ht="38.25">
      <c r="A52" s="490"/>
      <c r="B52" s="570"/>
      <c r="C52" s="582"/>
      <c r="D52" s="570"/>
      <c r="E52" s="483">
        <v>20000000</v>
      </c>
      <c r="F52" s="484" t="s">
        <v>798</v>
      </c>
    </row>
    <row r="53" spans="1:6" s="13" customFormat="1" ht="63.75">
      <c r="A53" s="490"/>
      <c r="B53" s="464" t="s">
        <v>666</v>
      </c>
      <c r="C53" s="481" t="s">
        <v>667</v>
      </c>
      <c r="D53" s="465" t="s">
        <v>655</v>
      </c>
      <c r="E53" s="482">
        <v>20000000</v>
      </c>
      <c r="F53" s="464" t="s">
        <v>668</v>
      </c>
    </row>
    <row r="54" spans="1:6" s="13" customFormat="1" ht="51">
      <c r="A54" s="490"/>
      <c r="B54" s="464" t="s">
        <v>799</v>
      </c>
      <c r="C54" s="481" t="s">
        <v>670</v>
      </c>
      <c r="D54" s="465" t="s">
        <v>655</v>
      </c>
      <c r="E54" s="482">
        <v>25000000</v>
      </c>
      <c r="F54" s="464" t="s">
        <v>800</v>
      </c>
    </row>
    <row r="55" spans="1:6" s="13" customFormat="1" ht="51">
      <c r="A55" s="490"/>
      <c r="B55" s="464" t="s">
        <v>801</v>
      </c>
      <c r="C55" s="481" t="s">
        <v>683</v>
      </c>
      <c r="D55" s="465" t="s">
        <v>655</v>
      </c>
      <c r="E55" s="482">
        <f>16950000+2987500</f>
        <v>19937500</v>
      </c>
      <c r="F55" s="464" t="s">
        <v>802</v>
      </c>
    </row>
    <row r="56" spans="1:6" s="13" customFormat="1" ht="51">
      <c r="A56" s="490"/>
      <c r="B56" s="464" t="s">
        <v>803</v>
      </c>
      <c r="C56" s="481" t="s">
        <v>698</v>
      </c>
      <c r="D56" s="465" t="s">
        <v>655</v>
      </c>
      <c r="E56" s="482">
        <v>23795833</v>
      </c>
      <c r="F56" s="464" t="s">
        <v>804</v>
      </c>
    </row>
    <row r="57" spans="1:6" s="13" customFormat="1" ht="51">
      <c r="A57" s="490"/>
      <c r="B57" s="464" t="s">
        <v>805</v>
      </c>
      <c r="C57" s="481" t="s">
        <v>806</v>
      </c>
      <c r="D57" s="465" t="s">
        <v>655</v>
      </c>
      <c r="E57" s="482">
        <f>20000000+2987500</f>
        <v>22987500</v>
      </c>
      <c r="F57" s="464" t="s">
        <v>807</v>
      </c>
    </row>
    <row r="58" spans="1:6" s="13" customFormat="1" ht="51">
      <c r="A58" s="490"/>
      <c r="B58" s="464" t="s">
        <v>658</v>
      </c>
      <c r="C58" s="481" t="s">
        <v>659</v>
      </c>
      <c r="D58" s="465" t="s">
        <v>655</v>
      </c>
      <c r="E58" s="482">
        <v>19424998</v>
      </c>
      <c r="F58" s="464" t="s">
        <v>660</v>
      </c>
    </row>
    <row r="59" spans="1:6" s="13" customFormat="1" ht="51">
      <c r="A59" s="490"/>
      <c r="B59" s="468" t="s">
        <v>654</v>
      </c>
      <c r="C59" s="485">
        <v>3002084090</v>
      </c>
      <c r="D59" s="465" t="s">
        <v>655</v>
      </c>
      <c r="E59" s="486">
        <v>20000000</v>
      </c>
      <c r="F59" s="468" t="s">
        <v>808</v>
      </c>
    </row>
    <row r="60" spans="1:6" s="13" customFormat="1" ht="51">
      <c r="A60" s="490"/>
      <c r="B60" s="464" t="s">
        <v>676</v>
      </c>
      <c r="C60" s="481" t="s">
        <v>809</v>
      </c>
      <c r="D60" s="465" t="s">
        <v>655</v>
      </c>
      <c r="E60" s="482">
        <v>50000000</v>
      </c>
      <c r="F60" s="464" t="s">
        <v>677</v>
      </c>
    </row>
    <row r="61" spans="1:6" s="13" customFormat="1" ht="318.75">
      <c r="A61" s="490"/>
      <c r="B61" s="464" t="s">
        <v>810</v>
      </c>
      <c r="C61" s="481" t="s">
        <v>811</v>
      </c>
      <c r="D61" s="466" t="s">
        <v>812</v>
      </c>
      <c r="E61" s="492">
        <v>60000000</v>
      </c>
      <c r="F61" s="466" t="s">
        <v>813</v>
      </c>
    </row>
    <row r="62" spans="1:6" s="13" customFormat="1" ht="51">
      <c r="A62" s="490"/>
      <c r="B62" s="484" t="s">
        <v>814</v>
      </c>
      <c r="C62" s="487" t="s">
        <v>682</v>
      </c>
      <c r="D62" s="465" t="s">
        <v>655</v>
      </c>
      <c r="E62" s="483">
        <v>10000000</v>
      </c>
      <c r="F62" s="484" t="s">
        <v>815</v>
      </c>
    </row>
    <row r="63" spans="1:6" ht="51">
      <c r="A63" s="493" t="s">
        <v>715</v>
      </c>
      <c r="B63" s="494" t="s">
        <v>716</v>
      </c>
      <c r="C63" s="467"/>
      <c r="D63" s="461"/>
      <c r="E63" s="462">
        <f>SUM(E64:E81)</f>
        <v>383890710.26</v>
      </c>
      <c r="F63" s="461"/>
    </row>
    <row r="64" spans="1:6" ht="38.25" customHeight="1">
      <c r="A64" s="495"/>
      <c r="B64" s="464" t="s">
        <v>816</v>
      </c>
      <c r="C64" s="481" t="s">
        <v>817</v>
      </c>
      <c r="D64" s="583" t="s">
        <v>717</v>
      </c>
      <c r="E64" s="482">
        <v>50000000</v>
      </c>
      <c r="F64" s="464" t="s">
        <v>818</v>
      </c>
    </row>
    <row r="65" spans="1:6" ht="38.25" customHeight="1">
      <c r="A65" s="495"/>
      <c r="B65" s="464" t="s">
        <v>819</v>
      </c>
      <c r="C65" s="481" t="s">
        <v>697</v>
      </c>
      <c r="D65" s="584"/>
      <c r="E65" s="482">
        <v>50000000</v>
      </c>
      <c r="F65" s="464" t="s">
        <v>820</v>
      </c>
    </row>
    <row r="66" spans="1:6" ht="38.25" customHeight="1">
      <c r="A66" s="495"/>
      <c r="B66" s="464" t="s">
        <v>821</v>
      </c>
      <c r="C66" s="481" t="s">
        <v>822</v>
      </c>
      <c r="D66" s="584"/>
      <c r="E66" s="482">
        <v>22547438.61</v>
      </c>
      <c r="F66" s="464" t="s">
        <v>823</v>
      </c>
    </row>
    <row r="67" spans="1:6" ht="38.25" customHeight="1">
      <c r="A67" s="495"/>
      <c r="B67" s="484" t="s">
        <v>824</v>
      </c>
      <c r="C67" s="487" t="s">
        <v>825</v>
      </c>
      <c r="D67" s="584"/>
      <c r="E67" s="483">
        <v>20000000</v>
      </c>
      <c r="F67" s="484" t="s">
        <v>826</v>
      </c>
    </row>
    <row r="68" spans="1:6" ht="38.25" customHeight="1">
      <c r="A68" s="495"/>
      <c r="B68" s="484" t="s">
        <v>827</v>
      </c>
      <c r="C68" s="487" t="s">
        <v>828</v>
      </c>
      <c r="D68" s="584"/>
      <c r="E68" s="483">
        <v>35000000</v>
      </c>
      <c r="F68" s="484" t="s">
        <v>829</v>
      </c>
    </row>
    <row r="69" spans="1:6" ht="38.25" customHeight="1">
      <c r="A69" s="495"/>
      <c r="B69" s="464" t="s">
        <v>830</v>
      </c>
      <c r="C69" s="481" t="s">
        <v>831</v>
      </c>
      <c r="D69" s="584"/>
      <c r="E69" s="482">
        <v>10000000</v>
      </c>
      <c r="F69" s="464" t="s">
        <v>832</v>
      </c>
    </row>
    <row r="70" spans="1:6" ht="38.25" customHeight="1">
      <c r="A70" s="495"/>
      <c r="B70" s="484" t="s">
        <v>833</v>
      </c>
      <c r="C70" s="487" t="s">
        <v>834</v>
      </c>
      <c r="D70" s="584"/>
      <c r="E70" s="483">
        <v>18000000</v>
      </c>
      <c r="F70" s="484" t="s">
        <v>835</v>
      </c>
    </row>
    <row r="71" spans="1:6" ht="38.25" customHeight="1">
      <c r="A71" s="495"/>
      <c r="B71" s="464" t="s">
        <v>836</v>
      </c>
      <c r="C71" s="481" t="s">
        <v>724</v>
      </c>
      <c r="D71" s="584"/>
      <c r="E71" s="482">
        <v>25000000</v>
      </c>
      <c r="F71" s="464" t="s">
        <v>725</v>
      </c>
    </row>
    <row r="72" spans="1:6" ht="38.25">
      <c r="A72" s="495"/>
      <c r="B72" s="464" t="s">
        <v>837</v>
      </c>
      <c r="C72" s="481" t="s">
        <v>838</v>
      </c>
      <c r="D72" s="584"/>
      <c r="E72" s="482">
        <v>25000000</v>
      </c>
      <c r="F72" s="464" t="s">
        <v>839</v>
      </c>
    </row>
    <row r="73" spans="1:6" ht="38.25">
      <c r="A73" s="495"/>
      <c r="B73" s="484" t="s">
        <v>840</v>
      </c>
      <c r="C73" s="487" t="s">
        <v>841</v>
      </c>
      <c r="D73" s="584"/>
      <c r="E73" s="483">
        <v>10000000</v>
      </c>
      <c r="F73" s="484" t="s">
        <v>842</v>
      </c>
    </row>
    <row r="74" spans="1:6" ht="51">
      <c r="A74" s="495"/>
      <c r="B74" s="464" t="s">
        <v>718</v>
      </c>
      <c r="C74" s="481" t="s">
        <v>719</v>
      </c>
      <c r="D74" s="584"/>
      <c r="E74" s="482">
        <v>15000000</v>
      </c>
      <c r="F74" s="464" t="s">
        <v>720</v>
      </c>
    </row>
    <row r="75" spans="1:6" ht="25.5">
      <c r="A75" s="495"/>
      <c r="B75" s="464" t="s">
        <v>843</v>
      </c>
      <c r="C75" s="481" t="s">
        <v>844</v>
      </c>
      <c r="D75" s="584"/>
      <c r="E75" s="482">
        <v>23795833</v>
      </c>
      <c r="F75" s="464" t="s">
        <v>845</v>
      </c>
    </row>
    <row r="76" spans="1:6" ht="25.5">
      <c r="A76" s="495"/>
      <c r="B76" s="464" t="s">
        <v>846</v>
      </c>
      <c r="C76" s="481" t="s">
        <v>847</v>
      </c>
      <c r="D76" s="584"/>
      <c r="E76" s="482">
        <v>15000000</v>
      </c>
      <c r="F76" s="464" t="s">
        <v>848</v>
      </c>
    </row>
    <row r="77" spans="1:6" ht="38.25">
      <c r="A77" s="495"/>
      <c r="B77" s="464" t="s">
        <v>849</v>
      </c>
      <c r="C77" s="481" t="s">
        <v>850</v>
      </c>
      <c r="D77" s="584"/>
      <c r="E77" s="482">
        <v>10000000</v>
      </c>
      <c r="F77" s="464" t="s">
        <v>851</v>
      </c>
    </row>
    <row r="78" spans="1:6" ht="51">
      <c r="A78" s="495"/>
      <c r="B78" s="484" t="s">
        <v>852</v>
      </c>
      <c r="C78" s="487" t="s">
        <v>853</v>
      </c>
      <c r="D78" s="584"/>
      <c r="E78" s="483">
        <v>10000000</v>
      </c>
      <c r="F78" s="484" t="s">
        <v>854</v>
      </c>
    </row>
    <row r="79" spans="1:6" ht="63.75">
      <c r="A79" s="495"/>
      <c r="B79" s="464" t="s">
        <v>721</v>
      </c>
      <c r="C79" s="481" t="s">
        <v>722</v>
      </c>
      <c r="D79" s="584"/>
      <c r="E79" s="482">
        <v>22547438.65</v>
      </c>
      <c r="F79" s="464" t="s">
        <v>723</v>
      </c>
    </row>
    <row r="80" spans="1:6" ht="25.5">
      <c r="A80" s="495"/>
      <c r="B80" s="464" t="s">
        <v>855</v>
      </c>
      <c r="C80" s="481" t="s">
        <v>856</v>
      </c>
      <c r="D80" s="585"/>
      <c r="E80" s="482">
        <v>22000000</v>
      </c>
      <c r="F80" s="464" t="s">
        <v>857</v>
      </c>
    </row>
    <row r="81" spans="1:6" ht="12.75">
      <c r="A81" s="495"/>
      <c r="B81" s="496"/>
      <c r="C81" s="497"/>
      <c r="D81" s="498"/>
      <c r="E81" s="499"/>
      <c r="F81" s="496"/>
    </row>
    <row r="82" spans="1:6" ht="12.75">
      <c r="A82" s="500"/>
      <c r="B82" s="501" t="s">
        <v>6</v>
      </c>
      <c r="C82" s="502"/>
      <c r="D82" s="502"/>
      <c r="E82" s="503">
        <f>SUM(E63+E8)</f>
        <v>1867850760.63</v>
      </c>
      <c r="F82" s="503"/>
    </row>
    <row r="83" spans="1:6" ht="12.75">
      <c r="A83" s="323" t="s">
        <v>726</v>
      </c>
      <c r="B83" s="194"/>
      <c r="C83" s="194"/>
      <c r="D83" s="194"/>
      <c r="E83" s="469"/>
      <c r="F83" s="470"/>
    </row>
    <row r="84" spans="1:6" ht="12.75">
      <c r="A84" s="323" t="s">
        <v>858</v>
      </c>
      <c r="B84" s="194"/>
      <c r="C84" s="194"/>
      <c r="D84" s="194"/>
      <c r="E84" s="469"/>
      <c r="F84" s="470"/>
    </row>
  </sheetData>
  <sheetProtection/>
  <mergeCells count="23">
    <mergeCell ref="B51:B52"/>
    <mergeCell ref="C51:C52"/>
    <mergeCell ref="D51:D52"/>
    <mergeCell ref="D64:D80"/>
    <mergeCell ref="B34:B35"/>
    <mergeCell ref="C34:C35"/>
    <mergeCell ref="D34:D35"/>
    <mergeCell ref="B38:B40"/>
    <mergeCell ref="C38:C40"/>
    <mergeCell ref="D38:D40"/>
    <mergeCell ref="B16:B17"/>
    <mergeCell ref="C16:C17"/>
    <mergeCell ref="D16:D17"/>
    <mergeCell ref="B24:B26"/>
    <mergeCell ref="C24:C26"/>
    <mergeCell ref="D24:D26"/>
    <mergeCell ref="A1:F1"/>
    <mergeCell ref="A2:F2"/>
    <mergeCell ref="A3:F3"/>
    <mergeCell ref="A4:F4"/>
    <mergeCell ref="B14:B15"/>
    <mergeCell ref="C14:C15"/>
    <mergeCell ref="D14:D15"/>
  </mergeCells>
  <printOptions horizontalCentered="1" verticalCentered="1"/>
  <pageMargins left="0.11811023622047245" right="0.11811023622047245" top="0" bottom="0.1968503937007874" header="0.31496062992125984" footer="0.31496062992125984"/>
  <pageSetup horizontalDpi="300" verticalDpi="300" orientation="portrait" scale="7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MUNICIPALIDAD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dc:creator>
  <cp:keywords/>
  <dc:description/>
  <cp:lastModifiedBy>ana.alvarado</cp:lastModifiedBy>
  <cp:lastPrinted>2011-02-16T20:19:23Z</cp:lastPrinted>
  <dcterms:created xsi:type="dcterms:W3CDTF">2005-09-19T16:57:18Z</dcterms:created>
  <dcterms:modified xsi:type="dcterms:W3CDTF">2018-12-13T18:46:07Z</dcterms:modified>
  <cp:category/>
  <cp:version/>
  <cp:contentType/>
  <cp:contentStatus/>
</cp:coreProperties>
</file>