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E:\ANA MARIA\respaldo Ana Maria\PUBLICACION PAGINA\2021\"/>
    </mc:Choice>
  </mc:AlternateContent>
  <xr:revisionPtr revIDLastSave="0" documentId="8_{6DBCD9CD-4EA5-4B3C-BA32-248238CBD47E}" xr6:coauthVersionLast="47" xr6:coauthVersionMax="47" xr10:uidLastSave="{00000000-0000-0000-0000-000000000000}"/>
  <bookViews>
    <workbookView xWindow="57480" yWindow="-120" windowWidth="29040" windowHeight="15840" activeTab="6" xr2:uid="{00000000-000D-0000-FFFF-FFFF00000000}"/>
  </bookViews>
  <sheets>
    <sheet name=" 1_Liquidación" sheetId="2" r:id="rId1"/>
    <sheet name="2_Morosidad" sheetId="3" r:id="rId2"/>
    <sheet name="3_Detalle de origen y aplicació" sheetId="4" r:id="rId3"/>
    <sheet name="Hoja1" sheetId="8" state="hidden" r:id="rId4"/>
    <sheet name="4_OyA Transferencias Gob Cent" sheetId="5" r:id="rId5"/>
    <sheet name="Formulario 4-Compromisos" sheetId="9" r:id="rId6"/>
    <sheet name="Formulario 5-Compromisos" sheetId="10" r:id="rId7"/>
  </sheets>
  <externalReferences>
    <externalReference r:id="rId8"/>
    <externalReference r:id="rId9"/>
    <externalReference r:id="rId10"/>
    <externalReference r:id="rId11"/>
    <externalReference r:id="rId12"/>
  </externalReferences>
  <definedNames>
    <definedName name="_xlnm._FilterDatabase" localSheetId="2" hidden="1">'3_Detalle de origen y aplicació'!$A$9:$N$772</definedName>
    <definedName name="Anexo_8_Endeudamiento">#REF!</definedName>
    <definedName name="_xlnm.Print_Area" localSheetId="2">'3_Detalle de origen y aplicació'!$A$1:$P$798</definedName>
    <definedName name="_xlnm.Print_Area" localSheetId="4">'4_OyA Transferencias Gob Cent'!$A$1:$R$26</definedName>
    <definedName name="LIQ">#REF!</definedName>
    <definedName name="_xlnm.Print_Titles" localSheetId="2">'3_Detalle de origen y aplicació'!$1:$10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 roundtripDataSignature="AMtx7mgY505vQuKSYgV12v6fOe8kxn0DSQ=="/>
    </ext>
  </extLst>
</workbook>
</file>

<file path=xl/calcChain.xml><?xml version="1.0" encoding="utf-8"?>
<calcChain xmlns="http://schemas.openxmlformats.org/spreadsheetml/2006/main">
  <c r="K383" i="4" l="1"/>
  <c r="A3" i="10" l="1"/>
  <c r="E10" i="10"/>
  <c r="F10" i="10" s="1"/>
  <c r="E11" i="10"/>
  <c r="E20" i="10" s="1"/>
  <c r="E12" i="10"/>
  <c r="F12" i="10" s="1"/>
  <c r="E13" i="10"/>
  <c r="F13" i="10" s="1"/>
  <c r="E14" i="10"/>
  <c r="F14" i="10"/>
  <c r="E15" i="10"/>
  <c r="F15" i="10" s="1"/>
  <c r="E16" i="10"/>
  <c r="F16" i="10" s="1"/>
  <c r="E17" i="10"/>
  <c r="F17" i="10" s="1"/>
  <c r="E18" i="10"/>
  <c r="F18" i="10"/>
  <c r="E19" i="10"/>
  <c r="F19" i="10" s="1"/>
  <c r="B20" i="10"/>
  <c r="C20" i="10"/>
  <c r="D20" i="10"/>
  <c r="E21" i="10"/>
  <c r="E25" i="10"/>
  <c r="F25" i="10"/>
  <c r="E26" i="10"/>
  <c r="F26" i="10"/>
  <c r="E27" i="10"/>
  <c r="F27" i="10"/>
  <c r="E28" i="10"/>
  <c r="F28" i="10" s="1"/>
  <c r="E29" i="10"/>
  <c r="F29" i="10"/>
  <c r="E30" i="10"/>
  <c r="F30" i="10"/>
  <c r="E31" i="10"/>
  <c r="F31" i="10"/>
  <c r="E32" i="10"/>
  <c r="F32" i="10" s="1"/>
  <c r="E33" i="10"/>
  <c r="F33" i="10"/>
  <c r="E34" i="10"/>
  <c r="F34" i="10"/>
  <c r="B35" i="10"/>
  <c r="C35" i="10"/>
  <c r="D35" i="10"/>
  <c r="E36" i="10"/>
  <c r="E40" i="10"/>
  <c r="F40" i="10"/>
  <c r="E41" i="10"/>
  <c r="F41" i="10"/>
  <c r="E42" i="10"/>
  <c r="E50" i="10" s="1"/>
  <c r="F42" i="10"/>
  <c r="E43" i="10"/>
  <c r="F43" i="10" s="1"/>
  <c r="E44" i="10"/>
  <c r="F44" i="10"/>
  <c r="E45" i="10"/>
  <c r="F45" i="10"/>
  <c r="E46" i="10"/>
  <c r="F46" i="10"/>
  <c r="E47" i="10"/>
  <c r="F47" i="10" s="1"/>
  <c r="E48" i="10"/>
  <c r="F48" i="10"/>
  <c r="E49" i="10"/>
  <c r="F49" i="10"/>
  <c r="B50" i="10"/>
  <c r="C50" i="10"/>
  <c r="D50" i="10"/>
  <c r="E51" i="10"/>
  <c r="E55" i="10"/>
  <c r="E65" i="10" s="1"/>
  <c r="E56" i="10"/>
  <c r="F56" i="10" s="1"/>
  <c r="E57" i="10"/>
  <c r="F57" i="10" s="1"/>
  <c r="E58" i="10"/>
  <c r="F58" i="10"/>
  <c r="E59" i="10"/>
  <c r="F59" i="10" s="1"/>
  <c r="E60" i="10"/>
  <c r="F60" i="10" s="1"/>
  <c r="E61" i="10"/>
  <c r="F61" i="10" s="1"/>
  <c r="E62" i="10"/>
  <c r="F62" i="10"/>
  <c r="E63" i="10"/>
  <c r="F63" i="10" s="1"/>
  <c r="E64" i="10"/>
  <c r="F64" i="10" s="1"/>
  <c r="B65" i="10"/>
  <c r="C65" i="10"/>
  <c r="D65" i="10"/>
  <c r="E66" i="10"/>
  <c r="B10" i="9"/>
  <c r="C10" i="9"/>
  <c r="E10" i="9" s="1"/>
  <c r="F10" i="9" s="1"/>
  <c r="D10" i="9"/>
  <c r="B11" i="9"/>
  <c r="C11" i="9"/>
  <c r="D11" i="9"/>
  <c r="E11" i="9" s="1"/>
  <c r="B12" i="9"/>
  <c r="C12" i="9"/>
  <c r="D12" i="9"/>
  <c r="E12" i="9" s="1"/>
  <c r="F12" i="9" s="1"/>
  <c r="B13" i="9"/>
  <c r="C13" i="9"/>
  <c r="E13" i="9" s="1"/>
  <c r="D13" i="9"/>
  <c r="B14" i="9"/>
  <c r="C14" i="9"/>
  <c r="E14" i="9" s="1"/>
  <c r="D14" i="9"/>
  <c r="B15" i="9"/>
  <c r="C15" i="9"/>
  <c r="D15" i="9"/>
  <c r="E15" i="9" s="1"/>
  <c r="F15" i="9" s="1"/>
  <c r="B16" i="9"/>
  <c r="C16" i="9"/>
  <c r="D16" i="9"/>
  <c r="B17" i="9"/>
  <c r="C17" i="9"/>
  <c r="D17" i="9"/>
  <c r="B18" i="9"/>
  <c r="C18" i="9"/>
  <c r="E18" i="9" s="1"/>
  <c r="F18" i="9" s="1"/>
  <c r="D18" i="9"/>
  <c r="B19" i="9"/>
  <c r="C19" i="9"/>
  <c r="E19" i="9" s="1"/>
  <c r="D19" i="9"/>
  <c r="F20" i="10" l="1"/>
  <c r="E35" i="10"/>
  <c r="E17" i="9"/>
  <c r="F55" i="10"/>
  <c r="F65" i="10" s="1"/>
  <c r="F11" i="10"/>
  <c r="F50" i="10"/>
  <c r="F35" i="10"/>
  <c r="E16" i="9"/>
  <c r="F16" i="9" s="1"/>
  <c r="F13" i="9"/>
  <c r="B20" i="9"/>
  <c r="F17" i="9"/>
  <c r="F19" i="9"/>
  <c r="F14" i="9"/>
  <c r="E20" i="9"/>
  <c r="C20" i="9"/>
  <c r="D20" i="9"/>
  <c r="F11" i="9"/>
  <c r="F20" i="9" s="1"/>
  <c r="D13" i="2" l="1"/>
  <c r="D22" i="2" s="1"/>
  <c r="D18" i="2"/>
  <c r="D15" i="2"/>
  <c r="D19" i="2"/>
  <c r="D16" i="2"/>
  <c r="I784" i="4" l="1"/>
  <c r="E784" i="4"/>
  <c r="E791" i="4"/>
  <c r="D363" i="4" l="1"/>
  <c r="N359" i="4"/>
  <c r="M359" i="4"/>
  <c r="L359" i="4"/>
  <c r="K359" i="4"/>
  <c r="J359" i="4"/>
  <c r="I359" i="4"/>
  <c r="L24" i="5" l="1"/>
  <c r="M24" i="5"/>
  <c r="N24" i="5"/>
  <c r="P24" i="5"/>
  <c r="K24" i="5"/>
  <c r="P20" i="5"/>
  <c r="O20" i="5"/>
  <c r="N20" i="5"/>
  <c r="M20" i="5"/>
  <c r="L20" i="5"/>
  <c r="K20" i="5"/>
  <c r="L18" i="5"/>
  <c r="M18" i="5"/>
  <c r="N18" i="5"/>
  <c r="O18" i="5"/>
  <c r="P18" i="5"/>
  <c r="K18" i="5"/>
  <c r="O23" i="5"/>
  <c r="O22" i="5"/>
  <c r="O21" i="5"/>
  <c r="O24" i="5" s="1"/>
  <c r="O19" i="5"/>
  <c r="O17" i="5"/>
  <c r="K16" i="5"/>
  <c r="L16" i="5"/>
  <c r="M16" i="5"/>
  <c r="N16" i="5"/>
  <c r="P16" i="5"/>
  <c r="O11" i="5"/>
  <c r="O12" i="5"/>
  <c r="O13" i="5"/>
  <c r="O14" i="5"/>
  <c r="O15" i="5"/>
  <c r="O10" i="5"/>
  <c r="O16" i="5" l="1"/>
  <c r="K665" i="4" l="1"/>
  <c r="J677" i="4" l="1"/>
  <c r="K69" i="4"/>
  <c r="K735" i="4"/>
  <c r="K734" i="4"/>
  <c r="J154" i="4"/>
  <c r="J347" i="4"/>
  <c r="E258" i="4" l="1"/>
  <c r="E362" i="4" s="1"/>
  <c r="D362" i="4"/>
  <c r="J259" i="4"/>
  <c r="J258" i="4" s="1"/>
  <c r="M258" i="4"/>
  <c r="L258" i="4"/>
  <c r="K258" i="4"/>
  <c r="I258" i="4"/>
  <c r="N260" i="4" l="1"/>
  <c r="N258" i="4" s="1"/>
  <c r="I279" i="4" l="1"/>
  <c r="N284" i="4" s="1"/>
  <c r="N288" i="4" s="1"/>
  <c r="N283" i="4"/>
  <c r="N779" i="4" s="1"/>
  <c r="I120" i="4"/>
  <c r="N120" i="4" s="1"/>
  <c r="K555" i="4"/>
  <c r="N656" i="4"/>
  <c r="N654" i="4"/>
  <c r="N74" i="4"/>
  <c r="N76" i="4"/>
  <c r="N160" i="4"/>
  <c r="N241" i="4"/>
  <c r="N197" i="4"/>
  <c r="N784" i="4" l="1"/>
  <c r="N788" i="4"/>
  <c r="N791" i="4" s="1"/>
  <c r="I366" i="4"/>
  <c r="N169" i="4" l="1"/>
  <c r="N168" i="4"/>
  <c r="N167" i="4"/>
  <c r="N224" i="4"/>
  <c r="I17" i="4" l="1"/>
  <c r="C31" i="3" l="1"/>
  <c r="B31" i="3"/>
  <c r="I681" i="4" l="1"/>
  <c r="K646" i="4"/>
  <c r="J3" i="8"/>
  <c r="N646" i="4"/>
  <c r="H27" i="8" l="1"/>
  <c r="H26" i="8"/>
  <c r="H20" i="8"/>
  <c r="H18" i="8"/>
  <c r="H14" i="8"/>
  <c r="H11" i="8"/>
  <c r="H9" i="8"/>
  <c r="H8" i="8"/>
  <c r="H7" i="8"/>
  <c r="H5" i="8"/>
  <c r="H4" i="8"/>
  <c r="H3" i="8"/>
  <c r="H2" i="8"/>
  <c r="F15" i="8"/>
  <c r="F32" i="8"/>
  <c r="F31" i="8"/>
  <c r="F30" i="8"/>
  <c r="F29" i="8"/>
  <c r="F28" i="8"/>
  <c r="F27" i="8"/>
  <c r="F26" i="8"/>
  <c r="F25" i="8"/>
  <c r="F24" i="8"/>
  <c r="F23" i="8"/>
  <c r="F22" i="8"/>
  <c r="F14" i="8"/>
  <c r="F12" i="8"/>
  <c r="F8" i="8"/>
  <c r="F10" i="8"/>
  <c r="F7" i="8"/>
  <c r="F6" i="8"/>
  <c r="D18" i="8"/>
  <c r="D17" i="8"/>
  <c r="D16" i="8"/>
  <c r="D15" i="8"/>
  <c r="D6" i="8"/>
  <c r="D5" i="8"/>
  <c r="B36" i="8"/>
  <c r="B35" i="8"/>
  <c r="B34" i="8"/>
  <c r="B33" i="8"/>
  <c r="B32" i="8"/>
  <c r="B28" i="8"/>
  <c r="B25" i="8"/>
  <c r="B23" i="8"/>
  <c r="B21" i="8"/>
  <c r="B20" i="8"/>
  <c r="B18" i="8"/>
  <c r="B15" i="8"/>
  <c r="B12" i="8"/>
  <c r="B9" i="8"/>
  <c r="B8" i="8"/>
  <c r="B7" i="8"/>
  <c r="B6" i="8"/>
  <c r="B2" i="8"/>
  <c r="L743" i="4"/>
  <c r="M743" i="4"/>
  <c r="I177" i="4"/>
  <c r="I170" i="4"/>
  <c r="I744" i="4" l="1"/>
  <c r="J744" i="4" s="1"/>
  <c r="I22" i="4"/>
  <c r="I745" i="4"/>
  <c r="J745" i="4" s="1"/>
  <c r="I746" i="4"/>
  <c r="K746" i="4" s="1"/>
  <c r="K743" i="4" s="1"/>
  <c r="J177" i="4"/>
  <c r="I176" i="4"/>
  <c r="J743" i="4" l="1"/>
  <c r="I203" i="4" l="1"/>
  <c r="N203" i="4" s="1"/>
  <c r="I198" i="4" l="1"/>
  <c r="N198" i="4" s="1"/>
  <c r="K765" i="4"/>
  <c r="K761" i="4"/>
  <c r="J759" i="4"/>
  <c r="L758" i="4"/>
  <c r="M758" i="4"/>
  <c r="N765" i="4"/>
  <c r="I760" i="4"/>
  <c r="N760" i="4" s="1"/>
  <c r="N763" i="4"/>
  <c r="N759" i="4"/>
  <c r="D758" i="4"/>
  <c r="I189" i="4"/>
  <c r="N753" i="4"/>
  <c r="K755" i="4"/>
  <c r="K753" i="4"/>
  <c r="J752" i="4"/>
  <c r="J751" i="4"/>
  <c r="J749" i="4"/>
  <c r="I190" i="4"/>
  <c r="I183" i="4"/>
  <c r="L748" i="4"/>
  <c r="M748" i="4"/>
  <c r="D748" i="4"/>
  <c r="N756" i="4" s="1"/>
  <c r="I743" i="4"/>
  <c r="N746" i="4"/>
  <c r="N745" i="4"/>
  <c r="N744" i="4"/>
  <c r="K740" i="4"/>
  <c r="K736" i="4"/>
  <c r="J732" i="4"/>
  <c r="K731" i="4"/>
  <c r="N738" i="4"/>
  <c r="N736" i="4"/>
  <c r="O738" i="4"/>
  <c r="I159" i="4"/>
  <c r="N159" i="4" s="1"/>
  <c r="I158" i="4"/>
  <c r="N158" i="4" s="1"/>
  <c r="I155" i="4"/>
  <c r="I208" i="4"/>
  <c r="N740" i="4"/>
  <c r="N735" i="4"/>
  <c r="N734" i="4"/>
  <c r="N732" i="4"/>
  <c r="N731" i="4"/>
  <c r="L730" i="4"/>
  <c r="M730" i="4"/>
  <c r="D730" i="4"/>
  <c r="I727" i="4"/>
  <c r="I244" i="4" s="1"/>
  <c r="N244" i="4" s="1"/>
  <c r="L724" i="4"/>
  <c r="M724" i="4"/>
  <c r="N245" i="4"/>
  <c r="N726" i="4"/>
  <c r="J726" i="4"/>
  <c r="I243" i="4"/>
  <c r="N728" i="4"/>
  <c r="I725" i="4"/>
  <c r="J725" i="4" s="1"/>
  <c r="N719" i="4"/>
  <c r="J721" i="4"/>
  <c r="K719" i="4"/>
  <c r="J717" i="4"/>
  <c r="N721" i="4"/>
  <c r="I218" i="4"/>
  <c r="N218" i="4" s="1"/>
  <c r="J760" i="4" l="1"/>
  <c r="J758" i="4" s="1"/>
  <c r="I199" i="4"/>
  <c r="N199" i="4" s="1"/>
  <c r="I242" i="4"/>
  <c r="N242" i="4" s="1"/>
  <c r="N725" i="4"/>
  <c r="F3" i="8"/>
  <c r="I748" i="4"/>
  <c r="F4" i="8"/>
  <c r="I758" i="4"/>
  <c r="K758" i="4"/>
  <c r="N743" i="4"/>
  <c r="K748" i="4"/>
  <c r="N727" i="4"/>
  <c r="N761" i="4"/>
  <c r="N758" i="4" s="1"/>
  <c r="N748" i="4"/>
  <c r="J748" i="4"/>
  <c r="K730" i="4"/>
  <c r="J730" i="4"/>
  <c r="J724" i="4"/>
  <c r="N730" i="4"/>
  <c r="I730" i="4"/>
  <c r="K727" i="4"/>
  <c r="K724" i="4" s="1"/>
  <c r="K716" i="4"/>
  <c r="L716" i="4"/>
  <c r="M716" i="4"/>
  <c r="I718" i="4"/>
  <c r="D716" i="4"/>
  <c r="L709" i="4"/>
  <c r="M709" i="4"/>
  <c r="N714" i="4"/>
  <c r="N709" i="4" s="1"/>
  <c r="K713" i="4"/>
  <c r="K709" i="4" s="1"/>
  <c r="J710" i="4"/>
  <c r="I230" i="4"/>
  <c r="I712" i="4"/>
  <c r="J712" i="4" s="1"/>
  <c r="I711" i="4"/>
  <c r="J711" i="4" s="1"/>
  <c r="K707" i="4"/>
  <c r="K706" i="4" s="1"/>
  <c r="N706" i="4"/>
  <c r="M706" i="4"/>
  <c r="L706" i="4"/>
  <c r="J706" i="4"/>
  <c r="I706" i="4"/>
  <c r="N703" i="4"/>
  <c r="M703" i="4"/>
  <c r="L703" i="4"/>
  <c r="K703" i="4"/>
  <c r="J703" i="4"/>
  <c r="I703" i="4"/>
  <c r="N700" i="4"/>
  <c r="M700" i="4"/>
  <c r="L700" i="4"/>
  <c r="K700" i="4"/>
  <c r="J700" i="4"/>
  <c r="I700" i="4"/>
  <c r="N697" i="4"/>
  <c r="M697" i="4"/>
  <c r="L697" i="4"/>
  <c r="K697" i="4"/>
  <c r="J697" i="4"/>
  <c r="I697" i="4"/>
  <c r="N694" i="4"/>
  <c r="M694" i="4"/>
  <c r="L694" i="4"/>
  <c r="K694" i="4"/>
  <c r="J694" i="4"/>
  <c r="I694" i="4"/>
  <c r="M691" i="4"/>
  <c r="L691" i="4"/>
  <c r="K691" i="4"/>
  <c r="J691" i="4"/>
  <c r="I691" i="4"/>
  <c r="E691" i="4"/>
  <c r="N688" i="4"/>
  <c r="M688" i="4"/>
  <c r="L688" i="4"/>
  <c r="K688" i="4"/>
  <c r="J688" i="4"/>
  <c r="I688" i="4"/>
  <c r="J685" i="4"/>
  <c r="L685" i="4"/>
  <c r="M685" i="4"/>
  <c r="N685" i="4"/>
  <c r="I685" i="4"/>
  <c r="K686" i="4"/>
  <c r="K685" i="4" s="1"/>
  <c r="N430" i="4"/>
  <c r="N464" i="4"/>
  <c r="I574" i="4"/>
  <c r="J430" i="4"/>
  <c r="N370" i="4"/>
  <c r="J78" i="4"/>
  <c r="L514" i="4"/>
  <c r="M514" i="4"/>
  <c r="K681" i="4"/>
  <c r="K679" i="4"/>
  <c r="K673" i="4"/>
  <c r="K667" i="4"/>
  <c r="K656" i="4"/>
  <c r="K652" i="4"/>
  <c r="K648" i="4"/>
  <c r="K644" i="4"/>
  <c r="K640" i="4"/>
  <c r="J639" i="4"/>
  <c r="J634" i="4"/>
  <c r="K631" i="4"/>
  <c r="K629" i="4"/>
  <c r="K625" i="4"/>
  <c r="K623" i="4"/>
  <c r="K621" i="4"/>
  <c r="K619" i="4"/>
  <c r="K617" i="4"/>
  <c r="K609" i="4"/>
  <c r="K605" i="4"/>
  <c r="K603" i="4"/>
  <c r="K601" i="4"/>
  <c r="J572" i="4"/>
  <c r="J599" i="4"/>
  <c r="K597" i="4"/>
  <c r="K595" i="4"/>
  <c r="K578" i="4"/>
  <c r="K576" i="4"/>
  <c r="K569" i="4"/>
  <c r="K567" i="4"/>
  <c r="K565" i="4"/>
  <c r="K563" i="4"/>
  <c r="K561" i="4"/>
  <c r="K559" i="4"/>
  <c r="K557" i="4"/>
  <c r="K553" i="4"/>
  <c r="K551" i="4"/>
  <c r="K549" i="4"/>
  <c r="K547" i="4"/>
  <c r="K545" i="4"/>
  <c r="K543" i="4"/>
  <c r="K541" i="4"/>
  <c r="K539" i="4"/>
  <c r="K537" i="4"/>
  <c r="J527" i="4"/>
  <c r="J525" i="4"/>
  <c r="K516" i="4"/>
  <c r="I431" i="4"/>
  <c r="K431" i="4" s="1"/>
  <c r="N572" i="4"/>
  <c r="J511" i="4"/>
  <c r="L511" i="4"/>
  <c r="M511" i="4"/>
  <c r="I512" i="4"/>
  <c r="D511" i="4"/>
  <c r="E511" i="4" s="1"/>
  <c r="K574" i="4" l="1"/>
  <c r="N724" i="4"/>
  <c r="N681" i="4"/>
  <c r="F33" i="8"/>
  <c r="F35" i="8" s="1"/>
  <c r="I511" i="4"/>
  <c r="K512" i="4"/>
  <c r="K511" i="4" s="1"/>
  <c r="I231" i="4"/>
  <c r="I716" i="4"/>
  <c r="J718" i="4"/>
  <c r="J716" i="4" s="1"/>
  <c r="I219" i="4"/>
  <c r="J709" i="4"/>
  <c r="N692" i="4"/>
  <c r="N691" i="4" s="1"/>
  <c r="I709" i="4"/>
  <c r="I232" i="4"/>
  <c r="N512" i="4"/>
  <c r="K509" i="4"/>
  <c r="K506" i="4"/>
  <c r="E505" i="4"/>
  <c r="L505" i="4"/>
  <c r="M505" i="4"/>
  <c r="N506" i="4"/>
  <c r="I505" i="4"/>
  <c r="D505" i="4"/>
  <c r="K502" i="4"/>
  <c r="K501" i="4" s="1"/>
  <c r="J501" i="4"/>
  <c r="L501" i="4"/>
  <c r="M501" i="4"/>
  <c r="I501" i="4"/>
  <c r="N502" i="4"/>
  <c r="N501" i="4" s="1"/>
  <c r="K505" i="4" l="1"/>
  <c r="N511" i="4"/>
  <c r="N505" i="4"/>
  <c r="J505" i="4"/>
  <c r="I498" i="4"/>
  <c r="N498" i="4"/>
  <c r="M498" i="4"/>
  <c r="L498" i="4"/>
  <c r="K498" i="4"/>
  <c r="J496" i="4"/>
  <c r="J495" i="4" s="1"/>
  <c r="N495" i="4"/>
  <c r="M495" i="4"/>
  <c r="L495" i="4"/>
  <c r="K495" i="4"/>
  <c r="I495" i="4"/>
  <c r="J499" i="4" l="1"/>
  <c r="J498" i="4" s="1"/>
  <c r="J493" i="4"/>
  <c r="J492" i="4" s="1"/>
  <c r="N492" i="4"/>
  <c r="M492" i="4"/>
  <c r="L492" i="4"/>
  <c r="K492" i="4"/>
  <c r="I492" i="4"/>
  <c r="J490" i="4"/>
  <c r="J489" i="4" s="1"/>
  <c r="N489" i="4"/>
  <c r="M489" i="4"/>
  <c r="L489" i="4"/>
  <c r="K489" i="4"/>
  <c r="I489" i="4"/>
  <c r="N130" i="4"/>
  <c r="J487" i="4"/>
  <c r="J486" i="4" s="1"/>
  <c r="N486" i="4"/>
  <c r="M486" i="4"/>
  <c r="L486" i="4"/>
  <c r="K486" i="4"/>
  <c r="I486" i="4"/>
  <c r="K483" i="4"/>
  <c r="K482" i="4" s="1"/>
  <c r="J482" i="4"/>
  <c r="L482" i="4"/>
  <c r="M482" i="4"/>
  <c r="N482" i="4"/>
  <c r="I482" i="4"/>
  <c r="N15" i="4"/>
  <c r="N93" i="4"/>
  <c r="N94" i="4"/>
  <c r="N479" i="4" l="1"/>
  <c r="M479" i="4"/>
  <c r="L479" i="4"/>
  <c r="I479" i="4"/>
  <c r="J480" i="4"/>
  <c r="K479" i="4" s="1"/>
  <c r="N476" i="4"/>
  <c r="M476" i="4"/>
  <c r="L476" i="4"/>
  <c r="I476" i="4"/>
  <c r="J477" i="4"/>
  <c r="J476" i="4" s="1"/>
  <c r="J471" i="4"/>
  <c r="J470" i="4" s="1"/>
  <c r="N473" i="4"/>
  <c r="M473" i="4"/>
  <c r="L473" i="4"/>
  <c r="K473" i="4"/>
  <c r="J473" i="4"/>
  <c r="I473" i="4"/>
  <c r="N470" i="4"/>
  <c r="M470" i="4"/>
  <c r="L470" i="4"/>
  <c r="K470" i="4"/>
  <c r="I470" i="4"/>
  <c r="J479" i="4" l="1"/>
  <c r="K476" i="4"/>
  <c r="J467" i="4" l="1"/>
  <c r="K467" i="4"/>
  <c r="L467" i="4"/>
  <c r="L771" i="4" s="1"/>
  <c r="M467" i="4"/>
  <c r="M771" i="4" s="1"/>
  <c r="N467" i="4"/>
  <c r="I467" i="4"/>
  <c r="N416" i="4" l="1"/>
  <c r="N373" i="4"/>
  <c r="L369" i="4"/>
  <c r="L770" i="4" s="1"/>
  <c r="L772" i="4" s="1"/>
  <c r="M369" i="4"/>
  <c r="M770" i="4" s="1"/>
  <c r="M772" i="4" s="1"/>
  <c r="E369" i="4"/>
  <c r="K428" i="4"/>
  <c r="K464" i="4"/>
  <c r="K463" i="4"/>
  <c r="N463" i="4"/>
  <c r="K461" i="4"/>
  <c r="K459" i="4"/>
  <c r="N459" i="4"/>
  <c r="K455" i="4"/>
  <c r="N433" i="4"/>
  <c r="K437" i="4"/>
  <c r="K438" i="4"/>
  <c r="K439" i="4"/>
  <c r="K441" i="4"/>
  <c r="K443" i="4"/>
  <c r="K445" i="4"/>
  <c r="K447" i="4"/>
  <c r="K433" i="4"/>
  <c r="N426" i="4"/>
  <c r="K420" i="4"/>
  <c r="K422" i="4"/>
  <c r="K424" i="4"/>
  <c r="K426" i="4"/>
  <c r="K418" i="4"/>
  <c r="K416" i="4"/>
  <c r="K414" i="4"/>
  <c r="K404" i="4"/>
  <c r="K398" i="4"/>
  <c r="K392" i="4"/>
  <c r="K390" i="4"/>
  <c r="K388" i="4"/>
  <c r="K386" i="4"/>
  <c r="K379" i="4"/>
  <c r="J377" i="4"/>
  <c r="J378" i="4"/>
  <c r="K373" i="4"/>
  <c r="J370" i="4"/>
  <c r="I376" i="4"/>
  <c r="J449" i="4"/>
  <c r="I384" i="4"/>
  <c r="K128" i="4"/>
  <c r="O369" i="4"/>
  <c r="I435" i="4"/>
  <c r="I400" i="4"/>
  <c r="G443" i="4"/>
  <c r="D369" i="4"/>
  <c r="L163" i="4"/>
  <c r="M163" i="4"/>
  <c r="K91" i="4"/>
  <c r="L91" i="4"/>
  <c r="M91" i="4"/>
  <c r="I91" i="4"/>
  <c r="K400" i="4" l="1"/>
  <c r="B16" i="8"/>
  <c r="K435" i="4"/>
  <c r="D7" i="8"/>
  <c r="E770" i="4"/>
  <c r="E792" i="4" s="1"/>
  <c r="K384" i="4"/>
  <c r="J376" i="4"/>
  <c r="N465" i="4"/>
  <c r="K64" i="4" l="1"/>
  <c r="K65" i="4"/>
  <c r="K63" i="4"/>
  <c r="K278" i="4"/>
  <c r="L278" i="4"/>
  <c r="M278" i="4"/>
  <c r="J241" i="4"/>
  <c r="K34" i="4"/>
  <c r="K82" i="4"/>
  <c r="K122" i="4"/>
  <c r="K210" i="4"/>
  <c r="K207" i="4" s="1"/>
  <c r="K244" i="4"/>
  <c r="J19" i="4"/>
  <c r="J23" i="4"/>
  <c r="N23" i="4" s="1"/>
  <c r="J24" i="4"/>
  <c r="J26" i="4"/>
  <c r="J27" i="4"/>
  <c r="J28" i="4"/>
  <c r="J29" i="4"/>
  <c r="J31" i="4"/>
  <c r="J32" i="4"/>
  <c r="J33" i="4"/>
  <c r="J35" i="4"/>
  <c r="J36" i="4"/>
  <c r="J37" i="4"/>
  <c r="J39" i="4"/>
  <c r="J40" i="4"/>
  <c r="J41" i="4"/>
  <c r="J42" i="4"/>
  <c r="J43" i="4"/>
  <c r="J45" i="4"/>
  <c r="J52" i="4"/>
  <c r="J53" i="4"/>
  <c r="J54" i="4"/>
  <c r="J56" i="4"/>
  <c r="J57" i="4"/>
  <c r="J58" i="4"/>
  <c r="J59" i="4"/>
  <c r="J61" i="4"/>
  <c r="J71" i="4"/>
  <c r="J73" i="4"/>
  <c r="J74" i="4"/>
  <c r="J76" i="4"/>
  <c r="J79" i="4"/>
  <c r="J80" i="4"/>
  <c r="J81" i="4"/>
  <c r="J82" i="4"/>
  <c r="J83" i="4"/>
  <c r="J85" i="4"/>
  <c r="J92" i="4"/>
  <c r="J93" i="4"/>
  <c r="J94" i="4"/>
  <c r="J95" i="4"/>
  <c r="J99" i="4"/>
  <c r="J100" i="4"/>
  <c r="J112" i="4"/>
  <c r="J116" i="4"/>
  <c r="J124" i="4"/>
  <c r="J126" i="4"/>
  <c r="J127" i="4"/>
  <c r="J129" i="4"/>
  <c r="J135" i="4"/>
  <c r="J136" i="4"/>
  <c r="J137" i="4"/>
  <c r="J139" i="4"/>
  <c r="J143" i="4"/>
  <c r="J144" i="4"/>
  <c r="J146" i="4"/>
  <c r="J151" i="4"/>
  <c r="J152" i="4"/>
  <c r="J153" i="4"/>
  <c r="J156" i="4"/>
  <c r="J168" i="4"/>
  <c r="J171" i="4"/>
  <c r="J172" i="4"/>
  <c r="J178" i="4"/>
  <c r="J182" i="4"/>
  <c r="J183" i="4"/>
  <c r="J184" i="4"/>
  <c r="J186" i="4"/>
  <c r="J189" i="4"/>
  <c r="J190" i="4"/>
  <c r="J197" i="4"/>
  <c r="J199" i="4"/>
  <c r="J202" i="4"/>
  <c r="J204" i="4"/>
  <c r="J211" i="4"/>
  <c r="J217" i="4"/>
  <c r="J219" i="4"/>
  <c r="J221" i="4"/>
  <c r="J222" i="4"/>
  <c r="J224" i="4"/>
  <c r="J230" i="4"/>
  <c r="J231" i="4"/>
  <c r="J232" i="4"/>
  <c r="J234" i="4"/>
  <c r="J235" i="4"/>
  <c r="J242" i="4"/>
  <c r="J245" i="4"/>
  <c r="J279" i="4"/>
  <c r="J303" i="4"/>
  <c r="J305" i="4"/>
  <c r="J309" i="4"/>
  <c r="J312" i="4"/>
  <c r="J313" i="4"/>
  <c r="K314" i="4"/>
  <c r="J315" i="4"/>
  <c r="J321" i="4"/>
  <c r="J319" i="4"/>
  <c r="I333" i="4"/>
  <c r="J333" i="4"/>
  <c r="L348" i="4"/>
  <c r="K356" i="4"/>
  <c r="J98" i="4" l="1"/>
  <c r="D364" i="4"/>
  <c r="J91" i="4"/>
  <c r="M148" i="4"/>
  <c r="N109" i="4"/>
  <c r="E365" i="4"/>
  <c r="D365" i="4"/>
  <c r="N355" i="4"/>
  <c r="M355" i="4"/>
  <c r="L355" i="4"/>
  <c r="K355" i="4"/>
  <c r="J355" i="4"/>
  <c r="I355" i="4"/>
  <c r="J352" i="4"/>
  <c r="K352" i="4"/>
  <c r="L352" i="4"/>
  <c r="M352" i="4"/>
  <c r="N352" i="4"/>
  <c r="I352" i="4"/>
  <c r="I341" i="4"/>
  <c r="I344" i="4"/>
  <c r="J344" i="4"/>
  <c r="K344" i="4"/>
  <c r="L344" i="4"/>
  <c r="M344" i="4"/>
  <c r="N348" i="4"/>
  <c r="N347" i="4"/>
  <c r="H23" i="8" l="1"/>
  <c r="H24" i="8" s="1"/>
  <c r="J120" i="4"/>
  <c r="N344" i="4"/>
  <c r="D366" i="4"/>
  <c r="N341" i="4" l="1"/>
  <c r="M341" i="4"/>
  <c r="L341" i="4"/>
  <c r="J341" i="4"/>
  <c r="K342" i="4"/>
  <c r="K341" i="4" s="1"/>
  <c r="N339" i="4"/>
  <c r="N337" i="4" s="1"/>
  <c r="K337" i="4"/>
  <c r="L337" i="4"/>
  <c r="M337" i="4"/>
  <c r="J338" i="4"/>
  <c r="J337" i="4" s="1"/>
  <c r="I337" i="4"/>
  <c r="N335" i="4"/>
  <c r="N333" i="4" s="1"/>
  <c r="O333" i="4"/>
  <c r="M333" i="4"/>
  <c r="L333" i="4"/>
  <c r="K333" i="4"/>
  <c r="J330" i="4"/>
  <c r="J331" i="4"/>
  <c r="I329" i="4"/>
  <c r="K328" i="4"/>
  <c r="K318" i="4" s="1"/>
  <c r="L328" i="4"/>
  <c r="M328" i="4"/>
  <c r="N328" i="4"/>
  <c r="N296" i="4"/>
  <c r="N295" i="4" s="1"/>
  <c r="M295" i="4"/>
  <c r="L295" i="4"/>
  <c r="K295" i="4"/>
  <c r="J295" i="4"/>
  <c r="I295" i="4"/>
  <c r="N325" i="4"/>
  <c r="N324" i="4" s="1"/>
  <c r="M324" i="4"/>
  <c r="M318" i="4" s="1"/>
  <c r="L324" i="4"/>
  <c r="L318" i="4" s="1"/>
  <c r="K324" i="4"/>
  <c r="J324" i="4"/>
  <c r="I324" i="4"/>
  <c r="N322" i="4"/>
  <c r="N318" i="4" s="1"/>
  <c r="D19" i="8" l="1"/>
  <c r="I318" i="4"/>
  <c r="J329" i="4"/>
  <c r="J328" i="4" s="1"/>
  <c r="J318" i="4" s="1"/>
  <c r="B26" i="8"/>
  <c r="I328" i="4"/>
  <c r="N314" i="4"/>
  <c r="N316" i="4"/>
  <c r="N315" i="4"/>
  <c r="N313" i="4"/>
  <c r="N312" i="4"/>
  <c r="N309" i="4"/>
  <c r="N306" i="4"/>
  <c r="M308" i="4"/>
  <c r="L308" i="4"/>
  <c r="L302" i="4" s="1"/>
  <c r="K308" i="4"/>
  <c r="K302" i="4" s="1"/>
  <c r="M302" i="4"/>
  <c r="J281" i="4"/>
  <c r="J280" i="4"/>
  <c r="K299" i="4"/>
  <c r="L299" i="4"/>
  <c r="M299" i="4"/>
  <c r="N299" i="4"/>
  <c r="N270" i="4"/>
  <c r="N269" i="4"/>
  <c r="N268" i="4"/>
  <c r="N267" i="4"/>
  <c r="N266" i="4"/>
  <c r="I265" i="4"/>
  <c r="I278" i="4"/>
  <c r="J22" i="4"/>
  <c r="N22" i="4" s="1"/>
  <c r="I276" i="4"/>
  <c r="K273" i="4"/>
  <c r="L273" i="4"/>
  <c r="M273" i="4"/>
  <c r="N273" i="4"/>
  <c r="I274" i="4"/>
  <c r="J269" i="4"/>
  <c r="K268" i="4"/>
  <c r="K262" i="4" s="1"/>
  <c r="J266" i="4"/>
  <c r="J267" i="4"/>
  <c r="J255" i="4"/>
  <c r="L262" i="4"/>
  <c r="M262" i="4"/>
  <c r="B19" i="8" l="1"/>
  <c r="J276" i="4"/>
  <c r="I21" i="4"/>
  <c r="J21" i="4" s="1"/>
  <c r="N21" i="4" s="1"/>
  <c r="J274" i="4"/>
  <c r="B17" i="8"/>
  <c r="D3" i="8"/>
  <c r="J278" i="4"/>
  <c r="J273" i="4"/>
  <c r="I273" i="4"/>
  <c r="N265" i="4"/>
  <c r="N278" i="4" l="1"/>
  <c r="I263" i="4"/>
  <c r="J265" i="4"/>
  <c r="K254" i="4"/>
  <c r="L254" i="4"/>
  <c r="M254" i="4"/>
  <c r="K249" i="4"/>
  <c r="L249" i="4"/>
  <c r="M249" i="4"/>
  <c r="N249" i="4"/>
  <c r="I250" i="4"/>
  <c r="J250" i="4" s="1"/>
  <c r="N246" i="4"/>
  <c r="K238" i="4"/>
  <c r="L238" i="4"/>
  <c r="L227" i="4" s="1"/>
  <c r="M238" i="4"/>
  <c r="M227" i="4" s="1"/>
  <c r="N247" i="4"/>
  <c r="I239" i="4"/>
  <c r="D242" i="4" s="1"/>
  <c r="K233" i="4"/>
  <c r="K227" i="4" s="1"/>
  <c r="N236" i="4"/>
  <c r="N235" i="4"/>
  <c r="N234" i="4"/>
  <c r="N233" i="4"/>
  <c r="N232" i="4"/>
  <c r="N231" i="4"/>
  <c r="N230" i="4"/>
  <c r="I228" i="4"/>
  <c r="K220" i="4"/>
  <c r="N222" i="4"/>
  <c r="N221" i="4"/>
  <c r="N220" i="4"/>
  <c r="N219" i="4"/>
  <c r="N217" i="4"/>
  <c r="L214" i="4"/>
  <c r="N225" i="4"/>
  <c r="I215" i="4"/>
  <c r="J215" i="4" s="1"/>
  <c r="N210" i="4"/>
  <c r="N211" i="4"/>
  <c r="L207" i="4"/>
  <c r="M207" i="4"/>
  <c r="N212" i="4"/>
  <c r="K201" i="4"/>
  <c r="K191" i="4"/>
  <c r="K179" i="4" s="1"/>
  <c r="J208" i="4"/>
  <c r="J207" i="4" s="1"/>
  <c r="N202" i="4"/>
  <c r="J198" i="4"/>
  <c r="K194" i="4" l="1"/>
  <c r="J263" i="4"/>
  <c r="J262" i="4" s="1"/>
  <c r="J254" i="4" s="1"/>
  <c r="K214" i="4"/>
  <c r="D770" i="4"/>
  <c r="D792" i="4" s="1"/>
  <c r="N227" i="4"/>
  <c r="I227" i="4"/>
  <c r="J228" i="4"/>
  <c r="N214" i="4"/>
  <c r="M214" i="4" s="1"/>
  <c r="J218" i="4"/>
  <c r="J214" i="4" s="1"/>
  <c r="N256" i="4"/>
  <c r="N254" i="4" s="1"/>
  <c r="F365" i="4"/>
  <c r="J239" i="4"/>
  <c r="I214" i="4"/>
  <c r="I262" i="4"/>
  <c r="B11" i="8" s="1"/>
  <c r="N262" i="4"/>
  <c r="I252" i="4"/>
  <c r="I207" i="4"/>
  <c r="N207" i="4"/>
  <c r="I200" i="4"/>
  <c r="J200" i="4" s="1"/>
  <c r="N200" i="4" l="1"/>
  <c r="I300" i="4"/>
  <c r="I299" i="4" s="1"/>
  <c r="J227" i="4"/>
  <c r="I254" i="4"/>
  <c r="J300" i="4"/>
  <c r="J299" i="4" s="1"/>
  <c r="F364" i="4"/>
  <c r="F367" i="4"/>
  <c r="J252" i="4"/>
  <c r="J249" i="4" s="1"/>
  <c r="I311" i="4"/>
  <c r="J311" i="4" s="1"/>
  <c r="J308" i="4" s="1"/>
  <c r="I249" i="4"/>
  <c r="L203" i="4"/>
  <c r="M194" i="4"/>
  <c r="N205" i="4"/>
  <c r="I195" i="4"/>
  <c r="J195" i="4" s="1"/>
  <c r="J194" i="4" s="1"/>
  <c r="M179" i="4"/>
  <c r="N192" i="4"/>
  <c r="N185" i="4"/>
  <c r="N182" i="4"/>
  <c r="L185" i="4"/>
  <c r="N191" i="4"/>
  <c r="N190" i="4"/>
  <c r="N189" i="4"/>
  <c r="N186" i="4"/>
  <c r="N184" i="4"/>
  <c r="N183" i="4"/>
  <c r="I180" i="4"/>
  <c r="K159" i="4"/>
  <c r="K158" i="4"/>
  <c r="K173" i="4"/>
  <c r="L173" i="4"/>
  <c r="M173" i="4"/>
  <c r="N173" i="4"/>
  <c r="I174" i="4"/>
  <c r="J167" i="4"/>
  <c r="I166" i="4"/>
  <c r="N166" i="4" s="1"/>
  <c r="N171" i="4"/>
  <c r="K160" i="4"/>
  <c r="I164" i="4"/>
  <c r="J164" i="4" s="1"/>
  <c r="N156" i="4"/>
  <c r="N154" i="4"/>
  <c r="N153" i="4"/>
  <c r="N152" i="4"/>
  <c r="N151" i="4"/>
  <c r="N161" i="4"/>
  <c r="N155" i="4"/>
  <c r="I149" i="4"/>
  <c r="N96" i="4"/>
  <c r="N95" i="4"/>
  <c r="N92" i="4"/>
  <c r="I145" i="4"/>
  <c r="I51" i="4"/>
  <c r="J51" i="4" s="1"/>
  <c r="N144" i="4"/>
  <c r="N143" i="4"/>
  <c r="K142" i="4"/>
  <c r="L142" i="4"/>
  <c r="L132" i="4" s="1"/>
  <c r="M142" i="4"/>
  <c r="K138" i="4"/>
  <c r="K132" i="4" s="1"/>
  <c r="N139" i="4"/>
  <c r="N138" i="4"/>
  <c r="N137" i="4"/>
  <c r="N136" i="4"/>
  <c r="N135" i="4"/>
  <c r="M132" i="4"/>
  <c r="N140" i="4"/>
  <c r="I133" i="4"/>
  <c r="L179" i="4" l="1"/>
  <c r="J302" i="4"/>
  <c r="B30" i="8"/>
  <c r="L194" i="4"/>
  <c r="B1" i="8"/>
  <c r="L148" i="4"/>
  <c r="J149" i="4"/>
  <c r="J174" i="4"/>
  <c r="I173" i="4"/>
  <c r="J166" i="4"/>
  <c r="N148" i="4"/>
  <c r="I179" i="4"/>
  <c r="J180" i="4"/>
  <c r="J179" i="4" s="1"/>
  <c r="J133" i="4"/>
  <c r="I142" i="4"/>
  <c r="J145" i="4"/>
  <c r="J142" i="4" s="1"/>
  <c r="N170" i="4"/>
  <c r="J170" i="4"/>
  <c r="J176" i="4"/>
  <c r="N91" i="4"/>
  <c r="I308" i="4"/>
  <c r="N311" i="4"/>
  <c r="N308" i="4" s="1"/>
  <c r="K169" i="4"/>
  <c r="K163" i="4" s="1"/>
  <c r="N179" i="4"/>
  <c r="I194" i="4"/>
  <c r="N194" i="4"/>
  <c r="I148" i="4"/>
  <c r="K155" i="4"/>
  <c r="K148" i="4" s="1"/>
  <c r="I163" i="4"/>
  <c r="N142" i="4"/>
  <c r="J163" i="4" l="1"/>
  <c r="B37" i="8"/>
  <c r="N302" i="4"/>
  <c r="J132" i="4"/>
  <c r="N132" i="4"/>
  <c r="I302" i="4"/>
  <c r="J148" i="4"/>
  <c r="N163" i="4"/>
  <c r="J173" i="4"/>
  <c r="I635" i="4" l="1"/>
  <c r="N635" i="4" s="1"/>
  <c r="I77" i="4"/>
  <c r="M127" i="4"/>
  <c r="N124" i="4"/>
  <c r="K635" i="4" l="1"/>
  <c r="N77" i="4"/>
  <c r="J77" i="4"/>
  <c r="N122" i="4"/>
  <c r="K119" i="4"/>
  <c r="L119" i="4"/>
  <c r="M119" i="4"/>
  <c r="I18" i="4"/>
  <c r="J18" i="4" s="1"/>
  <c r="I16" i="4"/>
  <c r="J16" i="4" s="1"/>
  <c r="I14" i="4"/>
  <c r="J14" i="4" s="1"/>
  <c r="I125" i="4"/>
  <c r="J125" i="4" s="1"/>
  <c r="J119" i="4" s="1"/>
  <c r="N117" i="4"/>
  <c r="K115" i="4"/>
  <c r="N113" i="4"/>
  <c r="K111" i="4"/>
  <c r="K106" i="4" s="1"/>
  <c r="I107" i="4"/>
  <c r="M115" i="4" l="1"/>
  <c r="M111" i="4" s="1"/>
  <c r="M106" i="4" s="1"/>
  <c r="L115" i="4"/>
  <c r="L111" i="4" s="1"/>
  <c r="L106" i="4" s="1"/>
  <c r="J107" i="4"/>
  <c r="N115" i="4"/>
  <c r="N111" i="4" s="1"/>
  <c r="J115" i="4"/>
  <c r="J111" i="4" s="1"/>
  <c r="J17" i="4"/>
  <c r="N119" i="4"/>
  <c r="N103" i="4" l="1"/>
  <c r="K98" i="4"/>
  <c r="K362" i="4" s="1"/>
  <c r="L98" i="4"/>
  <c r="L362" i="4" s="1"/>
  <c r="M98" i="4"/>
  <c r="M362" i="4" s="1"/>
  <c r="N101" i="4"/>
  <c r="N98" i="4" s="1"/>
  <c r="I98" i="4"/>
  <c r="L11" i="4"/>
  <c r="L363" i="4" s="1"/>
  <c r="M11" i="4"/>
  <c r="M363" i="4" s="1"/>
  <c r="N679" i="4"/>
  <c r="N673" i="4"/>
  <c r="N652" i="4"/>
  <c r="N648" i="4"/>
  <c r="N640" i="4"/>
  <c r="N639" i="4"/>
  <c r="I633" i="4"/>
  <c r="I75" i="4"/>
  <c r="N625" i="4"/>
  <c r="N605" i="4"/>
  <c r="N601" i="4"/>
  <c r="N595" i="4"/>
  <c r="N578" i="4"/>
  <c r="N574" i="4"/>
  <c r="I570" i="4"/>
  <c r="N569" i="4"/>
  <c r="N567" i="4"/>
  <c r="N565" i="4"/>
  <c r="N561" i="4"/>
  <c r="N559" i="4"/>
  <c r="N557" i="4"/>
  <c r="N553" i="4"/>
  <c r="N547" i="4"/>
  <c r="N545" i="4"/>
  <c r="N543" i="4"/>
  <c r="N541" i="4"/>
  <c r="N539" i="4"/>
  <c r="I49" i="4"/>
  <c r="J49" i="4" s="1"/>
  <c r="I515" i="4"/>
  <c r="N516" i="4"/>
  <c r="N527" i="4"/>
  <c r="I526" i="4"/>
  <c r="K526" i="4" s="1"/>
  <c r="I47" i="4"/>
  <c r="J47" i="4" s="1"/>
  <c r="N537" i="4"/>
  <c r="N535" i="4"/>
  <c r="N533" i="4"/>
  <c r="N532" i="4"/>
  <c r="N531" i="4"/>
  <c r="N529" i="4"/>
  <c r="N525" i="4"/>
  <c r="N522" i="4"/>
  <c r="N520" i="4"/>
  <c r="N519" i="4"/>
  <c r="N518" i="4"/>
  <c r="N633" i="4" l="1"/>
  <c r="N515" i="4"/>
  <c r="L364" i="4"/>
  <c r="L773" i="4" s="1"/>
  <c r="N570" i="4"/>
  <c r="K570" i="4"/>
  <c r="J515" i="4"/>
  <c r="J633" i="4"/>
  <c r="I48" i="4"/>
  <c r="J75" i="4"/>
  <c r="N526" i="4"/>
  <c r="J48" i="4" l="1"/>
  <c r="I524" i="4" l="1"/>
  <c r="J524" i="4" l="1"/>
  <c r="J514" i="4" s="1"/>
  <c r="I46" i="4"/>
  <c r="N524" i="4"/>
  <c r="D514" i="4"/>
  <c r="N79" i="4"/>
  <c r="N51" i="4"/>
  <c r="N37" i="4"/>
  <c r="N39" i="4"/>
  <c r="N32" i="4"/>
  <c r="N26" i="4"/>
  <c r="E514" i="4" l="1"/>
  <c r="E771" i="4" s="1"/>
  <c r="D771" i="4"/>
  <c r="B772" i="4"/>
  <c r="N43" i="4"/>
  <c r="J771" i="4"/>
  <c r="J369" i="4"/>
  <c r="J46" i="4"/>
  <c r="N56" i="4"/>
  <c r="I66" i="4"/>
  <c r="D772" i="4" l="1"/>
  <c r="D773" i="4" s="1"/>
  <c r="D795" i="4" s="1"/>
  <c r="D793" i="4"/>
  <c r="D794" i="4" s="1"/>
  <c r="J770" i="4"/>
  <c r="J772" i="4" s="1"/>
  <c r="E772" i="4"/>
  <c r="K66" i="4"/>
  <c r="I571" i="4"/>
  <c r="D1" i="8" s="1"/>
  <c r="D20" i="8" s="1"/>
  <c r="K11" i="4" l="1"/>
  <c r="K363" i="4" s="1"/>
  <c r="I514" i="4"/>
  <c r="N571" i="4"/>
  <c r="K571" i="4"/>
  <c r="K514" i="4" s="1"/>
  <c r="K369" i="4" s="1"/>
  <c r="E11" i="4"/>
  <c r="E363" i="4" s="1"/>
  <c r="E793" i="4" s="1"/>
  <c r="A11" i="4"/>
  <c r="E794" i="4" l="1"/>
  <c r="I369" i="4"/>
  <c r="I770" i="4" s="1"/>
  <c r="K364" i="4"/>
  <c r="H1" i="8"/>
  <c r="K770" i="4"/>
  <c r="N89" i="4"/>
  <c r="I12" i="4"/>
  <c r="K771" i="4"/>
  <c r="N514" i="4"/>
  <c r="N87" i="4"/>
  <c r="N86" i="4"/>
  <c r="N88" i="4"/>
  <c r="E364" i="4"/>
  <c r="E773" i="4" s="1"/>
  <c r="D29" i="3"/>
  <c r="D28" i="3"/>
  <c r="D27" i="3"/>
  <c r="D26" i="3"/>
  <c r="D25" i="3"/>
  <c r="D24" i="3"/>
  <c r="D23" i="3"/>
  <c r="D22" i="3"/>
  <c r="D20" i="3"/>
  <c r="D19" i="3"/>
  <c r="D18" i="3"/>
  <c r="D17" i="3"/>
  <c r="D16" i="3"/>
  <c r="D15" i="3"/>
  <c r="D14" i="3"/>
  <c r="D13" i="3"/>
  <c r="D11" i="3"/>
  <c r="D10" i="3"/>
  <c r="D9" i="3"/>
  <c r="D24" i="2"/>
  <c r="D26" i="2" l="1"/>
  <c r="N369" i="4"/>
  <c r="I108" i="4"/>
  <c r="J12" i="4"/>
  <c r="I11" i="4"/>
  <c r="K772" i="4"/>
  <c r="N11" i="4"/>
  <c r="E366" i="4"/>
  <c r="N770" i="4" l="1"/>
  <c r="O367" i="4"/>
  <c r="J11" i="4"/>
  <c r="J108" i="4"/>
  <c r="J106" i="4" s="1"/>
  <c r="J362" i="4" s="1"/>
  <c r="N108" i="4"/>
  <c r="K773" i="4"/>
  <c r="N106" i="4" l="1"/>
  <c r="N362" i="4" s="1"/>
  <c r="M364" i="4"/>
  <c r="M773" i="4" s="1"/>
  <c r="N792" i="4" l="1"/>
  <c r="O366" i="4"/>
  <c r="N365" i="4" l="1"/>
  <c r="N716" i="4" l="1"/>
  <c r="N771" i="4" s="1"/>
  <c r="N772" i="4" l="1"/>
  <c r="I238" i="4"/>
  <c r="I363" i="4" s="1"/>
  <c r="N238" i="4"/>
  <c r="J243" i="4"/>
  <c r="J238" i="4" s="1"/>
  <c r="J363" i="4" s="1"/>
  <c r="O365" i="4" l="1"/>
  <c r="N363" i="4"/>
  <c r="N793" i="4" s="1"/>
  <c r="J364" i="4"/>
  <c r="N794" i="4" l="1"/>
  <c r="N364" i="4"/>
  <c r="N773" i="4" s="1"/>
  <c r="M365" i="4"/>
  <c r="J773" i="4"/>
  <c r="L802" i="4" s="1"/>
  <c r="I724" i="4"/>
  <c r="I771" i="4" l="1"/>
  <c r="I772" i="4" l="1"/>
  <c r="I793" i="4"/>
  <c r="I132" i="4" l="1"/>
  <c r="I119" i="4" l="1"/>
  <c r="I115" i="4" l="1"/>
  <c r="I111" i="4" l="1"/>
  <c r="I106" i="4"/>
  <c r="I362" i="4" l="1"/>
  <c r="I792" i="4" s="1"/>
  <c r="I794" i="4" s="1"/>
  <c r="H28" i="8" l="1"/>
  <c r="I365" i="4"/>
  <c r="I367" i="4" s="1"/>
  <c r="I364" i="4"/>
  <c r="M367" i="4"/>
  <c r="H30" i="8" l="1"/>
  <c r="J1" i="8"/>
  <c r="H29" i="8"/>
  <c r="M366" i="4"/>
  <c r="I773" i="4"/>
  <c r="N366" i="4"/>
  <c r="N367" i="4" s="1"/>
  <c r="H31" i="8" l="1"/>
  <c r="H33" i="8"/>
  <c r="H32" i="8" l="1"/>
  <c r="H34" i="8" s="1"/>
  <c r="J4" i="8"/>
  <c r="J6" i="8" s="1"/>
  <c r="E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 de María Alfaro Gómez</author>
  </authors>
  <commentList>
    <comment ref="C8" authorId="0" shapeId="0" xr:uid="{B7116800-6C8D-4DB3-B670-B7270B6E3176}">
      <text>
        <r>
          <rPr>
            <b/>
            <sz val="8"/>
            <color indexed="81"/>
            <rFont val="Tahoma"/>
            <family val="2"/>
          </rPr>
          <t xml:space="preserve">ESTE DATO DEBE COINCIDIR CON ANEXO 1 CERTIFICADO Y CON EL SIPP
</t>
        </r>
      </text>
    </comment>
    <comment ref="D8" authorId="0" shapeId="0" xr:uid="{890FB628-CDC7-47B2-9833-7443D0E2CF45}">
      <text>
        <r>
          <rPr>
            <b/>
            <sz val="8"/>
            <color indexed="81"/>
            <rFont val="Tahoma"/>
            <family val="2"/>
          </rPr>
          <t xml:space="preserve">ESTE DATO DEBE COINCIDIR CON ANEXO 1 CERTIFICADO Y CON EL SIPP
</t>
        </r>
      </text>
    </comment>
    <comment ref="C11" authorId="0" shapeId="0" xr:uid="{E0905AEC-B329-4E0F-B15B-97BF4E8125E9}">
      <text>
        <r>
          <rPr>
            <b/>
            <sz val="8"/>
            <color indexed="81"/>
            <rFont val="Tahoma"/>
            <family val="2"/>
          </rPr>
          <t xml:space="preserve">ESTE DATO DEBE COINCIDIR CON ANEXO 1 CERTIFICADO Y CON EL SIPP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Maria Alvarado Garita</author>
  </authors>
  <commentList>
    <comment ref="O366" authorId="0" shapeId="0" xr:uid="{898DCBF9-7590-4AD0-856F-3B004236ADED}">
      <text>
        <r>
          <rPr>
            <b/>
            <sz val="9"/>
            <color indexed="81"/>
            <rFont val="Tahoma"/>
            <family val="2"/>
          </rPr>
          <t>Ana Maria Alvarado Garita:</t>
        </r>
        <r>
          <rPr>
            <sz val="9"/>
            <color indexed="81"/>
            <rFont val="Tahoma"/>
            <family val="2"/>
          </rPr>
          <t xml:space="preserve">
recursos Libres + Intereser
</t>
        </r>
      </text>
    </comment>
    <comment ref="O367" authorId="0" shapeId="0" xr:uid="{B3BB16EB-F97E-47BD-AB9F-A4B7C229576D}">
      <text>
        <r>
          <rPr>
            <b/>
            <sz val="9"/>
            <color indexed="81"/>
            <rFont val="Tahoma"/>
            <family val="2"/>
          </rPr>
          <t>Ana Maria Alvarado Garita:</t>
        </r>
        <r>
          <rPr>
            <sz val="9"/>
            <color indexed="81"/>
            <rFont val="Tahoma"/>
            <family val="2"/>
          </rPr>
          <t xml:space="preserve">
Superhabir Libre mas Intereser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Flor de María Alfaro Gómez</author>
  </authors>
  <commentList>
    <comment ref="G9" authorId="0" shapeId="0" xr:uid="{00000000-0006-0000-0C00-000001000000}">
      <text>
        <r>
          <rPr>
            <b/>
            <sz val="11"/>
            <color indexed="81"/>
            <rFont val="Tahoma"/>
            <family val="2"/>
          </rPr>
          <t xml:space="preserve">Indicar por ejemplo: </t>
        </r>
        <r>
          <rPr>
            <sz val="11"/>
            <color indexed="81"/>
            <rFont val="Tahoma"/>
            <family val="2"/>
          </rPr>
          <t>Orden de compra Nro xxx, licitación pública, adjudicación en La Gaceta Nro. Xx de fecha xxx.</t>
        </r>
      </text>
    </comment>
    <comment ref="G24" authorId="0" shapeId="0" xr:uid="{00000000-0006-0000-0C00-000002000000}">
      <text>
        <r>
          <rPr>
            <b/>
            <sz val="11"/>
            <color indexed="81"/>
            <rFont val="Tahoma"/>
            <family val="2"/>
          </rPr>
          <t xml:space="preserve">Indicar por ejemplo: </t>
        </r>
        <r>
          <rPr>
            <sz val="11"/>
            <color indexed="81"/>
            <rFont val="Tahoma"/>
            <family val="2"/>
          </rPr>
          <t>Orden de compra Nro xxx, licitación pública, adjudicación en La Gaceta Nro. Xx de fecha xxx.</t>
        </r>
      </text>
    </comment>
    <comment ref="G39" authorId="0" shapeId="0" xr:uid="{00000000-0006-0000-0C00-000003000000}">
      <text>
        <r>
          <rPr>
            <b/>
            <sz val="8"/>
            <color indexed="81"/>
            <rFont val="Tahoma"/>
            <family val="2"/>
          </rPr>
          <t xml:space="preserve">Indicar por ejemplo: </t>
        </r>
        <r>
          <rPr>
            <sz val="8"/>
            <color indexed="81"/>
            <rFont val="Tahoma"/>
            <family val="2"/>
          </rPr>
          <t>Orden de compra Nro xxx, licitación pública, adjudicación en La Gaceta Nro. Xx de fecha xxx.</t>
        </r>
      </text>
    </comment>
    <comment ref="G54" authorId="0" shapeId="0" xr:uid="{00000000-0006-0000-0C00-000004000000}">
      <text>
        <r>
          <rPr>
            <b/>
            <sz val="8"/>
            <color indexed="81"/>
            <rFont val="Tahoma"/>
            <family val="2"/>
          </rPr>
          <t xml:space="preserve">Indicar por ejemplo: </t>
        </r>
        <r>
          <rPr>
            <sz val="8"/>
            <color indexed="81"/>
            <rFont val="Tahoma"/>
            <family val="2"/>
          </rPr>
          <t>Orden de compra Nro xxx, licitación pública, adjudicación en La Gaceta Nro. Xx de fecha xxx.</t>
        </r>
      </text>
    </comment>
  </commentList>
</comments>
</file>

<file path=xl/sharedStrings.xml><?xml version="1.0" encoding="utf-8"?>
<sst xmlns="http://schemas.openxmlformats.org/spreadsheetml/2006/main" count="1561" uniqueCount="681">
  <si>
    <t xml:space="preserve"> </t>
  </si>
  <si>
    <t>N.° 1</t>
  </si>
  <si>
    <t xml:space="preserve"> En colones</t>
  </si>
  <si>
    <t>PRESUPUESTO</t>
  </si>
  <si>
    <r>
      <rPr>
        <b/>
        <sz val="11"/>
        <color rgb="FF000000"/>
        <rFont val="Century Gothic"/>
        <family val="2"/>
      </rPr>
      <t xml:space="preserve">REAL </t>
    </r>
    <r>
      <rPr>
        <b/>
        <vertAlign val="superscript"/>
        <sz val="11"/>
        <color rgb="FF000000"/>
        <rFont val="Century Gothic"/>
        <family val="2"/>
      </rPr>
      <t>1</t>
    </r>
  </si>
  <si>
    <t xml:space="preserve">INGRESOS </t>
  </si>
  <si>
    <t>Menos:</t>
  </si>
  <si>
    <t>GASTOS</t>
  </si>
  <si>
    <t xml:space="preserve">SUPERÁVIT / DÉFICIT </t>
  </si>
  <si>
    <t>Menos:  Saldos con destino específico</t>
  </si>
  <si>
    <t>SUPERÁVIT LIBRE/DÉFICIT</t>
  </si>
  <si>
    <t>DETALLE SUPERÁVIT ESPECÍFICO:</t>
  </si>
  <si>
    <t>Concepto específico</t>
  </si>
  <si>
    <t>Fundamento legal o especial que lo justifica</t>
  </si>
  <si>
    <t>Monto</t>
  </si>
  <si>
    <t>Nombre del Alcalde Municipal</t>
  </si>
  <si>
    <t>Firma</t>
  </si>
  <si>
    <t>Nombre funcionario responsable</t>
  </si>
  <si>
    <t>proceso de liquidación presupuestaria</t>
  </si>
  <si>
    <t>Fecha</t>
  </si>
  <si>
    <t>1/ Incluye los compromisos presupuestarios contraídos al 31-12-20xx, pendientes de liquidación, según lo establecido en el artículo 116 del Código Municipal:</t>
  </si>
  <si>
    <t>Si</t>
  </si>
  <si>
    <t>No</t>
  </si>
  <si>
    <t xml:space="preserve"> N.° 2</t>
  </si>
  <si>
    <t>Notas: 1. Columna "Ingreso":  Corresponde a todos aquellos ingresos donde se registra morosidad (si no está especificado, debe incorporarse en la celda denominada "Otro…"). 2. Columna "Total Morosidad al 31/12/20XX": Correspone al "Monto puesto al cobro durante el 20XX" menos el total recaudado a esa misma fecha.  3. Columna "Monto puesto al cobro durante el 20XX": Corresponde al monto total acumulativo puesto al cobro (suma de pendiente de cobro de periodos anteriores más monto facturado en el 20xx).</t>
  </si>
  <si>
    <t xml:space="preserve">En atención al art. 5 de la Ley N.° 7755 Control de las Partidas Específicas con Cargo al Presupuesto Nacional y el art. 23 de su Reglamento. </t>
  </si>
  <si>
    <t>Ingreso</t>
  </si>
  <si>
    <t>Resultado porcentual</t>
  </si>
  <si>
    <t>Impuesto sobre bienes inmuebles</t>
  </si>
  <si>
    <t>Patentes municipales</t>
  </si>
  <si>
    <t>Servicio de recolección de residuos</t>
  </si>
  <si>
    <t>Servicio de aseo de vías y sitios público</t>
  </si>
  <si>
    <t>Servicio de parques y obras de ornato</t>
  </si>
  <si>
    <t>Servicio de acueductos</t>
  </si>
  <si>
    <t>Servicio de alcantarillado</t>
  </si>
  <si>
    <t>Otro....</t>
  </si>
  <si>
    <t>TOTAL</t>
  </si>
  <si>
    <t>Nombre del funcionario responsable de su elaboración</t>
  </si>
  <si>
    <t>Cargo que ocupa en la organización</t>
  </si>
  <si>
    <t>DETALLE DE ORIGEN Y APLICACIÓN DE RECURSOS</t>
  </si>
  <si>
    <t xml:space="preserve">Notas: 1. En esta primera hoja debe incluirse la totalidad de recursos percibidos por la institución (incluidos también los ingresos por transferencias de Presupuesto Nacional) y que coincidan con la liquidación.                                                     2. Incorporar en la columna "Aplicación" la información de los recursos por partida por objeto de gasto asi como por clasificación económica, lo cuales también deben coincidir con los datos registrados en la liquidación. </t>
  </si>
  <si>
    <t>3. Los ingresos se deben incorporar a máximo nivel de desglose de acuerdo con el clasificador de ingresos del sector público.</t>
  </si>
  <si>
    <t>Origen</t>
  </si>
  <si>
    <t>Aplicación de los gastos ejecutados</t>
  </si>
  <si>
    <t>CODIGO SEGÚN CLASIFICADOR DE INGRESOS</t>
  </si>
  <si>
    <t xml:space="preserve">INGRESO </t>
  </si>
  <si>
    <t>En caso de transferencias indique la institución concedente</t>
  </si>
  <si>
    <t>Presupuesto definitivo incorporado por la entidad</t>
  </si>
  <si>
    <r>
      <rPr>
        <b/>
        <sz val="10"/>
        <color rgb="FFFFFFFF"/>
        <rFont val="Arial"/>
        <family val="2"/>
      </rPr>
      <t>Ingreso real</t>
    </r>
    <r>
      <rPr>
        <b/>
        <sz val="9"/>
        <color rgb="FFFFFFFF"/>
        <rFont val="Arial"/>
        <family val="2"/>
      </rPr>
      <t xml:space="preserve">  (recaudado o recibido)</t>
    </r>
  </si>
  <si>
    <t>PROGRAMA</t>
  </si>
  <si>
    <r>
      <rPr>
        <b/>
        <sz val="11"/>
        <color rgb="FFFFFFFF"/>
        <rFont val="Arial"/>
        <family val="2"/>
      </rPr>
      <t xml:space="preserve">APLICACIÓN OBJETO DEL GASTO
</t>
    </r>
    <r>
      <rPr>
        <b/>
        <i/>
        <sz val="11"/>
        <color rgb="FFFFFFFF"/>
        <rFont val="Arial"/>
        <family val="2"/>
      </rPr>
      <t>(Por Partida)</t>
    </r>
  </si>
  <si>
    <t>Monto Ejecutado</t>
  </si>
  <si>
    <t>APLICACIÓN CLASIFICACIÓN ECONÓMICA</t>
  </si>
  <si>
    <t>Remanente</t>
  </si>
  <si>
    <t>Observaciones</t>
  </si>
  <si>
    <t>Gasto Corriente</t>
  </si>
  <si>
    <t>Gasto Capital</t>
  </si>
  <si>
    <t>Transacciones Financieras</t>
  </si>
  <si>
    <t>Sumas sin asignación</t>
  </si>
  <si>
    <t>CUADRO N.° 2</t>
  </si>
  <si>
    <r>
      <rPr>
        <b/>
        <sz val="12"/>
        <color theme="1"/>
        <rFont val="Arial"/>
        <family val="2"/>
      </rPr>
      <t>ORIGEN Y APLICACIÓN DE RECURSOS PROVENIENTES DE TRANSFERENCIAS ASIGNADAS EN EL PRESUPUESTO NACIONAL</t>
    </r>
    <r>
      <rPr>
        <b/>
        <i/>
        <sz val="12"/>
        <color theme="1"/>
        <rFont val="Arial"/>
        <family val="2"/>
      </rPr>
      <t xml:space="preserve"> (MONTOS EN MILLONES)</t>
    </r>
  </si>
  <si>
    <r>
      <rPr>
        <b/>
        <i/>
        <sz val="9"/>
        <color theme="1"/>
        <rFont val="Arial"/>
        <family val="2"/>
      </rPr>
      <t xml:space="preserve">Notas: 1. Si se aplican los ingresos en transferencias indicar en la columna de observaciones el destinatario de cada una de las transferencia.
            2. Se debe reflejar el resultado por cada transferencia registrada, de manera que se pueda obtener el remanente global de las transferencias incorporadas (ver hoja de cálculo "Ejemplo").
</t>
    </r>
    <r>
      <rPr>
        <i/>
        <sz val="9"/>
        <color theme="1"/>
        <rFont val="Arial"/>
        <family val="2"/>
      </rPr>
      <t xml:space="preserve">
</t>
    </r>
  </si>
  <si>
    <t>Tipo de transferencia (Corriente o de capital)</t>
  </si>
  <si>
    <t>Concedente ( Institución Ministerio o título)</t>
  </si>
  <si>
    <t>Descripción de la finalidad de la transferencia Según lo incluido en la Ley de Presupuesto Nacional y su base legal</t>
  </si>
  <si>
    <t>La aplicación de la transferencia es:</t>
  </si>
  <si>
    <t>Monto incorporado en la Ley de Presupuesto Nacional</t>
  </si>
  <si>
    <t>Ingreso real</t>
  </si>
  <si>
    <t>Composición del gastos según C.E</t>
  </si>
  <si>
    <t>Total gasto ejecutado</t>
  </si>
  <si>
    <t>Programa</t>
  </si>
  <si>
    <t>Partida por objeto del gasto</t>
  </si>
  <si>
    <t>Gasto corriente real</t>
  </si>
  <si>
    <t>Gasto de Capital real</t>
  </si>
  <si>
    <t>Parámetros</t>
  </si>
  <si>
    <t>Transferencia corriente</t>
  </si>
  <si>
    <t>Transferencia de capital</t>
  </si>
  <si>
    <t>Título</t>
  </si>
  <si>
    <t>Libre</t>
  </si>
  <si>
    <t>Asamblea Legislativa</t>
  </si>
  <si>
    <t>Específica</t>
  </si>
  <si>
    <t>Contraloría General de la República</t>
  </si>
  <si>
    <t>Defensoría de los Habitantes de la República</t>
  </si>
  <si>
    <t>Ministerio de Agricultura y Ganadería</t>
  </si>
  <si>
    <t>Ministerio de Gobernación y Policía</t>
  </si>
  <si>
    <t>Ministerio de Obras Públicas y Transportes</t>
  </si>
  <si>
    <t>Ministerio de Vivienda y Asentamientos Humanos</t>
  </si>
  <si>
    <t>Partidas Específicas</t>
  </si>
  <si>
    <t>Consejo de Seguridad Vial</t>
  </si>
  <si>
    <t>Junta Administrativa del Registro Nacional</t>
  </si>
  <si>
    <t>0 - Remuneraciones</t>
  </si>
  <si>
    <t>1 - Servicios</t>
  </si>
  <si>
    <t>2 - Materiales y suministros</t>
  </si>
  <si>
    <t>3 - Intereses y comisiones</t>
  </si>
  <si>
    <t>5 - Bienes duraderos</t>
  </si>
  <si>
    <t>6 - Transferencias Corrientes</t>
  </si>
  <si>
    <t>7 - Transferencias de capital</t>
  </si>
  <si>
    <t>8 - Amortización</t>
  </si>
  <si>
    <t xml:space="preserve">9 - Cuentas especiales </t>
  </si>
  <si>
    <t>Remuneraciones</t>
  </si>
  <si>
    <t>Servicios</t>
  </si>
  <si>
    <t>01-04</t>
  </si>
  <si>
    <t>02-09</t>
  </si>
  <si>
    <t>02-10</t>
  </si>
  <si>
    <t>02-11</t>
  </si>
  <si>
    <t>02-18</t>
  </si>
  <si>
    <t>02-22</t>
  </si>
  <si>
    <t>02-23</t>
  </si>
  <si>
    <t>02-25</t>
  </si>
  <si>
    <t>02-28</t>
  </si>
  <si>
    <t>02-29</t>
  </si>
  <si>
    <t>03-02-01</t>
  </si>
  <si>
    <t>03-05-02</t>
  </si>
  <si>
    <t>03-06-01</t>
  </si>
  <si>
    <t>03-06-02</t>
  </si>
  <si>
    <t>03-09</t>
  </si>
  <si>
    <t>3.3.2.0.00.00.0.0.010</t>
  </si>
  <si>
    <t>Fondo Bienes Inmuebles</t>
  </si>
  <si>
    <t>ingreso de más</t>
  </si>
  <si>
    <t>III-01-02</t>
  </si>
  <si>
    <t>III-01-03</t>
  </si>
  <si>
    <t>III-01-05</t>
  </si>
  <si>
    <t>III-01-06</t>
  </si>
  <si>
    <t>III-01-07</t>
  </si>
  <si>
    <t>III-01-08</t>
  </si>
  <si>
    <t>III-01-09</t>
  </si>
  <si>
    <t>III-01-11</t>
  </si>
  <si>
    <t>III-01-26</t>
  </si>
  <si>
    <t>III-01-31</t>
  </si>
  <si>
    <t>III-01-32</t>
  </si>
  <si>
    <t>III-01-34</t>
  </si>
  <si>
    <t>III-01-35</t>
  </si>
  <si>
    <t>III-02-01</t>
  </si>
  <si>
    <t>III-02-03</t>
  </si>
  <si>
    <t>III-02-04</t>
  </si>
  <si>
    <t>III-02-05</t>
  </si>
  <si>
    <t>III-02-08</t>
  </si>
  <si>
    <t>III-02-09</t>
  </si>
  <si>
    <t>III-02-10</t>
  </si>
  <si>
    <t>III-02-11</t>
  </si>
  <si>
    <t>III-02-12</t>
  </si>
  <si>
    <t>III-02-13</t>
  </si>
  <si>
    <t>III-02-14</t>
  </si>
  <si>
    <t>III-02-15</t>
  </si>
  <si>
    <t>III-02-16</t>
  </si>
  <si>
    <t>III-02-17</t>
  </si>
  <si>
    <t>III-05-06</t>
  </si>
  <si>
    <t>III-05-07</t>
  </si>
  <si>
    <t>III-05-08</t>
  </si>
  <si>
    <t>III-05-09</t>
  </si>
  <si>
    <t>III-05-10</t>
  </si>
  <si>
    <t>III-05-20</t>
  </si>
  <si>
    <t>III-05-21</t>
  </si>
  <si>
    <t>III-05-22</t>
  </si>
  <si>
    <t>III-05-23</t>
  </si>
  <si>
    <t>III-05-24</t>
  </si>
  <si>
    <t>III-05-25</t>
  </si>
  <si>
    <t>III-05-26</t>
  </si>
  <si>
    <t>III-05-27</t>
  </si>
  <si>
    <t>III-05-28</t>
  </si>
  <si>
    <t>III-06-01</t>
  </si>
  <si>
    <t>III-06-02</t>
  </si>
  <si>
    <t>III-06-05</t>
  </si>
  <si>
    <t>III-06-06</t>
  </si>
  <si>
    <t>III-06-07</t>
  </si>
  <si>
    <t>III-06-08</t>
  </si>
  <si>
    <t>III-06-09</t>
  </si>
  <si>
    <t>III-06-10</t>
  </si>
  <si>
    <t>III-06-11</t>
  </si>
  <si>
    <t>III-06-13</t>
  </si>
  <si>
    <t>III-06-14</t>
  </si>
  <si>
    <t>III-06-15</t>
  </si>
  <si>
    <t>III-06-16</t>
  </si>
  <si>
    <t>III-06-17</t>
  </si>
  <si>
    <t>III-06-18</t>
  </si>
  <si>
    <t>III-06-20</t>
  </si>
  <si>
    <t>III-06-21</t>
  </si>
  <si>
    <t>III-06-22</t>
  </si>
  <si>
    <t>III-06-23</t>
  </si>
  <si>
    <t>III-06-24</t>
  </si>
  <si>
    <t>III-06-26</t>
  </si>
  <si>
    <t>III-06-27</t>
  </si>
  <si>
    <t>II-30</t>
  </si>
  <si>
    <t>III-01-01</t>
  </si>
  <si>
    <t>II-09</t>
  </si>
  <si>
    <t>II-10</t>
  </si>
  <si>
    <t>II-23</t>
  </si>
  <si>
    <t>II-11</t>
  </si>
  <si>
    <t>II-25</t>
  </si>
  <si>
    <t>II-29</t>
  </si>
  <si>
    <t>III-05-32</t>
  </si>
  <si>
    <t>III-01-19</t>
  </si>
  <si>
    <t>III-05-18</t>
  </si>
  <si>
    <t>Superavit sin presupuestar</t>
  </si>
  <si>
    <t>1.1.2.2.02.00.0.0.000</t>
  </si>
  <si>
    <t>Impuesto S/Bienes Inmuebles, Ley 7509</t>
  </si>
  <si>
    <t>Impuesto S/Bienes Inmuebles, Ley 7729</t>
  </si>
  <si>
    <t>Recursos sin presu</t>
  </si>
  <si>
    <t>1.1.3.2.01.02.0.0.001</t>
  </si>
  <si>
    <t>Impuesto Especifico sobre la Explotación de Recursos Naturales y Minerales</t>
  </si>
  <si>
    <t>I-01</t>
  </si>
  <si>
    <t>I-04</t>
  </si>
  <si>
    <t>1.1.3.2.01.04.0.0.000</t>
  </si>
  <si>
    <t>Impuestos al Cemento</t>
  </si>
  <si>
    <t>1.1.3.2.01.05.0.0.000</t>
  </si>
  <si>
    <t>Impuestos sobre Construcciones</t>
  </si>
  <si>
    <t>1.1.3.2.02.09.0.0.000</t>
  </si>
  <si>
    <t>Otros Impuestos Específicos sobre la Producción y Consumo de Servicios</t>
  </si>
  <si>
    <t>1.1.3.3.01.01.0.0.000</t>
  </si>
  <si>
    <t>Impuestos sobre Rótulos Públicos</t>
  </si>
  <si>
    <t>1.1.3.3.01.02.0.0.000</t>
  </si>
  <si>
    <t>I-03</t>
  </si>
  <si>
    <t>Timbres Municipales</t>
  </si>
  <si>
    <t>Aporte Junta Admva.Registro Nac. Ley 7509y 7729 1,5%</t>
  </si>
  <si>
    <t>Juntas de Educación, Ley 7509 y 7729 10%</t>
  </si>
  <si>
    <t>Organo Normalización Técnica M.de Hacienda 0 ,5%</t>
  </si>
  <si>
    <t>Asociación Resurgir</t>
  </si>
  <si>
    <t>Mercados, Plazas y Ferias</t>
  </si>
  <si>
    <t>II-07</t>
  </si>
  <si>
    <t>Educativos, Culturales y Deportivos</t>
  </si>
  <si>
    <t>Servicios Sociales Complementarios</t>
  </si>
  <si>
    <t>Estacionamientos y Terminales</t>
  </si>
  <si>
    <t>Reparaciones Menores de Maquinaria y Equipo</t>
  </si>
  <si>
    <t>Seguridad Vial</t>
  </si>
  <si>
    <t>Seguridad y Vigilancia en la Comunidad</t>
  </si>
  <si>
    <t>Protección del Medio Ambiente</t>
  </si>
  <si>
    <t>Atención Emergencias Cantonales</t>
  </si>
  <si>
    <t>Por Incumplimiento de Deberes de los Municipes</t>
  </si>
  <si>
    <t>Unidad Técnica  de Gestión Vial Cantonal</t>
  </si>
  <si>
    <t>Dirección Tecnica Y Estudio</t>
  </si>
  <si>
    <t>Catastro Multifinalitario</t>
  </si>
  <si>
    <t>Recursos especificos sin asinacion Presupuestaria</t>
  </si>
  <si>
    <t>FEDOMA</t>
  </si>
  <si>
    <t>Administración de Inversiones Propias</t>
  </si>
  <si>
    <t>Reintegros y Devoluciones</t>
  </si>
  <si>
    <t xml:space="preserve">Comité Cantonal Deportes y Recreación </t>
  </si>
  <si>
    <t>Asociación para la Atención Integral de Pacientes con Cancer</t>
  </si>
  <si>
    <t>Dirección Técnica y Estudio</t>
  </si>
  <si>
    <t>1.1.9.1.01.00.0.0.000</t>
  </si>
  <si>
    <t>I-02</t>
  </si>
  <si>
    <t>Auditoria General</t>
  </si>
  <si>
    <t>Administración General</t>
  </si>
  <si>
    <t>1.1.9.1.02.00.0.0.000</t>
  </si>
  <si>
    <t>Timbre Parques Nacionales Ley 7788</t>
  </si>
  <si>
    <t>i-04</t>
  </si>
  <si>
    <t>CONAGEBIO (10% de la Ley 7788)</t>
  </si>
  <si>
    <t>IFAM LEY 7509 3%</t>
  </si>
  <si>
    <t>Fondo de Desarrollo Municipal</t>
  </si>
  <si>
    <t>1.3.1.1.05.00.0.0.000</t>
  </si>
  <si>
    <t>Venta de Agua Potable e Industrial</t>
  </si>
  <si>
    <t>Administración General 10%</t>
  </si>
  <si>
    <t>II-06</t>
  </si>
  <si>
    <t>Acueducto</t>
  </si>
  <si>
    <t>III-05-03</t>
  </si>
  <si>
    <t>Plan Operación Mantenimiento y Des.Sistema de Acueducto 2018-2022</t>
  </si>
  <si>
    <t>Alquiler de Mercado</t>
  </si>
  <si>
    <t>1.3.1.2.04.01.1.0.000</t>
  </si>
  <si>
    <t>Otros Alquileres</t>
  </si>
  <si>
    <t>1.3.1.2.04.09.0.0.000</t>
  </si>
  <si>
    <t>1.3.1.2.05.01.1.0.000</t>
  </si>
  <si>
    <t>Servicio de Alcantarillado Sanitario</t>
  </si>
  <si>
    <t>II-13</t>
  </si>
  <si>
    <t>Alcantarillados Sanitarios</t>
  </si>
  <si>
    <t>III-05-04</t>
  </si>
  <si>
    <t>Plan Operación Mantenimiento y Desarrollo del Sistema de Recolección y Tratamiemto de Aguas Residuales</t>
  </si>
  <si>
    <t>Ingresos no presupuetados</t>
  </si>
  <si>
    <t>Servicio de Alcantarillado Pluvial</t>
  </si>
  <si>
    <t>Alcantarillados Pluvial</t>
  </si>
  <si>
    <t>1.3.1.2.05.04.2.0.000</t>
  </si>
  <si>
    <t>1.3.1.2.05.02.1.0.000</t>
  </si>
  <si>
    <t>Servicios de Instalación y Derivación del Agua</t>
  </si>
  <si>
    <t>Servicio de Recolección de Basura</t>
  </si>
  <si>
    <t>1.3.1.2.05.04.1.0.000</t>
  </si>
  <si>
    <t>II-02</t>
  </si>
  <si>
    <t>Recolección de Basura</t>
  </si>
  <si>
    <t>III-06 -03</t>
  </si>
  <si>
    <t>Implementación del Plan Municipal para la Gestión Integral de Residuos Sólidos</t>
  </si>
  <si>
    <t>Servicio de Aseo de Vías y Sitios Públicos</t>
  </si>
  <si>
    <t>II-01</t>
  </si>
  <si>
    <t>Aseo de Vías y Sitios Públicos</t>
  </si>
  <si>
    <t>Servicio de Parques Obras de Ornato</t>
  </si>
  <si>
    <t>1.3.1.2.05.04.4.0.000</t>
  </si>
  <si>
    <t>II-05</t>
  </si>
  <si>
    <t>Parques Obras de Ornato</t>
  </si>
  <si>
    <t>Incumplimiento de Deberes IBI</t>
  </si>
  <si>
    <t>1.3.1.2.05.04.5.0.000</t>
  </si>
  <si>
    <t>Por incumplimiento de Deberes de los Propietarios BI</t>
  </si>
  <si>
    <t>1.3.1.2.09.09.0.0.000</t>
  </si>
  <si>
    <t>Venta de Otros Servicios</t>
  </si>
  <si>
    <t>Derecho de Estacionamiento y de Terminales</t>
  </si>
  <si>
    <t>1.3.1.3.01.01.1.0.000</t>
  </si>
  <si>
    <t>1.3.1.3.02.03.1.0.000</t>
  </si>
  <si>
    <t>Derecho Plaza de Ganado</t>
  </si>
  <si>
    <t>Intereses Sobre Inversiones Financieras</t>
  </si>
  <si>
    <t>1.3.2.3.01.06.0.0.000</t>
  </si>
  <si>
    <t xml:space="preserve">Administración General </t>
  </si>
  <si>
    <t>Recursos libres sin asinacion Presupuestaria</t>
  </si>
  <si>
    <t>Superavit Libre sin asigación Presupuesaria</t>
  </si>
  <si>
    <t>Parques y Obras de Ornato</t>
  </si>
  <si>
    <t>Alcantarillado Sanitario</t>
  </si>
  <si>
    <t>Alcantarillado Pluvial</t>
  </si>
  <si>
    <t>1.3.3.1.01.01.0.0.000</t>
  </si>
  <si>
    <t>Multas por Infracción Ley de Parquímetros</t>
  </si>
  <si>
    <t>Multas Por Mora En El Pago De Impuestos y Tasas</t>
  </si>
  <si>
    <t>1.3.3.1.02.01.0.0.000</t>
  </si>
  <si>
    <t>Unión Nacional de Gobiernos Locales</t>
  </si>
  <si>
    <t>1.3.3.1.09.00.0.0.000</t>
  </si>
  <si>
    <t>Otras Multas</t>
  </si>
  <si>
    <t>1.3.4.1.00.00.0.0.000</t>
  </si>
  <si>
    <t>Intereses por Mora en Tributos</t>
  </si>
  <si>
    <t>Consejo Nacionala de Personas con Discapacidad</t>
  </si>
  <si>
    <t>1.4.1.2.01.00.0.0.000</t>
  </si>
  <si>
    <t>Aporte del Consejo de Seguridad Vial Ley 9058</t>
  </si>
  <si>
    <t xml:space="preserve"> Consejo de Seguridad Vial Ley 9058</t>
  </si>
  <si>
    <t>1.3.9.9</t>
  </si>
  <si>
    <t>Ingresos Varios no especificados</t>
  </si>
  <si>
    <t>II-22</t>
  </si>
  <si>
    <t>Diferencial Cam biario</t>
  </si>
  <si>
    <t>1.4.1.3.01.00.0.0.000</t>
  </si>
  <si>
    <t xml:space="preserve">Aporte IFAM Licores Nacionales y Extranjeros </t>
  </si>
  <si>
    <t>IFAM</t>
  </si>
  <si>
    <t>2.2.1.1.00.00.0.0.000</t>
  </si>
  <si>
    <t>Ruptura de Calles</t>
  </si>
  <si>
    <t xml:space="preserve">Acueducto </t>
  </si>
  <si>
    <t>2.4.1.1.01.00.0.0.000</t>
  </si>
  <si>
    <t>Recursos Provenientes de la Ley de Simplificación Tributaria Ley No. 8114</t>
  </si>
  <si>
    <t>Ministerio de Obra Públicas y Transporte</t>
  </si>
  <si>
    <t>2.4.1.1.02.00.0.0.000</t>
  </si>
  <si>
    <t>Ley 8316 Fondo de Alcantarillados</t>
  </si>
  <si>
    <t>Ministerio de Gobernación y Policia</t>
  </si>
  <si>
    <t>III-05-17</t>
  </si>
  <si>
    <t>Ley 8316 Mejoramiento Integral Quebrada el Barro</t>
  </si>
  <si>
    <t>2.4.1.1.03.00.0.0.000</t>
  </si>
  <si>
    <t>Mejoramiento Barrial mediante construcción de espacio público recreativo en Santa Rita</t>
  </si>
  <si>
    <t>2.4.1.3.01.00.0.0.001</t>
  </si>
  <si>
    <t>Aporte IFAM Para Mantenimiento y Conservación de Caminos y Calles Ley 6909</t>
  </si>
  <si>
    <t>Total Libres</t>
  </si>
  <si>
    <t>Total Específicos</t>
  </si>
  <si>
    <t>Total General</t>
  </si>
  <si>
    <t>3.3.1.0.00.00.0.0.000</t>
  </si>
  <si>
    <t>Superavit Libre</t>
  </si>
  <si>
    <t>Indemnizaciones</t>
  </si>
  <si>
    <t>Atención de Emergencias Cantonales</t>
  </si>
  <si>
    <t>Aporte en Especie para Servicios Y Proyectos Comunitarios</t>
  </si>
  <si>
    <t>Terminal FECOSA</t>
  </si>
  <si>
    <t>Construcción Salón Multiusosde Urb. Las Abras</t>
  </si>
  <si>
    <t xml:space="preserve">Mejoras Infraestructura Salón Comunal La Independencia </t>
  </si>
  <si>
    <t>Construcción Edificio  para Policia Municipal en Meza</t>
  </si>
  <si>
    <t>Obras complementarias en Edificaciones Comunales de Itiquis</t>
  </si>
  <si>
    <t>Mejoras CENCINAI de Carrizal</t>
  </si>
  <si>
    <t>Construcción Salón Comunal Multiusos los Jardines</t>
  </si>
  <si>
    <t>Mejoras Infraestructura Escuela De Itiquis</t>
  </si>
  <si>
    <t>Construccion Salon Comunal El Coco</t>
  </si>
  <si>
    <t>Mejoras Infraestructura Del Liceo Del Barrio San Jose</t>
  </si>
  <si>
    <t>Restauracion De Planta Fisica De La Escuela Invu Las Cañas</t>
  </si>
  <si>
    <t>Gimnasio Multiusos Escuela Timoleón Morera Soto modificaso en mod 5</t>
  </si>
  <si>
    <t>Mejoras de Infraestructura Salón Comunal Pueblo Nuevo</t>
  </si>
  <si>
    <t>Mejoras Infraestructura Escuela la California</t>
  </si>
  <si>
    <t>Mejora en la Infraestructura de la plaza de Deportes de Pavas de Carrizal</t>
  </si>
  <si>
    <t>Mejoras de Cancha Multiusos de Rincón Chiquito</t>
  </si>
  <si>
    <t>Mejoras Ebais de Villa Bonita</t>
  </si>
  <si>
    <t>Mejoras Escuela Guadalajar Pueblo Nuevo</t>
  </si>
  <si>
    <t>Mejoras Infrestructurra de la Escuela Barrio San Jose</t>
  </si>
  <si>
    <t>Mejoras Infraestructura Ebais de Itiquis</t>
  </si>
  <si>
    <t>Mantenimiento de Edificios Municipales con Valor Patrimonial</t>
  </si>
  <si>
    <t>Consolidación Bodega Municipal</t>
  </si>
  <si>
    <t>Centro de Rehabilitación y de Extensión Comunal</t>
  </si>
  <si>
    <t>Mantenimiento Periódico de la Red Vial Cantonal</t>
  </si>
  <si>
    <t>Construcción de Aceras Peatonales Canoas</t>
  </si>
  <si>
    <t>Construccion Puente Peatonal Escuela De Quebradas</t>
  </si>
  <si>
    <t>construcción de Muro de contención Quebrada de Barro, Monteciilos</t>
  </si>
  <si>
    <t>Mejoramiento Pluvial en San Rafael</t>
  </si>
  <si>
    <t>Diseño y Contratación Mejoras Viales y Pluviales en Calle Montenegro</t>
  </si>
  <si>
    <t>Instalación de Tuberia Agua Potable en San Miguel</t>
  </si>
  <si>
    <t>Mejoras Pluviales en Villa Bonita</t>
  </si>
  <si>
    <t>Alajuela Ciudad Segura</t>
  </si>
  <si>
    <t>Mejoras plaza de Deportes de Desamparados</t>
  </si>
  <si>
    <t>Compra de Terreno para Proyecto de Indigentes</t>
  </si>
  <si>
    <t>Mejoras Areas Comunales en Barrio Fátima</t>
  </si>
  <si>
    <t>Mantenimiento de Espacios de Interacción Social en el Cantón</t>
  </si>
  <si>
    <t>Mejoras Infraestructura Escuela Leon Cortés de la Guácima</t>
  </si>
  <si>
    <t>Mejoras Infraestructura Parque de el Trópico I</t>
  </si>
  <si>
    <t>Transferencias de Capital  Asociaciones</t>
  </si>
  <si>
    <t>Administración General 17%</t>
  </si>
  <si>
    <t>II-28</t>
  </si>
  <si>
    <t>III-01-04</t>
  </si>
  <si>
    <t>III-01-10</t>
  </si>
  <si>
    <t>III-01-12</t>
  </si>
  <si>
    <t>III-01-13</t>
  </si>
  <si>
    <t>III-01-14</t>
  </si>
  <si>
    <t>III-01-15</t>
  </si>
  <si>
    <t>III-01-16</t>
  </si>
  <si>
    <t>III-01-17</t>
  </si>
  <si>
    <t>III-01-18</t>
  </si>
  <si>
    <t>III-01-21</t>
  </si>
  <si>
    <t>III-01-23</t>
  </si>
  <si>
    <t>III-01-24</t>
  </si>
  <si>
    <t>III-01-25</t>
  </si>
  <si>
    <t>III-01-27</t>
  </si>
  <si>
    <t>III-01-28</t>
  </si>
  <si>
    <t>III-01-29</t>
  </si>
  <si>
    <t>III-01-30</t>
  </si>
  <si>
    <t>III-01-33</t>
  </si>
  <si>
    <t>III-01-36</t>
  </si>
  <si>
    <t>III-02-06</t>
  </si>
  <si>
    <t>III-02-07</t>
  </si>
  <si>
    <t>III-02-19</t>
  </si>
  <si>
    <t>III-05-01</t>
  </si>
  <si>
    <t>III-05-05</t>
  </si>
  <si>
    <t>III-05-11</t>
  </si>
  <si>
    <t>III-05-19</t>
  </si>
  <si>
    <t>III-05-29</t>
  </si>
  <si>
    <t>III-06-04</t>
  </si>
  <si>
    <t>III-06-12</t>
  </si>
  <si>
    <t>III-06-19</t>
  </si>
  <si>
    <t>III-06-25</t>
  </si>
  <si>
    <t>III-06-28</t>
  </si>
  <si>
    <t>III-06-29</t>
  </si>
  <si>
    <t>III-06-30</t>
  </si>
  <si>
    <t>III-07</t>
  </si>
  <si>
    <t>Mejoras Infraestructura Terreno De La Adi Barrio San Jose mod 7</t>
  </si>
  <si>
    <t>Transferencia de Capital mod 7</t>
  </si>
  <si>
    <t>3.3.2.0.00.00.0.0.011</t>
  </si>
  <si>
    <t>Fondo de Desarrollo Municipal, 8% del IBI, Ley Nº 7509</t>
  </si>
  <si>
    <t>3.3.2.0.00.00.0.0.012</t>
  </si>
  <si>
    <t>Junta Administrativa del Registro Nacional, 3% del IBI, Leyes 7509 y 7729</t>
  </si>
  <si>
    <t>3.3.2.0.00.00.0.0.013</t>
  </si>
  <si>
    <t>Instituto de Fomento y Asesoría Municipal, 3% del IBI, Ley Nº 7509</t>
  </si>
  <si>
    <t>3.3.2.0.00.00.0.0.014</t>
  </si>
  <si>
    <t>Juntas de educación, 10% impuesto territorial y 10% IBI, Leyes 7509 y 7729</t>
  </si>
  <si>
    <t>3.3.2.0.00.00.0.0.015</t>
  </si>
  <si>
    <t>Organo de Normalización Técnica, 1% del IBI, Ley Nº 7729</t>
  </si>
  <si>
    <t>Impuesto sobre bienes Inmuebles del periodo</t>
  </si>
  <si>
    <t>Superavit Impuesto sobre bienes Inmuebles</t>
  </si>
  <si>
    <t>3.3.2.0.00.00.0.0.003</t>
  </si>
  <si>
    <t>Seguridad Vial Multas</t>
  </si>
  <si>
    <t>III-02-18</t>
  </si>
  <si>
    <t>Señalización y demarcación Vial para el cantón de Alajuela</t>
  </si>
  <si>
    <t>Ingreso no presupuestado</t>
  </si>
  <si>
    <t>3.3.2.0.00.00.0.0.017</t>
  </si>
  <si>
    <t>Comité Cantonal de Deportes</t>
  </si>
  <si>
    <t>3.3.2.0.00.00.0.0.023</t>
  </si>
  <si>
    <t>Consejo Nacional de Personas con Discapacidad (CONAPDIS) Ley N°9303</t>
  </si>
  <si>
    <t>3.3.2.0.00.00.0.0.028</t>
  </si>
  <si>
    <t>MAG</t>
  </si>
  <si>
    <t>Ministerio de Agricultura y Ganaderia</t>
  </si>
  <si>
    <t>3.3.2.0.00.00.0.0.020</t>
  </si>
  <si>
    <t>Ley Nº7788 10% aporte CONAGEBIO</t>
  </si>
  <si>
    <t>3.3.2.0.00.00.0.0.021</t>
  </si>
  <si>
    <t>Ley Nº7788 70% aporte Fondo Parques Nacionales</t>
  </si>
  <si>
    <t>Fondo de Parques Nacionales</t>
  </si>
  <si>
    <t>3.3.2.0.00.00.0.0.001</t>
  </si>
  <si>
    <t>IV-02-01</t>
  </si>
  <si>
    <t>Construcción de Puentes Peatonales en el Cantón de Alajuela</t>
  </si>
  <si>
    <t>3.3.2.0.00.00.0.0.008</t>
  </si>
  <si>
    <t>Fondo para el acueducto Ley n°8316</t>
  </si>
  <si>
    <t>III-05-12</t>
  </si>
  <si>
    <t xml:space="preserve">Ley 8316 , Mejoras Sistema Pluvial Calle Pilas </t>
  </si>
  <si>
    <t>III-05-16</t>
  </si>
  <si>
    <t>Ley 8316 Mejoramiento Alcantarillado pluvial  el Roble de Alajuela</t>
  </si>
  <si>
    <t>III-05-30</t>
  </si>
  <si>
    <t>Ley 8316 Rehabilitación de la planta de tratamiento deVilla Bonita</t>
  </si>
  <si>
    <t>3.3.2.0.00.00.0.0.009</t>
  </si>
  <si>
    <t>Fondo de Ley de Simplificacion y Eficieciencia Tributaria</t>
  </si>
  <si>
    <t>Educativo, Culturales y Deportivo</t>
  </si>
  <si>
    <t>Construccion Salon Comunal Urb. San Francisco, Rincon Chiquito</t>
  </si>
  <si>
    <t>Construccion De Gimnasio Multiuso De Occidente, II Etapa</t>
  </si>
  <si>
    <t>Construccion Salon Comunal Urbanizacion San Geraro, II Etapa</t>
  </si>
  <si>
    <t>Mejoras Infraestructura De La Escuela Luis Demetrio Tinoco</t>
  </si>
  <si>
    <t>Remodelacion Del Gimnasio Invu Las Cañas 2</t>
  </si>
  <si>
    <t>Camerinos Plaza de Deportes del Coyol</t>
  </si>
  <si>
    <t xml:space="preserve">Remodelación y Construcción  Delegación del Roble </t>
  </si>
  <si>
    <t>Mejoras Infraestructura Salon Comunal De San Antonio Del Tejar</t>
  </si>
  <si>
    <t>Construccion Salon Multiuso Urbanización Silvia Eugenia</t>
  </si>
  <si>
    <t>Mejoras Infraestructura en el CENCINAI de Viila Bonita</t>
  </si>
  <si>
    <t>Mejoras en Infraestructura de Escuela Rafael Alberto Luna Herrera</t>
  </si>
  <si>
    <t>Mejoras Infraestructura Cancha de Deportes de Carrizal</t>
  </si>
  <si>
    <t>Mantenimiento  Periodico de la Red Vial Cantonal</t>
  </si>
  <si>
    <t>Diseño y Construcción de puente sobre Quebrada Cañas conector Vial Alajuela-Santa Bárbara de Heredia</t>
  </si>
  <si>
    <t>Obras Complementarias y Embellecimiento de la comunidad de Pilas San Isidro</t>
  </si>
  <si>
    <t>Diseño y Construcción de Puente sobre Río Alajuela en Calle el Salto Barrio San José</t>
  </si>
  <si>
    <t>Construcción de pantalla de concreto anclada Calle Vuelta Lulo, Tambor</t>
  </si>
  <si>
    <t>Construcción de puente sobre rio Quizarraces, conector San Isidro-Carrizal</t>
  </si>
  <si>
    <t>Construcción de Conector Peatonal en Carrizal</t>
  </si>
  <si>
    <t>Construcción de Conector Peatonal en Sabanilla</t>
  </si>
  <si>
    <t>Construcción de Muro de Contención Calle los Amigos</t>
  </si>
  <si>
    <t>Construcción de Conector Peatonal Guácima Centro</t>
  </si>
  <si>
    <t>Construcción puente el Urbano, El Roble</t>
  </si>
  <si>
    <t>Construcción de Cordon y Caño en Calle Pilas</t>
  </si>
  <si>
    <t>Mejoras Escuela el Roble</t>
  </si>
  <si>
    <t>Construcción de Cordon y Caño conector peatonal de San Luis de Sabanilla</t>
  </si>
  <si>
    <t xml:space="preserve">Mejoras  Pluviales Quintas  la Garita Rincón Cacao </t>
  </si>
  <si>
    <t>Mejoras Alcantarillado Pluvial De Calle Mondovi Desamparados De Alajuela I Etapa</t>
  </si>
  <si>
    <t xml:space="preserve">Instalación de Sistema Potable Calle Villa Lía Ciruelas </t>
  </si>
  <si>
    <t>Instalación de Tuberia de Agua Potable en Calle Morera</t>
  </si>
  <si>
    <t>Iluminación de Espacios Publicos</t>
  </si>
  <si>
    <t>Mejoras de la Infraestructura Vial de las calles la Unión Bella Vista</t>
  </si>
  <si>
    <t>Mejoramiento Pluvial IMAS 2</t>
  </si>
  <si>
    <t xml:space="preserve">Mejoras Sistema Pluvial Calle Nuestro Amo en Etapas </t>
  </si>
  <si>
    <t>Mejoramiento Pluvial Sagrada Familia de Barrio Nazaret de San Rafael de Alajuela</t>
  </si>
  <si>
    <t>Mejoras Pluviales en Lagos del Coyol</t>
  </si>
  <si>
    <t>Mejoras Pluviales en calle  Mondovi Desamparados mod 6</t>
  </si>
  <si>
    <t>Mejoras en Sistema Pluvial de Carbonal</t>
  </si>
  <si>
    <t>Mejoras Pluviales en calle Rinconcito Distrito San Jose</t>
  </si>
  <si>
    <t>Plan de Desarrollo Informático</t>
  </si>
  <si>
    <t>Mejoras Parque Recreativo Calle Simón</t>
  </si>
  <si>
    <t>Mejoras Plaza de Deportes de San Martín</t>
  </si>
  <si>
    <t>Compra de Terreno para Salón Comunal Río Segundo</t>
  </si>
  <si>
    <t xml:space="preserve">Mejoras Parque en Urb. Gregorio José Ramirez </t>
  </si>
  <si>
    <t>Construcción Cancha Multiuso Urb. La Torre</t>
  </si>
  <si>
    <t>Mejoras Parque Infantil la Julieta</t>
  </si>
  <si>
    <t>Equipamiento de Rescate y Atención de Emergencias de Cruz Roja de San Miguel</t>
  </si>
  <si>
    <t>Mejoras Infraestructuradel Parque de Urbanización Lisboa</t>
  </si>
  <si>
    <t>Parque recreativo Infantil de San Miguel de Sarapiqui</t>
  </si>
  <si>
    <t>Adquisición de Terreno para ampliación del Cementerio de Carrizal</t>
  </si>
  <si>
    <t>Construcción de muro de contención parque de la Urbanización Baviera</t>
  </si>
  <si>
    <t>Mejoras en Parque la Loma Urbanización la Trinidad</t>
  </si>
  <si>
    <t>Mejoras en el Parque los Héroes San Antonio</t>
  </si>
  <si>
    <t>Mejoras Infraestructrura Instalaciones Asociación de San Isidro</t>
  </si>
  <si>
    <t>Construcción del Centro de Desarrollo Cultural del Erizo</t>
  </si>
  <si>
    <t>Estudio y Actualización del Estado Registral y Catastral del Polideportivo Monserrat</t>
  </si>
  <si>
    <t>Plan Regulador</t>
  </si>
  <si>
    <t>Mejoras Centro de Deportes de Cinco Esquinas de Carrizal</t>
  </si>
  <si>
    <t>3.3.2.0.00.00.0.0.030</t>
  </si>
  <si>
    <t>ICODER</t>
  </si>
  <si>
    <t>Concejo Nacional de la Persona Joven</t>
  </si>
  <si>
    <t>3.3.2.0.00.00.0.0.029</t>
  </si>
  <si>
    <t>notas de credito</t>
  </si>
  <si>
    <t>3.3.2.0.00.00.0.0.033</t>
  </si>
  <si>
    <t>Aporte  de Cooperación Alemana</t>
  </si>
  <si>
    <t>3.3.2.0.00.00.0.0.024</t>
  </si>
  <si>
    <t>Fondos Solidarios</t>
  </si>
  <si>
    <t>Partidas Chinas</t>
  </si>
  <si>
    <t>Partidas Gobernacion</t>
  </si>
  <si>
    <t>Pretamo del Banco Naciona</t>
  </si>
  <si>
    <t>III-05-14</t>
  </si>
  <si>
    <t>Instalaciones Alcantarillado Pluvial en San José de Alajuela</t>
  </si>
  <si>
    <t>3.3.2.0.00.00.0.0.018</t>
  </si>
  <si>
    <t xml:space="preserve">Fondo Servico de Aseo de Vias </t>
  </si>
  <si>
    <t>Ingresos no presupestados</t>
  </si>
  <si>
    <t>3.3.2.0.00.00.0.0.004</t>
  </si>
  <si>
    <t>Fondo de Recolección de Basuras</t>
  </si>
  <si>
    <t>III-06-03</t>
  </si>
  <si>
    <t>Implementación del Plan  Municipal de Residuos</t>
  </si>
  <si>
    <t>3.3.2.0.00.00.0.0.005</t>
  </si>
  <si>
    <t>Fondo de Parques y Obras de Ornato</t>
  </si>
  <si>
    <t>3.3.2.0.00.00.0.0.007</t>
  </si>
  <si>
    <t>Fondo del Acueducto</t>
  </si>
  <si>
    <t>Plan Operación Mantenimiento y Des. Sistema de Acueducto</t>
  </si>
  <si>
    <t>Sectorizacion Zona Presion Sistema Alajuela Centro</t>
  </si>
  <si>
    <t>Cerramiento de nacientes</t>
  </si>
  <si>
    <t>3.3.2.0.00.00.0.0.026</t>
  </si>
  <si>
    <t>Fondo Mercado</t>
  </si>
  <si>
    <t>3.3.2.0.00.00.0.0.006</t>
  </si>
  <si>
    <t>Fondo de Alcantarillado Sanitario</t>
  </si>
  <si>
    <t>Plan Operación Mantenimiento y Desarrollo del Sistema de Saneamiento de la Municipalidad de Alajuela</t>
  </si>
  <si>
    <t>III-05-31</t>
  </si>
  <si>
    <t>Rehabilitación Planta de Tratamiento de Villa Bonita</t>
  </si>
  <si>
    <t>Ingresos no Prsupuestados</t>
  </si>
  <si>
    <t>3.3.2.0.00.00.0.0.027</t>
  </si>
  <si>
    <t>Fondo de Alcantarillado Pluvial</t>
  </si>
  <si>
    <t>Diseño y Contratación de mejoras Viales y Pluviales en Calle Montenegro, Fraijanes</t>
  </si>
  <si>
    <t>III-01-20</t>
  </si>
  <si>
    <t>III-01-22</t>
  </si>
  <si>
    <t>III-02-02</t>
  </si>
  <si>
    <t>III-05-02</t>
  </si>
  <si>
    <t>III-05-13</t>
  </si>
  <si>
    <t>III-05-15</t>
  </si>
  <si>
    <t>IV</t>
  </si>
  <si>
    <t>Municipalidad de 2021</t>
  </si>
  <si>
    <t>ESTADO DEL PENDIENTE DE COBRO AL 31 DE DICIEMBRE DEL 2021</t>
  </si>
  <si>
    <t>Total Morosidad al 31/12/2021</t>
  </si>
  <si>
    <t>Monto puesto al cobro durante el 2021</t>
  </si>
  <si>
    <t>Impuesto sobre construcciones</t>
  </si>
  <si>
    <t>Impuesto alos rotulos Publicos</t>
  </si>
  <si>
    <t>Timbre Parques Nacionales</t>
  </si>
  <si>
    <t>Espectaculos Públicos</t>
  </si>
  <si>
    <t>Alquiler de mercado</t>
  </si>
  <si>
    <t>Servicios e Instalación y derivación de Agiuas</t>
  </si>
  <si>
    <t>otros</t>
  </si>
  <si>
    <t>Alquileres Varios(Plaza)</t>
  </si>
  <si>
    <t>Incumplimiento de Deberes de los municipes</t>
  </si>
  <si>
    <t>Multas por Mora</t>
  </si>
  <si>
    <t>Lic. Ana María Alvarado Garita</t>
  </si>
  <si>
    <t>Encargado de Presupuesto</t>
  </si>
  <si>
    <t>Recursos Libres sin Asignación Presupuestaria modf1</t>
  </si>
  <si>
    <t>Construccion salon comunal el Coco</t>
  </si>
  <si>
    <t>Venta de Otros Servicios (Red de Cuido)</t>
  </si>
  <si>
    <t>Organismo de Normalización Técnica, 1% del IBI, Ley Nº 7729</t>
  </si>
  <si>
    <t>Fondo del Impuesto sobre bienes inmuebles, 76% Ley Nº 7729</t>
  </si>
  <si>
    <t>Consejo de Seguridad Vial, art. 217, Ley 7331-93</t>
  </si>
  <si>
    <t xml:space="preserve">Impuesto al cemento </t>
  </si>
  <si>
    <t>Aporte al Consejo Nacional de Personas con Discapacidad (CONAPDIS) Ley N°9303</t>
  </si>
  <si>
    <t>Fondo Ley Simplificación y Eficiencia Tributarias Ley Nº 8114</t>
  </si>
  <si>
    <t xml:space="preserve">Proyectos y programas para la Persona Joven </t>
  </si>
  <si>
    <t>Fondo Aseo de Vías</t>
  </si>
  <si>
    <t>Fondo recolección de basura</t>
  </si>
  <si>
    <t>Fondo Acueducto</t>
  </si>
  <si>
    <t>Fondo de parques y obras de ornato</t>
  </si>
  <si>
    <t>Fondo servicio de mercado</t>
  </si>
  <si>
    <t>Fondo alcantarillado sanitario</t>
  </si>
  <si>
    <t>Fondo alcantarillado pluvial</t>
  </si>
  <si>
    <t>Saldo de partidas específicas</t>
  </si>
  <si>
    <t>FODESAF Red de Cuido venta de servicios</t>
  </si>
  <si>
    <t>Prestamo Banco Nacional</t>
  </si>
  <si>
    <t>Notas de crédito sin registrar</t>
  </si>
  <si>
    <t>Notas de crédito sin registrar 2021</t>
  </si>
  <si>
    <t>transferencias anexo 5</t>
  </si>
  <si>
    <t>Aporte cooperación Alemana</t>
  </si>
  <si>
    <t>Ministerio de Vivienda y asentamiento Humano</t>
  </si>
  <si>
    <t xml:space="preserve"> 8% del IBI, Ley Nº 7509</t>
  </si>
  <si>
    <t>3% del IBI, Leyes 7509 y 7729</t>
  </si>
  <si>
    <t>3% del IBI, Ley Nº 7509</t>
  </si>
  <si>
    <t>10% impuesto territorial y 10% IBI, Leyes 7509 y 7729</t>
  </si>
  <si>
    <t>1% del IBI, Ley Nº 7729</t>
  </si>
  <si>
    <t>71% Ley Nº 7729</t>
  </si>
  <si>
    <t>Cod Municipal Art 170</t>
  </si>
  <si>
    <t>LEY 9303</t>
  </si>
  <si>
    <t>aporte CONAGEBIO</t>
  </si>
  <si>
    <t>aporte Fondo Parques Nacionales</t>
  </si>
  <si>
    <t>Fondo del Impuesto sobre bienes inmuebles</t>
  </si>
  <si>
    <t>Organismo de Normalización Técnica</t>
  </si>
  <si>
    <t>Juntas de educación</t>
  </si>
  <si>
    <t>Instituto de Fomento y Asesoría Municipal</t>
  </si>
  <si>
    <t>Ley 8261</t>
  </si>
  <si>
    <t xml:space="preserve">Impuesto a personas que  salen del país por aeropuertos  </t>
  </si>
  <si>
    <t>Ley Nº 9156</t>
  </si>
  <si>
    <t>MUNICIPALIDAD DE ALAJUELA</t>
  </si>
  <si>
    <t>INSTITUCIÓN: MUNICIPALIDAD DE ALAJUELA</t>
  </si>
  <si>
    <t>Para ser usado en el acueducto y alcantarillado del Cantón</t>
  </si>
  <si>
    <t>Para ser utilizado en el matenimiento y construcción de carreteras</t>
  </si>
  <si>
    <t>Destinado al Servicio de Sergucidad Vial</t>
  </si>
  <si>
    <t>Lic Sofía Gonzalez Barquero</t>
  </si>
  <si>
    <t>Lic. Ana María Alvarado Gartia</t>
  </si>
  <si>
    <t>X</t>
  </si>
  <si>
    <t>Ajustes</t>
  </si>
  <si>
    <t>Recomendación de auditoria Acueducto</t>
  </si>
  <si>
    <t>Recomendación de auditoria BI</t>
  </si>
  <si>
    <t>Notas de Debito Aclaradasdel 202</t>
  </si>
  <si>
    <t>Bienes Inmuebles separados en el 2021 en esspecifico</t>
  </si>
  <si>
    <t>NC 2021 separadas en específico</t>
  </si>
  <si>
    <t>Nc y debito por aclarar</t>
  </si>
  <si>
    <t>error pertenece a especifico</t>
  </si>
  <si>
    <t>Intereses libres</t>
  </si>
  <si>
    <t>LIQUIDACIÓN DEL PRESUPUESTO  2021</t>
  </si>
  <si>
    <t>Más:</t>
  </si>
  <si>
    <t xml:space="preserve"> Menos:</t>
  </si>
  <si>
    <t>Notas de débito sin registrar 2021</t>
  </si>
  <si>
    <t>SALDO TOTAL</t>
  </si>
  <si>
    <t xml:space="preserve">Encargado de Presupuesto </t>
  </si>
  <si>
    <t>Lic Ana María Alvaado Garita</t>
  </si>
  <si>
    <t>TOTALES</t>
  </si>
  <si>
    <t>Cuentas Especiales</t>
  </si>
  <si>
    <t>Amortización</t>
  </si>
  <si>
    <t>Transferencias de Capital</t>
  </si>
  <si>
    <t>Transferencias Corrientes</t>
  </si>
  <si>
    <t>Bienes Duraderos</t>
  </si>
  <si>
    <t>Activos Financieros</t>
  </si>
  <si>
    <t>Intereses y Comisiones</t>
  </si>
  <si>
    <t>Materiales y Suministros</t>
  </si>
  <si>
    <t>SALDO PRESUPUESTARIO</t>
  </si>
  <si>
    <t>EGRESOS MÁS COMPROMISOS</t>
  </si>
  <si>
    <t>COMPROMISOS</t>
  </si>
  <si>
    <t>EGRESOS REALES</t>
  </si>
  <si>
    <t>PRESUPUESTO APROBADO</t>
  </si>
  <si>
    <t>PARTIDA</t>
  </si>
  <si>
    <t>RESUMEN</t>
  </si>
  <si>
    <t>AL 31-12-2021</t>
  </si>
  <si>
    <t>INFORME DE COMPROMISOS</t>
  </si>
  <si>
    <t>MUNICIPALIDAD DE</t>
  </si>
  <si>
    <t>FORMULARIO Nro. 4</t>
  </si>
  <si>
    <t>Ejecución total Programa IV</t>
  </si>
  <si>
    <t>DOCUMENTO DE RESPALDO</t>
  </si>
  <si>
    <t>PROGRAMA IV: PARTIDAS ESPECÍFICAS</t>
  </si>
  <si>
    <t>Ejecución total Programa III</t>
  </si>
  <si>
    <t>PROGRAMA III: INVERSIONES</t>
  </si>
  <si>
    <t>Ejecución total Programa II</t>
  </si>
  <si>
    <t>PROGRAMA II: SERVICIOS COMUNITARIOS</t>
  </si>
  <si>
    <t>Ejecución total Programa I</t>
  </si>
  <si>
    <t>PROGRAMA I: DIRECCIÓN Y ADMINISTRACIÓN GENERAL</t>
  </si>
  <si>
    <t>FORMULARIO Nro.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</si>
</sst>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
    <numFmt numFmtId="165" formatCode="[$₡]#,##0"/>
    <numFmt numFmtId="166" formatCode="[$¢-140A]#,##0.00"/>
    <numFmt numFmtId="167" formatCode="_(* #,##0.00_);_(* \(#,##0.00\);_(* &quot;-&quot;??_);_(@_)"/>
    <numFmt numFmtId="168" formatCode="#,##0.00000"/>
    <numFmt numFmtId="169" formatCode="#,##0.000"/>
    <numFmt numFmtId="170" formatCode="_-* #,##0.00\ _P_t_s_-;\-* #,##0.00\ _P_t_s_-;_-* &quot;-&quot;??\ _P_t_s_-;_-@_-"/>
  </numFmts>
  <fonts count="65" x14ac:knownFonts="1">
    <font>
      <sz val="10"/>
      <color rgb="FF000000"/>
      <name val="Arial"/>
    </font>
    <font>
      <sz val="10"/>
      <name val="Arial"/>
      <family val="2"/>
    </font>
    <font>
      <b/>
      <sz val="10"/>
      <color theme="1"/>
      <name val="Arial"/>
      <family val="2"/>
    </font>
    <font>
      <sz val="10"/>
      <color theme="1"/>
      <name val="Arial"/>
      <family val="2"/>
    </font>
    <font>
      <b/>
      <sz val="14"/>
      <color rgb="FFFFFFFF"/>
      <name val="Century Gothic"/>
      <family val="2"/>
    </font>
    <font>
      <sz val="11"/>
      <color rgb="FFFFFFFF"/>
      <name val="Century Gothic"/>
      <family val="2"/>
    </font>
    <font>
      <sz val="11"/>
      <color rgb="FF000000"/>
      <name val="Century Gothic"/>
      <family val="2"/>
    </font>
    <font>
      <sz val="10"/>
      <color theme="1"/>
      <name val="Century Gothic"/>
      <family val="2"/>
    </font>
    <font>
      <b/>
      <sz val="11"/>
      <color rgb="FF000000"/>
      <name val="Century Gothic"/>
      <family val="2"/>
    </font>
    <font>
      <b/>
      <sz val="10"/>
      <color theme="1"/>
      <name val="Century Gothic"/>
      <family val="2"/>
    </font>
    <font>
      <b/>
      <sz val="11"/>
      <color theme="1"/>
      <name val="Century Gothic"/>
      <family val="2"/>
    </font>
    <font>
      <sz val="11"/>
      <color theme="1"/>
      <name val="Century Gothic"/>
      <family val="2"/>
    </font>
    <font>
      <b/>
      <sz val="9"/>
      <color rgb="FFFFFFFF"/>
      <name val="Century Gothic"/>
      <family val="2"/>
    </font>
    <font>
      <sz val="14"/>
      <color theme="0"/>
      <name val="Arial"/>
      <family val="2"/>
    </font>
    <font>
      <b/>
      <sz val="14"/>
      <color theme="1"/>
      <name val="Calibri"/>
      <family val="2"/>
    </font>
    <font>
      <b/>
      <sz val="14"/>
      <color theme="1"/>
      <name val="Century Gothic"/>
      <family val="2"/>
    </font>
    <font>
      <b/>
      <sz val="11"/>
      <color theme="1"/>
      <name val="Arial"/>
      <family val="2"/>
    </font>
    <font>
      <b/>
      <sz val="8"/>
      <color theme="1"/>
      <name val="Arial"/>
      <family val="2"/>
    </font>
    <font>
      <b/>
      <sz val="12"/>
      <color rgb="FFFFFFFF"/>
      <name val="Century Gothic"/>
      <family val="2"/>
    </font>
    <font>
      <b/>
      <i/>
      <sz val="9"/>
      <color theme="1"/>
      <name val="Arial"/>
      <family val="2"/>
    </font>
    <font>
      <b/>
      <sz val="10"/>
      <color rgb="FFFFFFFF"/>
      <name val="Arial"/>
      <family val="2"/>
    </font>
    <font>
      <b/>
      <sz val="10"/>
      <color rgb="FFFFFFFF"/>
      <name val="Century Gothic"/>
      <family val="2"/>
    </font>
    <font>
      <sz val="9"/>
      <color theme="1"/>
      <name val="Century Gothic"/>
      <family val="2"/>
    </font>
    <font>
      <sz val="10"/>
      <color theme="1"/>
      <name val="Calibri"/>
      <family val="2"/>
    </font>
    <font>
      <sz val="8"/>
      <color theme="1"/>
      <name val="Arial"/>
      <family val="2"/>
    </font>
    <font>
      <b/>
      <sz val="8"/>
      <color rgb="FFFFFFFF"/>
      <name val="Century Gothic"/>
      <family val="2"/>
    </font>
    <font>
      <sz val="10"/>
      <color rgb="FFFFFFFF"/>
      <name val="Century Gothic"/>
      <family val="2"/>
    </font>
    <font>
      <sz val="11"/>
      <color theme="1"/>
      <name val="Arial"/>
      <family val="2"/>
    </font>
    <font>
      <b/>
      <sz val="12"/>
      <color rgb="FFFF0000"/>
      <name val="Arial"/>
      <family val="2"/>
    </font>
    <font>
      <b/>
      <sz val="12"/>
      <color theme="1"/>
      <name val="Arial"/>
      <family val="2"/>
    </font>
    <font>
      <b/>
      <sz val="12"/>
      <color theme="0"/>
      <name val="Arial"/>
      <family val="2"/>
    </font>
    <font>
      <b/>
      <sz val="10"/>
      <color rgb="FFFFFFFF"/>
      <name val="Arial"/>
      <family val="2"/>
    </font>
    <font>
      <b/>
      <sz val="11"/>
      <color rgb="FFFFFFFF"/>
      <name val="Arial"/>
      <family val="2"/>
    </font>
    <font>
      <b/>
      <sz val="9"/>
      <color rgb="FFFFFFFF"/>
      <name val="Arial"/>
      <family val="2"/>
    </font>
    <font>
      <b/>
      <sz val="10"/>
      <color theme="0"/>
      <name val="Arial"/>
      <family val="2"/>
    </font>
    <font>
      <sz val="10"/>
      <color theme="1"/>
      <name val="Arial"/>
      <family val="2"/>
    </font>
    <font>
      <sz val="11"/>
      <color theme="0"/>
      <name val="Calibri"/>
      <family val="2"/>
    </font>
    <font>
      <sz val="11"/>
      <color theme="1"/>
      <name val="Calibri"/>
      <family val="2"/>
    </font>
    <font>
      <sz val="10"/>
      <color theme="0"/>
      <name val="Calibri"/>
      <family val="2"/>
    </font>
    <font>
      <b/>
      <vertAlign val="superscript"/>
      <sz val="11"/>
      <color rgb="FF000000"/>
      <name val="Century Gothic"/>
      <family val="2"/>
    </font>
    <font>
      <b/>
      <i/>
      <sz val="11"/>
      <color rgb="FFFFFFFF"/>
      <name val="Arial"/>
      <family val="2"/>
    </font>
    <font>
      <b/>
      <i/>
      <sz val="12"/>
      <color theme="1"/>
      <name val="Arial"/>
      <family val="2"/>
    </font>
    <font>
      <i/>
      <sz val="9"/>
      <color theme="1"/>
      <name val="Arial"/>
      <family val="2"/>
    </font>
    <font>
      <b/>
      <sz val="10"/>
      <color rgb="FF000000"/>
      <name val="Arial"/>
      <family val="2"/>
    </font>
    <font>
      <sz val="10"/>
      <color rgb="FF000000"/>
      <name val="Arial"/>
      <family val="2"/>
    </font>
    <font>
      <sz val="11"/>
      <name val="Arial"/>
      <family val="2"/>
    </font>
    <font>
      <b/>
      <sz val="8"/>
      <color indexed="81"/>
      <name val="Tahoma"/>
      <family val="2"/>
    </font>
    <font>
      <sz val="10"/>
      <name val="Arial"/>
      <family val="2"/>
    </font>
    <font>
      <b/>
      <sz val="10"/>
      <name val="Arial"/>
      <family val="2"/>
    </font>
    <font>
      <b/>
      <i/>
      <sz val="10"/>
      <name val="Arial"/>
      <family val="2"/>
    </font>
    <font>
      <i/>
      <sz val="10"/>
      <name val="Arial"/>
      <family val="2"/>
    </font>
    <font>
      <b/>
      <sz val="10"/>
      <color theme="1"/>
      <name val="Calibri"/>
      <family val="2"/>
    </font>
    <font>
      <sz val="11"/>
      <color rgb="FF0033CC"/>
      <name val="Arial Narrow"/>
      <family val="2"/>
    </font>
    <font>
      <sz val="10"/>
      <name val="Arial"/>
      <family val="2"/>
    </font>
    <font>
      <b/>
      <sz val="11"/>
      <name val="Arial"/>
      <family val="2"/>
    </font>
    <font>
      <sz val="9"/>
      <name val="Arial"/>
      <family val="2"/>
    </font>
    <font>
      <sz val="9"/>
      <color indexed="81"/>
      <name val="Tahoma"/>
      <family val="2"/>
    </font>
    <font>
      <b/>
      <sz val="9"/>
      <color indexed="81"/>
      <name val="Tahoma"/>
      <family val="2"/>
    </font>
    <font>
      <sz val="10"/>
      <name val="Arial"/>
      <family val="2"/>
    </font>
    <font>
      <b/>
      <sz val="10"/>
      <color indexed="9"/>
      <name val="Arial"/>
      <family val="2"/>
    </font>
    <font>
      <b/>
      <sz val="12"/>
      <color indexed="10"/>
      <name val="Arial"/>
      <family val="2"/>
    </font>
    <font>
      <sz val="11"/>
      <color rgb="FF000000"/>
      <name val="Calibri"/>
      <family val="2"/>
      <charset val="1"/>
    </font>
    <font>
      <sz val="8"/>
      <color indexed="81"/>
      <name val="Tahoma"/>
      <family val="2"/>
    </font>
    <font>
      <b/>
      <sz val="11"/>
      <color indexed="81"/>
      <name val="Tahoma"/>
      <family val="2"/>
    </font>
    <font>
      <sz val="11"/>
      <color indexed="81"/>
      <name val="Tahoma"/>
      <family val="2"/>
    </font>
  </fonts>
  <fills count="23">
    <fill>
      <patternFill patternType="none"/>
    </fill>
    <fill>
      <patternFill patternType="gray125"/>
    </fill>
    <fill>
      <patternFill patternType="solid">
        <fgColor rgb="FF073763"/>
        <bgColor rgb="FF073763"/>
      </patternFill>
    </fill>
    <fill>
      <patternFill patternType="solid">
        <fgColor rgb="FFD9EAD3"/>
        <bgColor rgb="FFD9EAD3"/>
      </patternFill>
    </fill>
    <fill>
      <patternFill patternType="solid">
        <fgColor rgb="FFEA9999"/>
        <bgColor rgb="FFEA9999"/>
      </patternFill>
    </fill>
    <fill>
      <patternFill patternType="solid">
        <fgColor rgb="FFDAEEF3"/>
        <bgColor rgb="FFDAEEF3"/>
      </patternFill>
    </fill>
    <fill>
      <patternFill patternType="solid">
        <fgColor rgb="FFE36C09"/>
        <bgColor rgb="FFE36C09"/>
      </patternFill>
    </fill>
    <fill>
      <patternFill patternType="solid">
        <fgColor rgb="FF1F497D"/>
        <bgColor rgb="FF1F497D"/>
      </patternFill>
    </fill>
    <fill>
      <patternFill patternType="solid">
        <fgColor rgb="FF1064B0"/>
        <bgColor rgb="FF1064B0"/>
      </patternFill>
    </fill>
    <fill>
      <patternFill patternType="solid">
        <fgColor rgb="FF147EDE"/>
        <bgColor rgb="FF147EDE"/>
      </patternFill>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00B0F0"/>
        <bgColor indexed="64"/>
      </patternFill>
    </fill>
    <fill>
      <patternFill patternType="solid">
        <fgColor indexed="9"/>
        <bgColor indexed="64"/>
      </patternFill>
    </fill>
    <fill>
      <patternFill patternType="solid">
        <fgColor indexed="47"/>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
      <patternFill patternType="solid">
        <fgColor indexed="56"/>
        <bgColor indexed="64"/>
      </patternFill>
    </fill>
    <fill>
      <patternFill patternType="solid">
        <fgColor rgb="FFFFFF99"/>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43" fontId="44" fillId="0" borderId="0" applyFont="0" applyFill="0" applyBorder="0" applyAlignment="0" applyProtection="0"/>
    <xf numFmtId="0" fontId="47" fillId="0" borderId="27"/>
    <xf numFmtId="43" fontId="1" fillId="0" borderId="27" applyFont="0" applyFill="0" applyBorder="0" applyAlignment="0" applyProtection="0"/>
    <xf numFmtId="43" fontId="53" fillId="0" borderId="27" applyFont="0" applyFill="0" applyBorder="0" applyAlignment="0" applyProtection="0"/>
    <xf numFmtId="0" fontId="58" fillId="0" borderId="27"/>
    <xf numFmtId="170" fontId="1" fillId="0" borderId="27" applyFont="0" applyFill="0" applyBorder="0" applyAlignment="0" applyProtection="0"/>
    <xf numFmtId="0" fontId="61" fillId="0" borderId="27"/>
    <xf numFmtId="170" fontId="1" fillId="0" borderId="27" applyFont="0" applyFill="0" applyBorder="0" applyAlignment="0" applyProtection="0"/>
  </cellStyleXfs>
  <cellXfs count="424">
    <xf numFmtId="0" fontId="0" fillId="0" borderId="0" xfId="0" applyFont="1" applyAlignment="1"/>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wrapText="1"/>
    </xf>
    <xf numFmtId="0" fontId="8" fillId="0" borderId="0" xfId="0" applyFont="1" applyAlignment="1">
      <alignment horizontal="center" vertical="center" wrapText="1"/>
    </xf>
    <xf numFmtId="0" fontId="8" fillId="0" borderId="0" xfId="0" applyFont="1" applyAlignment="1">
      <alignment vertical="center" wrapText="1"/>
    </xf>
    <xf numFmtId="4" fontId="6" fillId="0" borderId="0" xfId="0" applyNumberFormat="1" applyFont="1" applyAlignment="1">
      <alignment horizontal="right" vertical="center" wrapText="1"/>
    </xf>
    <xf numFmtId="164" fontId="6" fillId="0" borderId="0" xfId="0" applyNumberFormat="1" applyFont="1" applyAlignment="1">
      <alignment horizontal="right" vertical="center" wrapText="1"/>
    </xf>
    <xf numFmtId="0" fontId="6" fillId="0" borderId="0" xfId="0" applyFont="1" applyAlignment="1">
      <alignment vertical="center" wrapText="1"/>
    </xf>
    <xf numFmtId="165" fontId="6" fillId="0" borderId="0" xfId="0" applyNumberFormat="1" applyFont="1" applyAlignment="1">
      <alignment horizontal="right" vertical="center" wrapText="1"/>
    </xf>
    <xf numFmtId="4" fontId="6" fillId="0" borderId="0" xfId="0" applyNumberFormat="1" applyFont="1" applyAlignment="1">
      <alignment vertical="center" wrapText="1"/>
    </xf>
    <xf numFmtId="164" fontId="8" fillId="0" borderId="0" xfId="0" applyNumberFormat="1" applyFont="1" applyAlignment="1">
      <alignment horizontal="right" vertical="center" wrapText="1"/>
    </xf>
    <xf numFmtId="4" fontId="6" fillId="0" borderId="0" xfId="0" applyNumberFormat="1" applyFont="1" applyAlignment="1">
      <alignment horizontal="right" vertical="center"/>
    </xf>
    <xf numFmtId="2" fontId="8" fillId="0" borderId="0" xfId="0" applyNumberFormat="1" applyFont="1" applyAlignment="1">
      <alignment vertical="center"/>
    </xf>
    <xf numFmtId="4" fontId="8" fillId="0" borderId="0" xfId="0" applyNumberFormat="1" applyFont="1" applyAlignment="1">
      <alignment vertical="center"/>
    </xf>
    <xf numFmtId="0" fontId="9" fillId="0" borderId="0" xfId="0" applyFont="1" applyAlignment="1">
      <alignment vertical="center"/>
    </xf>
    <xf numFmtId="0" fontId="2" fillId="0" borderId="0" xfId="0" applyFont="1" applyAlignment="1">
      <alignment vertical="center"/>
    </xf>
    <xf numFmtId="0" fontId="9" fillId="0" borderId="1" xfId="0" applyFont="1" applyBorder="1" applyAlignment="1">
      <alignment vertical="center"/>
    </xf>
    <xf numFmtId="164" fontId="6" fillId="0" borderId="1" xfId="0" applyNumberFormat="1" applyFont="1" applyBorder="1" applyAlignment="1">
      <alignment horizontal="right" vertical="center" wrapText="1"/>
    </xf>
    <xf numFmtId="4" fontId="7" fillId="0" borderId="0" xfId="0" applyNumberFormat="1" applyFont="1" applyAlignment="1">
      <alignment vertical="center"/>
    </xf>
    <xf numFmtId="0" fontId="10" fillId="0" borderId="5" xfId="0" applyFont="1" applyBorder="1" applyAlignment="1">
      <alignment vertical="center"/>
    </xf>
    <xf numFmtId="0" fontId="8" fillId="0" borderId="0" xfId="0" applyFont="1" applyAlignment="1">
      <alignment vertical="center"/>
    </xf>
    <xf numFmtId="0" fontId="11" fillId="0" borderId="0" xfId="0" applyFont="1" applyAlignment="1">
      <alignmen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3" fillId="0" borderId="0" xfId="0" applyFont="1" applyAlignment="1">
      <alignment vertical="center"/>
    </xf>
    <xf numFmtId="0" fontId="3" fillId="0" borderId="9" xfId="0" applyFont="1" applyBorder="1" applyAlignment="1">
      <alignment vertical="center"/>
    </xf>
    <xf numFmtId="0" fontId="3" fillId="0" borderId="13" xfId="0" applyFont="1" applyBorder="1" applyAlignment="1">
      <alignment vertical="center"/>
    </xf>
    <xf numFmtId="0" fontId="16" fillId="0" borderId="0" xfId="0" applyFont="1" applyAlignment="1">
      <alignment horizontal="center"/>
    </xf>
    <xf numFmtId="0" fontId="3" fillId="0" borderId="0" xfId="0" applyFont="1"/>
    <xf numFmtId="0" fontId="17" fillId="0" borderId="0" xfId="0" applyFont="1" applyAlignment="1">
      <alignment horizontal="center" wrapText="1"/>
    </xf>
    <xf numFmtId="0" fontId="16" fillId="0" borderId="0" xfId="0" applyFont="1" applyAlignment="1">
      <alignment horizontal="left"/>
    </xf>
    <xf numFmtId="0" fontId="21" fillId="6" borderId="17"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19" xfId="0" applyFont="1" applyFill="1" applyBorder="1" applyAlignment="1">
      <alignment horizontal="center" wrapText="1"/>
    </xf>
    <xf numFmtId="0" fontId="21" fillId="6" borderId="20" xfId="0" applyFont="1" applyFill="1" applyBorder="1" applyAlignment="1">
      <alignment horizontal="center" wrapText="1"/>
    </xf>
    <xf numFmtId="0" fontId="22" fillId="0" borderId="1" xfId="0" applyFont="1" applyBorder="1"/>
    <xf numFmtId="164" fontId="7" fillId="0" borderId="1" xfId="0" applyNumberFormat="1" applyFont="1" applyBorder="1"/>
    <xf numFmtId="10" fontId="23" fillId="0" borderId="1" xfId="0" applyNumberFormat="1" applyFont="1" applyBorder="1"/>
    <xf numFmtId="0" fontId="24" fillId="0" borderId="0" xfId="0" applyFont="1"/>
    <xf numFmtId="0" fontId="25" fillId="2" borderId="1" xfId="0" applyFont="1" applyFill="1" applyBorder="1"/>
    <xf numFmtId="164" fontId="26" fillId="2" borderId="1" xfId="0" applyNumberFormat="1" applyFont="1" applyFill="1" applyBorder="1"/>
    <xf numFmtId="0" fontId="7" fillId="0" borderId="0" xfId="0" applyFont="1"/>
    <xf numFmtId="0" fontId="11" fillId="0" borderId="0" xfId="0" applyFont="1"/>
    <xf numFmtId="0" fontId="27" fillId="0" borderId="0" xfId="0" applyFont="1"/>
    <xf numFmtId="0" fontId="10" fillId="0" borderId="5" xfId="0" applyFont="1" applyBorder="1"/>
    <xf numFmtId="0" fontId="11" fillId="0" borderId="5" xfId="0" applyFont="1" applyBorder="1"/>
    <xf numFmtId="0" fontId="11" fillId="0" borderId="22" xfId="0" applyFont="1" applyBorder="1"/>
    <xf numFmtId="0" fontId="10" fillId="0" borderId="0" xfId="0" applyFont="1"/>
    <xf numFmtId="0" fontId="23" fillId="0" borderId="0" xfId="0" applyFont="1" applyAlignment="1"/>
    <xf numFmtId="4" fontId="23" fillId="0" borderId="0" xfId="0" applyNumberFormat="1" applyFont="1" applyAlignment="1"/>
    <xf numFmtId="2" fontId="19" fillId="5" borderId="15" xfId="0" applyNumberFormat="1" applyFont="1" applyFill="1" applyBorder="1" applyAlignment="1">
      <alignment horizontal="left" vertical="center" wrapText="1"/>
    </xf>
    <xf numFmtId="2" fontId="19" fillId="5" borderId="23" xfId="0" applyNumberFormat="1" applyFont="1" applyFill="1" applyBorder="1" applyAlignment="1">
      <alignment horizontal="left" vertical="center" wrapText="1"/>
    </xf>
    <xf numFmtId="2" fontId="19" fillId="5" borderId="0" xfId="0" applyNumberFormat="1" applyFont="1" applyFill="1" applyAlignment="1">
      <alignment horizontal="left" vertical="center" wrapText="1"/>
    </xf>
    <xf numFmtId="4" fontId="32" fillId="8" borderId="0" xfId="0" applyNumberFormat="1" applyFont="1" applyFill="1" applyAlignment="1">
      <alignment horizontal="center" wrapText="1"/>
    </xf>
    <xf numFmtId="49" fontId="3" fillId="0" borderId="1" xfId="0" applyNumberFormat="1" applyFont="1" applyBorder="1" applyAlignment="1">
      <alignment horizontal="center" vertical="center" wrapText="1"/>
    </xf>
    <xf numFmtId="2" fontId="29" fillId="0" borderId="0" xfId="0" applyNumberFormat="1" applyFont="1" applyAlignment="1">
      <alignment horizontal="center" vertical="center"/>
    </xf>
    <xf numFmtId="0" fontId="36" fillId="0" borderId="0" xfId="0" applyFont="1"/>
    <xf numFmtId="0" fontId="37" fillId="0" borderId="0" xfId="0" applyFont="1"/>
    <xf numFmtId="0" fontId="3" fillId="0" borderId="0" xfId="0" applyFont="1" applyAlignment="1">
      <alignment horizontal="center" vertical="center"/>
    </xf>
    <xf numFmtId="4" fontId="3" fillId="0" borderId="0" xfId="0" applyNumberFormat="1" applyFont="1" applyAlignment="1">
      <alignment horizontal="center" vertical="center"/>
    </xf>
    <xf numFmtId="49" fontId="3" fillId="0" borderId="0" xfId="0" applyNumberFormat="1" applyFont="1" applyAlignment="1">
      <alignment horizontal="center" vertical="center"/>
    </xf>
    <xf numFmtId="4" fontId="34" fillId="8" borderId="1" xfId="0" applyNumberFormat="1" applyFont="1" applyFill="1" applyBorder="1"/>
    <xf numFmtId="4" fontId="34" fillId="8" borderId="1" xfId="0" applyNumberFormat="1" applyFont="1" applyFill="1" applyBorder="1" applyAlignment="1">
      <alignment horizontal="center" vertical="center"/>
    </xf>
    <xf numFmtId="49" fontId="34" fillId="8" borderId="1" xfId="0" applyNumberFormat="1" applyFont="1" applyFill="1" applyBorder="1" applyAlignment="1">
      <alignment horizontal="center" vertical="center" wrapText="1"/>
    </xf>
    <xf numFmtId="49" fontId="34" fillId="9"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4"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4" fontId="3" fillId="0" borderId="1" xfId="0" applyNumberFormat="1" applyFont="1" applyBorder="1" applyAlignment="1">
      <alignment vertical="center"/>
    </xf>
    <xf numFmtId="1" fontId="3" fillId="0" borderId="1" xfId="0" applyNumberFormat="1" applyFont="1" applyBorder="1" applyAlignment="1">
      <alignment horizontal="center" vertical="center"/>
    </xf>
    <xf numFmtId="0" fontId="37" fillId="0" borderId="1" xfId="0" applyFont="1" applyBorder="1" applyAlignment="1">
      <alignment vertical="center"/>
    </xf>
    <xf numFmtId="0" fontId="37" fillId="0" borderId="1" xfId="0" applyFont="1" applyBorder="1" applyAlignment="1">
      <alignment vertical="center" wrapText="1"/>
    </xf>
    <xf numFmtId="0" fontId="38" fillId="0" borderId="0" xfId="0" applyFont="1"/>
    <xf numFmtId="0" fontId="36" fillId="0" borderId="0" xfId="0" applyFont="1" applyAlignment="1">
      <alignment horizontal="left"/>
    </xf>
    <xf numFmtId="0" fontId="38" fillId="0" borderId="0" xfId="0" applyFont="1"/>
    <xf numFmtId="0" fontId="0" fillId="0" borderId="0" xfId="0" applyFont="1" applyAlignment="1"/>
    <xf numFmtId="4" fontId="45" fillId="0" borderId="0" xfId="0" applyNumberFormat="1" applyFont="1" applyFill="1" applyProtection="1"/>
    <xf numFmtId="0" fontId="0" fillId="0" borderId="0" xfId="0" applyFont="1" applyAlignment="1"/>
    <xf numFmtId="43" fontId="0" fillId="0" borderId="0" xfId="1" applyFont="1" applyAlignment="1"/>
    <xf numFmtId="4" fontId="35" fillId="0" borderId="27" xfId="0" applyNumberFormat="1" applyFont="1" applyBorder="1" applyAlignment="1">
      <alignment horizontal="right"/>
    </xf>
    <xf numFmtId="43" fontId="0" fillId="0" borderId="0" xfId="0" applyNumberFormat="1" applyFont="1" applyAlignment="1"/>
    <xf numFmtId="0" fontId="0" fillId="0" borderId="0" xfId="0" applyFont="1" applyAlignment="1"/>
    <xf numFmtId="4" fontId="0" fillId="0" borderId="0" xfId="0" applyNumberFormat="1" applyFont="1" applyAlignment="1"/>
    <xf numFmtId="0" fontId="0" fillId="0" borderId="0" xfId="0" applyFont="1" applyAlignment="1"/>
    <xf numFmtId="0" fontId="49" fillId="0" borderId="28" xfId="0" applyFont="1" applyBorder="1"/>
    <xf numFmtId="0" fontId="50" fillId="0" borderId="29" xfId="0" applyFont="1" applyBorder="1"/>
    <xf numFmtId="166" fontId="50" fillId="0" borderId="29" xfId="0" applyNumberFormat="1" applyFont="1" applyBorder="1"/>
    <xf numFmtId="0" fontId="48" fillId="13" borderId="28" xfId="0" applyFont="1" applyFill="1" applyBorder="1"/>
    <xf numFmtId="0" fontId="0" fillId="13" borderId="29" xfId="0" applyFill="1" applyBorder="1" applyAlignment="1">
      <alignment wrapText="1"/>
    </xf>
    <xf numFmtId="166" fontId="0" fillId="13" borderId="29" xfId="0" applyNumberFormat="1" applyFill="1" applyBorder="1"/>
    <xf numFmtId="0" fontId="48" fillId="13" borderId="29" xfId="0" applyFont="1" applyFill="1" applyBorder="1" applyAlignment="1">
      <alignment wrapText="1"/>
    </xf>
    <xf numFmtId="0" fontId="0" fillId="10" borderId="0" xfId="0" applyFont="1" applyFill="1" applyAlignment="1"/>
    <xf numFmtId="0" fontId="0" fillId="13" borderId="29" xfId="0" applyFill="1" applyBorder="1"/>
    <xf numFmtId="0" fontId="0" fillId="0" borderId="0" xfId="0" applyFont="1" applyAlignment="1"/>
    <xf numFmtId="43" fontId="44" fillId="0" borderId="0" xfId="1" applyFont="1" applyAlignment="1"/>
    <xf numFmtId="0" fontId="48" fillId="0" borderId="29" xfId="2" applyFont="1" applyFill="1" applyBorder="1" applyAlignment="1">
      <alignment horizontal="left" wrapText="1"/>
    </xf>
    <xf numFmtId="0" fontId="43" fillId="13" borderId="29" xfId="0" applyFont="1" applyFill="1" applyBorder="1" applyAlignment="1">
      <alignment wrapText="1"/>
    </xf>
    <xf numFmtId="0" fontId="0" fillId="0" borderId="0" xfId="0" applyFont="1" applyAlignment="1"/>
    <xf numFmtId="0" fontId="0" fillId="17" borderId="0" xfId="0" applyFont="1" applyFill="1" applyAlignment="1"/>
    <xf numFmtId="0" fontId="0" fillId="14" borderId="0" xfId="0" applyFont="1" applyFill="1" applyAlignment="1"/>
    <xf numFmtId="43" fontId="0" fillId="12" borderId="0" xfId="1" applyFont="1" applyFill="1" applyAlignment="1"/>
    <xf numFmtId="0" fontId="0" fillId="12" borderId="0" xfId="0" applyFont="1" applyFill="1" applyAlignment="1"/>
    <xf numFmtId="0" fontId="0" fillId="0" borderId="0" xfId="0" applyFont="1" applyAlignment="1"/>
    <xf numFmtId="4" fontId="23" fillId="0" borderId="0" xfId="0" applyNumberFormat="1" applyFont="1" applyAlignment="1">
      <alignment wrapText="1"/>
    </xf>
    <xf numFmtId="0" fontId="0" fillId="0" borderId="0" xfId="0" applyFont="1" applyAlignment="1">
      <alignment wrapText="1"/>
    </xf>
    <xf numFmtId="1" fontId="23" fillId="0" borderId="29" xfId="0" applyNumberFormat="1" applyFont="1" applyBorder="1" applyAlignment="1">
      <alignment wrapText="1"/>
    </xf>
    <xf numFmtId="0" fontId="48" fillId="13" borderId="29" xfId="2" applyFont="1" applyFill="1" applyBorder="1" applyAlignment="1">
      <alignment horizontal="left" wrapText="1"/>
    </xf>
    <xf numFmtId="0" fontId="0" fillId="0" borderId="0" xfId="0" applyFont="1" applyAlignment="1"/>
    <xf numFmtId="0" fontId="0" fillId="0" borderId="0" xfId="0" applyFont="1" applyFill="1" applyAlignment="1"/>
    <xf numFmtId="0" fontId="0" fillId="0" borderId="0" xfId="0" applyFont="1" applyAlignment="1"/>
    <xf numFmtId="168" fontId="0" fillId="0" borderId="0" xfId="0" applyNumberFormat="1" applyFont="1" applyAlignment="1"/>
    <xf numFmtId="0" fontId="0" fillId="0" borderId="0" xfId="0" applyFont="1" applyAlignment="1"/>
    <xf numFmtId="4" fontId="0" fillId="14" borderId="0" xfId="0" applyNumberFormat="1" applyFont="1" applyFill="1" applyAlignment="1"/>
    <xf numFmtId="4" fontId="54" fillId="0" borderId="0" xfId="0" applyNumberFormat="1" applyFont="1" applyFill="1" applyProtection="1"/>
    <xf numFmtId="0" fontId="0" fillId="0" borderId="0" xfId="0" applyFont="1" applyAlignment="1"/>
    <xf numFmtId="0" fontId="3" fillId="0" borderId="0" xfId="0" applyFont="1"/>
    <xf numFmtId="0" fontId="55" fillId="0" borderId="29" xfId="0" applyFont="1" applyBorder="1"/>
    <xf numFmtId="0" fontId="55" fillId="0" borderId="31" xfId="0" applyFont="1" applyBorder="1"/>
    <xf numFmtId="0" fontId="55" fillId="0" borderId="29" xfId="0" applyFont="1" applyBorder="1" applyProtection="1">
      <protection locked="0"/>
    </xf>
    <xf numFmtId="4" fontId="1" fillId="0" borderId="29" xfId="0" applyNumberFormat="1" applyFont="1" applyFill="1" applyBorder="1" applyProtection="1"/>
    <xf numFmtId="14" fontId="11" fillId="0" borderId="0" xfId="0" applyNumberFormat="1" applyFont="1"/>
    <xf numFmtId="0" fontId="0" fillId="0" borderId="0" xfId="0" applyFont="1" applyAlignment="1"/>
    <xf numFmtId="0" fontId="48" fillId="0" borderId="28" xfId="0" applyFont="1" applyFill="1" applyBorder="1"/>
    <xf numFmtId="0" fontId="43" fillId="0" borderId="29" xfId="0" applyFont="1" applyFill="1" applyBorder="1" applyAlignment="1">
      <alignment wrapText="1"/>
    </xf>
    <xf numFmtId="4" fontId="0" fillId="0" borderId="0" xfId="0" applyNumberFormat="1" applyFont="1" applyFill="1" applyAlignment="1"/>
    <xf numFmtId="0" fontId="0" fillId="0" borderId="0" xfId="0" applyFont="1" applyAlignment="1"/>
    <xf numFmtId="0" fontId="7" fillId="0" borderId="2" xfId="0" applyFont="1" applyBorder="1" applyAlignment="1">
      <alignment vertical="center"/>
    </xf>
    <xf numFmtId="0" fontId="1" fillId="0" borderId="4" xfId="0" applyFont="1" applyBorder="1"/>
    <xf numFmtId="2" fontId="29" fillId="0" borderId="0" xfId="0" applyNumberFormat="1" applyFont="1" applyAlignment="1">
      <alignment horizontal="center" vertical="center"/>
    </xf>
    <xf numFmtId="43" fontId="0" fillId="0" borderId="27" xfId="1" applyFont="1" applyBorder="1" applyAlignment="1"/>
    <xf numFmtId="4" fontId="35" fillId="0" borderId="4" xfId="0" applyNumberFormat="1" applyFont="1" applyBorder="1" applyAlignment="1">
      <alignment horizontal="right"/>
    </xf>
    <xf numFmtId="166" fontId="0" fillId="0" borderId="27" xfId="1" applyNumberFormat="1" applyFont="1" applyBorder="1" applyAlignment="1"/>
    <xf numFmtId="43" fontId="0" fillId="0" borderId="27" xfId="1" applyFont="1" applyFill="1" applyBorder="1" applyAlignment="1"/>
    <xf numFmtId="43" fontId="0" fillId="10" borderId="27" xfId="1" applyFont="1" applyFill="1" applyBorder="1" applyAlignment="1"/>
    <xf numFmtId="43" fontId="0" fillId="17" borderId="27" xfId="1" applyFont="1" applyFill="1" applyBorder="1" applyAlignment="1"/>
    <xf numFmtId="43" fontId="0" fillId="14" borderId="27" xfId="1" applyFont="1" applyFill="1" applyBorder="1" applyAlignment="1"/>
    <xf numFmtId="43" fontId="0" fillId="12" borderId="27" xfId="1" applyFont="1" applyFill="1" applyBorder="1" applyAlignment="1"/>
    <xf numFmtId="4" fontId="0" fillId="14" borderId="27" xfId="0" applyNumberFormat="1" applyFont="1" applyFill="1" applyBorder="1" applyAlignment="1"/>
    <xf numFmtId="0" fontId="0" fillId="0" borderId="27" xfId="0" applyFont="1" applyBorder="1" applyAlignment="1">
      <alignment wrapText="1"/>
    </xf>
    <xf numFmtId="4" fontId="32" fillId="8" borderId="27" xfId="0" applyNumberFormat="1" applyFont="1" applyFill="1" applyBorder="1" applyAlignment="1">
      <alignment horizontal="center"/>
    </xf>
    <xf numFmtId="4" fontId="20" fillId="8" borderId="27" xfId="0" applyNumberFormat="1" applyFont="1" applyFill="1" applyBorder="1" applyAlignment="1">
      <alignment horizontal="center" wrapText="1"/>
    </xf>
    <xf numFmtId="4" fontId="32" fillId="8" borderId="27" xfId="0" applyNumberFormat="1" applyFont="1" applyFill="1" applyBorder="1" applyAlignment="1">
      <alignment horizontal="center" wrapText="1"/>
    </xf>
    <xf numFmtId="0" fontId="48" fillId="0" borderId="29" xfId="2" applyFont="1" applyFill="1" applyBorder="1" applyAlignment="1">
      <alignment horizontal="center"/>
    </xf>
    <xf numFmtId="0" fontId="48" fillId="0" borderId="29" xfId="2" applyFont="1" applyFill="1" applyBorder="1" applyAlignment="1">
      <alignment horizontal="left"/>
    </xf>
    <xf numFmtId="4" fontId="23" fillId="0" borderId="29" xfId="0" applyNumberFormat="1" applyFont="1" applyBorder="1" applyAlignment="1"/>
    <xf numFmtId="43" fontId="23" fillId="0" borderId="29" xfId="1" applyFont="1" applyBorder="1"/>
    <xf numFmtId="4" fontId="35" fillId="0" borderId="29" xfId="0" applyNumberFormat="1" applyFont="1" applyBorder="1" applyAlignment="1">
      <alignment horizontal="right"/>
    </xf>
    <xf numFmtId="1" fontId="2" fillId="0" borderId="29" xfId="0" quotePrefix="1" applyNumberFormat="1" applyFont="1" applyBorder="1" applyAlignment="1">
      <alignment wrapText="1"/>
    </xf>
    <xf numFmtId="49" fontId="3" fillId="0" borderId="29" xfId="0" applyNumberFormat="1" applyFont="1" applyBorder="1" applyAlignment="1">
      <alignment horizontal="center" vertical="center" wrapText="1"/>
    </xf>
    <xf numFmtId="4" fontId="2" fillId="12" borderId="29" xfId="0" applyNumberFormat="1" applyFont="1" applyFill="1" applyBorder="1" applyAlignment="1">
      <alignment horizontal="right"/>
    </xf>
    <xf numFmtId="0" fontId="35" fillId="0" borderId="29" xfId="0" applyFont="1" applyBorder="1" applyAlignment="1"/>
    <xf numFmtId="4" fontId="35" fillId="0" borderId="29" xfId="0" applyNumberFormat="1" applyFont="1" applyBorder="1" applyAlignment="1"/>
    <xf numFmtId="1" fontId="23" fillId="0" borderId="29" xfId="0" quotePrefix="1" applyNumberFormat="1" applyFont="1" applyBorder="1" applyAlignment="1"/>
    <xf numFmtId="1" fontId="23" fillId="0" borderId="29" xfId="0" quotePrefix="1" applyNumberFormat="1" applyFont="1" applyBorder="1" applyAlignment="1">
      <alignment wrapText="1"/>
    </xf>
    <xf numFmtId="169" fontId="35" fillId="0" borderId="29" xfId="0" applyNumberFormat="1" applyFont="1" applyBorder="1" applyAlignment="1">
      <alignment horizontal="right"/>
    </xf>
    <xf numFmtId="1" fontId="23" fillId="11" borderId="29" xfId="0" quotePrefix="1" applyNumberFormat="1" applyFont="1" applyFill="1" applyBorder="1" applyAlignment="1"/>
    <xf numFmtId="4" fontId="48" fillId="11" borderId="29" xfId="2" applyNumberFormat="1" applyFont="1" applyFill="1" applyBorder="1" applyAlignment="1">
      <alignment horizontal="left" wrapText="1"/>
    </xf>
    <xf numFmtId="4" fontId="35" fillId="11" borderId="29" xfId="0" applyNumberFormat="1" applyFont="1" applyFill="1" applyBorder="1" applyAlignment="1">
      <alignment horizontal="right"/>
    </xf>
    <xf numFmtId="0" fontId="23" fillId="0" borderId="29" xfId="0" applyFont="1" applyBorder="1" applyAlignment="1"/>
    <xf numFmtId="1" fontId="23" fillId="11" borderId="29" xfId="0" applyNumberFormat="1" applyFont="1" applyFill="1" applyBorder="1" applyAlignment="1"/>
    <xf numFmtId="1" fontId="23" fillId="11" borderId="29" xfId="0" applyNumberFormat="1" applyFont="1" applyFill="1" applyBorder="1" applyAlignment="1">
      <alignment wrapText="1"/>
    </xf>
    <xf numFmtId="1" fontId="23" fillId="0" borderId="29" xfId="0" applyNumberFormat="1" applyFont="1" applyBorder="1" applyAlignment="1"/>
    <xf numFmtId="0" fontId="23" fillId="11" borderId="29" xfId="0" quotePrefix="1" applyFont="1" applyFill="1" applyBorder="1" applyAlignment="1"/>
    <xf numFmtId="1" fontId="2" fillId="11" borderId="29" xfId="0" quotePrefix="1" applyNumberFormat="1" applyFont="1" applyFill="1" applyBorder="1" applyAlignment="1">
      <alignment wrapText="1"/>
    </xf>
    <xf numFmtId="1" fontId="23" fillId="11" borderId="29" xfId="0" quotePrefix="1" applyNumberFormat="1" applyFont="1" applyFill="1" applyBorder="1" applyAlignment="1">
      <alignment wrapText="1"/>
    </xf>
    <xf numFmtId="0" fontId="0" fillId="0" borderId="29" xfId="0" applyFont="1" applyBorder="1" applyAlignment="1"/>
    <xf numFmtId="0" fontId="23" fillId="0" borderId="29" xfId="0" applyFont="1" applyFill="1" applyBorder="1" applyAlignment="1"/>
    <xf numFmtId="4" fontId="23" fillId="0" borderId="29" xfId="0" applyNumberFormat="1" applyFont="1" applyFill="1" applyBorder="1" applyAlignment="1"/>
    <xf numFmtId="1" fontId="23" fillId="0" borderId="29" xfId="0" applyNumberFormat="1" applyFont="1" applyFill="1" applyBorder="1" applyAlignment="1"/>
    <xf numFmtId="1" fontId="23" fillId="0" borderId="29" xfId="0" applyNumberFormat="1" applyFont="1" applyFill="1" applyBorder="1" applyAlignment="1">
      <alignment wrapText="1"/>
    </xf>
    <xf numFmtId="49" fontId="3" fillId="0" borderId="29" xfId="0" applyNumberFormat="1" applyFont="1" applyFill="1" applyBorder="1" applyAlignment="1">
      <alignment horizontal="center" vertical="center" wrapText="1"/>
    </xf>
    <xf numFmtId="4" fontId="35" fillId="0" borderId="29" xfId="0" applyNumberFormat="1" applyFont="1" applyFill="1" applyBorder="1" applyAlignment="1">
      <alignment horizontal="right"/>
    </xf>
    <xf numFmtId="0" fontId="23" fillId="10" borderId="29" xfId="0" applyFont="1" applyFill="1" applyBorder="1" applyAlignment="1"/>
    <xf numFmtId="4" fontId="23" fillId="10" borderId="29" xfId="0" applyNumberFormat="1" applyFont="1" applyFill="1" applyBorder="1" applyAlignment="1"/>
    <xf numFmtId="1" fontId="23" fillId="10" borderId="29" xfId="0" applyNumberFormat="1" applyFont="1" applyFill="1" applyBorder="1" applyAlignment="1"/>
    <xf numFmtId="1" fontId="23" fillId="10" borderId="29" xfId="0" applyNumberFormat="1" applyFont="1" applyFill="1" applyBorder="1" applyAlignment="1">
      <alignment wrapText="1"/>
    </xf>
    <xf numFmtId="49" fontId="3" fillId="10" borderId="29" xfId="0" applyNumberFormat="1" applyFont="1" applyFill="1" applyBorder="1" applyAlignment="1">
      <alignment horizontal="center" vertical="center" wrapText="1"/>
    </xf>
    <xf numFmtId="4" fontId="35" fillId="10" borderId="29" xfId="0" applyNumberFormat="1" applyFont="1" applyFill="1" applyBorder="1" applyAlignment="1">
      <alignment horizontal="right"/>
    </xf>
    <xf numFmtId="43" fontId="23" fillId="10" borderId="29" xfId="1" applyFont="1" applyFill="1" applyBorder="1"/>
    <xf numFmtId="1" fontId="23" fillId="12" borderId="29" xfId="0" quotePrefix="1" applyNumberFormat="1" applyFont="1" applyFill="1" applyBorder="1" applyAlignment="1"/>
    <xf numFmtId="1" fontId="23" fillId="12" borderId="29" xfId="0" quotePrefix="1" applyNumberFormat="1" applyFont="1" applyFill="1" applyBorder="1" applyAlignment="1">
      <alignment wrapText="1"/>
    </xf>
    <xf numFmtId="49" fontId="3" fillId="12" borderId="29" xfId="0" applyNumberFormat="1" applyFont="1" applyFill="1" applyBorder="1" applyAlignment="1">
      <alignment horizontal="center" vertical="center" wrapText="1"/>
    </xf>
    <xf numFmtId="4" fontId="35" fillId="12" borderId="29" xfId="0" applyNumberFormat="1" applyFont="1" applyFill="1" applyBorder="1" applyAlignment="1">
      <alignment horizontal="right"/>
    </xf>
    <xf numFmtId="166" fontId="23" fillId="0" borderId="29" xfId="1" applyNumberFormat="1" applyFont="1" applyBorder="1"/>
    <xf numFmtId="4" fontId="23" fillId="13" borderId="29" xfId="0" applyNumberFormat="1" applyFont="1" applyFill="1" applyBorder="1" applyAlignment="1"/>
    <xf numFmtId="1" fontId="51" fillId="13" borderId="29" xfId="0" quotePrefix="1" applyNumberFormat="1" applyFont="1" applyFill="1" applyBorder="1" applyAlignment="1"/>
    <xf numFmtId="1" fontId="51" fillId="13" borderId="29" xfId="0" quotePrefix="1" applyNumberFormat="1" applyFont="1" applyFill="1" applyBorder="1" applyAlignment="1">
      <alignment wrapText="1"/>
    </xf>
    <xf numFmtId="49" fontId="2" fillId="13" borderId="29" xfId="0" applyNumberFormat="1" applyFont="1" applyFill="1" applyBorder="1" applyAlignment="1">
      <alignment horizontal="center" vertical="center" wrapText="1"/>
    </xf>
    <xf numFmtId="4" fontId="2" fillId="14" borderId="29" xfId="0" applyNumberFormat="1" applyFont="1" applyFill="1" applyBorder="1" applyAlignment="1">
      <alignment horizontal="right"/>
    </xf>
    <xf numFmtId="1" fontId="23" fillId="13" borderId="29" xfId="0" quotePrefix="1" applyNumberFormat="1" applyFont="1" applyFill="1" applyBorder="1" applyAlignment="1"/>
    <xf numFmtId="1" fontId="2" fillId="13" borderId="29" xfId="0" quotePrefix="1" applyNumberFormat="1" applyFont="1" applyFill="1" applyBorder="1" applyAlignment="1">
      <alignment wrapText="1"/>
    </xf>
    <xf numFmtId="49" fontId="3" fillId="13" borderId="29" xfId="0" applyNumberFormat="1" applyFont="1" applyFill="1" applyBorder="1" applyAlignment="1">
      <alignment horizontal="center" vertical="center" wrapText="1"/>
    </xf>
    <xf numFmtId="4" fontId="35" fillId="13" borderId="29" xfId="0" applyNumberFormat="1" applyFont="1" applyFill="1" applyBorder="1" applyAlignment="1">
      <alignment horizontal="right"/>
    </xf>
    <xf numFmtId="43" fontId="23" fillId="13" borderId="29" xfId="1" applyFont="1" applyFill="1" applyBorder="1"/>
    <xf numFmtId="0" fontId="23" fillId="13" borderId="29" xfId="0" applyFont="1" applyFill="1" applyBorder="1" applyAlignment="1"/>
    <xf numFmtId="1" fontId="23" fillId="13" borderId="29" xfId="0" applyNumberFormat="1" applyFont="1" applyFill="1" applyBorder="1" applyAlignment="1"/>
    <xf numFmtId="1" fontId="23" fillId="13" borderId="29" xfId="0" quotePrefix="1" applyNumberFormat="1" applyFont="1" applyFill="1" applyBorder="1" applyAlignment="1">
      <alignment wrapText="1"/>
    </xf>
    <xf numFmtId="43" fontId="23" fillId="12" borderId="29" xfId="1" applyFont="1" applyFill="1" applyBorder="1"/>
    <xf numFmtId="1" fontId="23" fillId="10" borderId="29" xfId="0" quotePrefix="1" applyNumberFormat="1" applyFont="1" applyFill="1" applyBorder="1" applyAlignment="1"/>
    <xf numFmtId="1" fontId="23" fillId="10" borderId="29" xfId="0" quotePrefix="1" applyNumberFormat="1" applyFont="1" applyFill="1" applyBorder="1" applyAlignment="1">
      <alignment wrapText="1"/>
    </xf>
    <xf numFmtId="43" fontId="23" fillId="13" borderId="29" xfId="1" quotePrefix="1" applyFont="1" applyFill="1" applyBorder="1" applyAlignment="1"/>
    <xf numFmtId="43" fontId="23" fillId="13" borderId="29" xfId="1" quotePrefix="1" applyFont="1" applyFill="1" applyBorder="1" applyAlignment="1">
      <alignment wrapText="1"/>
    </xf>
    <xf numFmtId="4" fontId="35" fillId="14" borderId="29" xfId="0" applyNumberFormat="1" applyFont="1" applyFill="1" applyBorder="1" applyAlignment="1">
      <alignment horizontal="right"/>
    </xf>
    <xf numFmtId="4" fontId="47" fillId="13" borderId="29" xfId="2" applyNumberFormat="1" applyFill="1" applyBorder="1"/>
    <xf numFmtId="1" fontId="23" fillId="13" borderId="29" xfId="0" applyNumberFormat="1" applyFont="1" applyFill="1" applyBorder="1" applyAlignment="1">
      <alignment wrapText="1"/>
    </xf>
    <xf numFmtId="4" fontId="1" fillId="0" borderId="29" xfId="2" applyNumberFormat="1" applyFont="1" applyFill="1" applyBorder="1"/>
    <xf numFmtId="0" fontId="48" fillId="0" borderId="29" xfId="2" applyFont="1" applyBorder="1" applyAlignment="1">
      <alignment horizontal="left" wrapText="1"/>
    </xf>
    <xf numFmtId="166" fontId="47" fillId="0" borderId="29" xfId="2" applyNumberFormat="1" applyFill="1" applyBorder="1"/>
    <xf numFmtId="4" fontId="3" fillId="0" borderId="29" xfId="0" applyNumberFormat="1" applyFont="1" applyBorder="1" applyAlignment="1">
      <alignment horizontal="right"/>
    </xf>
    <xf numFmtId="166" fontId="47" fillId="11" borderId="29" xfId="2" applyNumberFormat="1" applyFill="1" applyBorder="1"/>
    <xf numFmtId="0" fontId="48" fillId="0" borderId="29" xfId="2" applyFont="1" applyFill="1" applyBorder="1" applyAlignment="1">
      <alignment horizontal="justify" vertical="top" wrapText="1"/>
    </xf>
    <xf numFmtId="4" fontId="1" fillId="15" borderId="29" xfId="2" applyNumberFormat="1" applyFont="1" applyFill="1" applyBorder="1"/>
    <xf numFmtId="4" fontId="1" fillId="11" borderId="29" xfId="2" applyNumberFormat="1" applyFont="1" applyFill="1" applyBorder="1"/>
    <xf numFmtId="4" fontId="47" fillId="15" borderId="29" xfId="2" applyNumberFormat="1" applyFill="1" applyBorder="1"/>
    <xf numFmtId="4" fontId="3" fillId="10" borderId="29" xfId="0" applyNumberFormat="1" applyFont="1" applyFill="1" applyBorder="1" applyAlignment="1">
      <alignment horizontal="right"/>
    </xf>
    <xf numFmtId="4" fontId="47" fillId="0" borderId="29" xfId="2" applyNumberFormat="1" applyFill="1" applyBorder="1"/>
    <xf numFmtId="1" fontId="2" fillId="0" borderId="29" xfId="0" quotePrefix="1" applyNumberFormat="1" applyFont="1" applyFill="1" applyBorder="1" applyAlignment="1">
      <alignment wrapText="1"/>
    </xf>
    <xf numFmtId="0" fontId="0" fillId="0" borderId="29" xfId="0" applyFont="1" applyBorder="1" applyAlignment="1">
      <alignment wrapText="1"/>
    </xf>
    <xf numFmtId="4" fontId="52" fillId="16" borderId="29" xfId="0" applyNumberFormat="1" applyFont="1" applyFill="1" applyBorder="1" applyAlignment="1" applyProtection="1">
      <alignment vertical="top" wrapText="1"/>
      <protection locked="0"/>
    </xf>
    <xf numFmtId="0" fontId="51" fillId="0" borderId="29" xfId="0" applyFont="1" applyBorder="1" applyAlignment="1"/>
    <xf numFmtId="0" fontId="51" fillId="0" borderId="29" xfId="0" applyFont="1" applyBorder="1" applyAlignment="1">
      <alignment wrapText="1"/>
    </xf>
    <xf numFmtId="0" fontId="23" fillId="17" borderId="29" xfId="0" applyFont="1" applyFill="1" applyBorder="1" applyAlignment="1"/>
    <xf numFmtId="4" fontId="23" fillId="17" borderId="29" xfId="0" applyNumberFormat="1" applyFont="1" applyFill="1" applyBorder="1" applyAlignment="1"/>
    <xf numFmtId="1" fontId="23" fillId="17" borderId="29" xfId="0" applyNumberFormat="1" applyFont="1" applyFill="1" applyBorder="1" applyAlignment="1"/>
    <xf numFmtId="1" fontId="23" fillId="17" borderId="29" xfId="0" applyNumberFormat="1" applyFont="1" applyFill="1" applyBorder="1" applyAlignment="1">
      <alignment wrapText="1"/>
    </xf>
    <xf numFmtId="49" fontId="3" fillId="17" borderId="29" xfId="0" applyNumberFormat="1" applyFont="1" applyFill="1" applyBorder="1" applyAlignment="1">
      <alignment horizontal="center" vertical="center" wrapText="1"/>
    </xf>
    <xf numFmtId="4" fontId="35" fillId="17" borderId="29" xfId="0" applyNumberFormat="1" applyFont="1" applyFill="1" applyBorder="1" applyAlignment="1">
      <alignment horizontal="right"/>
    </xf>
    <xf numFmtId="0" fontId="23" fillId="14" borderId="29" xfId="0" applyFont="1" applyFill="1" applyBorder="1" applyAlignment="1"/>
    <xf numFmtId="4" fontId="23" fillId="14" borderId="29" xfId="0" applyNumberFormat="1" applyFont="1" applyFill="1" applyBorder="1" applyAlignment="1"/>
    <xf numFmtId="1" fontId="23" fillId="14" borderId="29" xfId="0" applyNumberFormat="1" applyFont="1" applyFill="1" applyBorder="1" applyAlignment="1"/>
    <xf numFmtId="1" fontId="23" fillId="14" borderId="29" xfId="0" applyNumberFormat="1" applyFont="1" applyFill="1" applyBorder="1" applyAlignment="1">
      <alignment wrapText="1"/>
    </xf>
    <xf numFmtId="49" fontId="3" fillId="14" borderId="29" xfId="0" applyNumberFormat="1" applyFont="1" applyFill="1" applyBorder="1" applyAlignment="1">
      <alignment horizontal="center" vertical="center" wrapText="1"/>
    </xf>
    <xf numFmtId="0" fontId="23" fillId="12" borderId="29" xfId="0" applyFont="1" applyFill="1" applyBorder="1" applyAlignment="1"/>
    <xf numFmtId="4" fontId="23" fillId="12" borderId="29" xfId="0" applyNumberFormat="1" applyFont="1" applyFill="1" applyBorder="1" applyAlignment="1"/>
    <xf numFmtId="1" fontId="23" fillId="12" borderId="29" xfId="0" applyNumberFormat="1" applyFont="1" applyFill="1" applyBorder="1" applyAlignment="1"/>
    <xf numFmtId="1" fontId="23" fillId="12" borderId="29" xfId="0" applyNumberFormat="1" applyFont="1" applyFill="1" applyBorder="1" applyAlignment="1">
      <alignment wrapText="1"/>
    </xf>
    <xf numFmtId="43" fontId="23" fillId="0" borderId="29" xfId="1" applyFont="1" applyBorder="1" applyAlignment="1"/>
    <xf numFmtId="167" fontId="48" fillId="0" borderId="29" xfId="2" applyNumberFormat="1" applyFont="1" applyFill="1" applyBorder="1" applyAlignment="1"/>
    <xf numFmtId="0" fontId="23" fillId="0" borderId="29" xfId="0" applyFont="1" applyBorder="1" applyAlignment="1">
      <alignment wrapText="1"/>
    </xf>
    <xf numFmtId="43" fontId="48" fillId="0" borderId="29" xfId="3" applyFont="1" applyFill="1" applyBorder="1" applyAlignment="1">
      <alignment wrapText="1"/>
    </xf>
    <xf numFmtId="0" fontId="48" fillId="0" borderId="29" xfId="2" applyFont="1" applyFill="1" applyBorder="1" applyAlignment="1"/>
    <xf numFmtId="43" fontId="48" fillId="0" borderId="29" xfId="3" applyFont="1" applyFill="1" applyBorder="1" applyAlignment="1"/>
    <xf numFmtId="4" fontId="1" fillId="0" borderId="29" xfId="2" applyNumberFormat="1" applyFont="1" applyBorder="1" applyAlignment="1">
      <alignment horizontal="left" wrapText="1"/>
    </xf>
    <xf numFmtId="0" fontId="0" fillId="0" borderId="29" xfId="0" applyBorder="1" applyAlignment="1">
      <alignment wrapText="1"/>
    </xf>
    <xf numFmtId="1" fontId="23" fillId="0" borderId="29" xfId="0" quotePrefix="1" applyNumberFormat="1" applyFont="1" applyFill="1" applyBorder="1" applyAlignment="1"/>
    <xf numFmtId="1" fontId="23" fillId="0" borderId="29" xfId="0" quotePrefix="1" applyNumberFormat="1" applyFont="1" applyFill="1" applyBorder="1" applyAlignment="1">
      <alignment wrapText="1"/>
    </xf>
    <xf numFmtId="4" fontId="48" fillId="0" borderId="29" xfId="2" applyNumberFormat="1" applyFont="1" applyFill="1" applyBorder="1" applyAlignment="1">
      <alignment horizontal="left" wrapText="1"/>
    </xf>
    <xf numFmtId="4" fontId="47" fillId="18" borderId="29" xfId="2" applyNumberFormat="1" applyFill="1" applyBorder="1"/>
    <xf numFmtId="0" fontId="48" fillId="0" borderId="32" xfId="2" applyFont="1" applyFill="1" applyBorder="1" applyAlignment="1">
      <alignment horizontal="center"/>
    </xf>
    <xf numFmtId="0" fontId="48" fillId="0" borderId="33" xfId="2" applyFont="1" applyFill="1" applyBorder="1" applyAlignment="1">
      <alignment horizontal="left"/>
    </xf>
    <xf numFmtId="4" fontId="23" fillId="0" borderId="33" xfId="0" applyNumberFormat="1" applyFont="1" applyBorder="1" applyAlignment="1"/>
    <xf numFmtId="43" fontId="23" fillId="0" borderId="33" xfId="1" applyFont="1" applyBorder="1"/>
    <xf numFmtId="4" fontId="35" fillId="0" borderId="33" xfId="0" applyNumberFormat="1" applyFont="1" applyBorder="1" applyAlignment="1">
      <alignment horizontal="right"/>
    </xf>
    <xf numFmtId="1" fontId="2" fillId="0" borderId="33" xfId="0" quotePrefix="1" applyNumberFormat="1" applyFont="1" applyBorder="1" applyAlignment="1">
      <alignment wrapText="1"/>
    </xf>
    <xf numFmtId="49" fontId="3" fillId="0" borderId="33" xfId="0" applyNumberFormat="1" applyFont="1" applyBorder="1" applyAlignment="1">
      <alignment horizontal="center" vertical="center" wrapText="1"/>
    </xf>
    <xf numFmtId="4" fontId="2" fillId="12" borderId="33" xfId="0" applyNumberFormat="1" applyFont="1" applyFill="1" applyBorder="1" applyAlignment="1">
      <alignment horizontal="right"/>
    </xf>
    <xf numFmtId="0" fontId="23" fillId="0" borderId="34" xfId="0" applyFont="1" applyBorder="1"/>
    <xf numFmtId="0" fontId="35" fillId="0" borderId="28" xfId="0" applyFont="1" applyBorder="1" applyAlignment="1"/>
    <xf numFmtId="0" fontId="23" fillId="0" borderId="30" xfId="0" applyFont="1" applyBorder="1"/>
    <xf numFmtId="4" fontId="35" fillId="0" borderId="30" xfId="0" applyNumberFormat="1" applyFont="1" applyBorder="1" applyAlignment="1">
      <alignment horizontal="right"/>
    </xf>
    <xf numFmtId="0" fontId="23" fillId="0" borderId="28" xfId="0" applyFont="1" applyBorder="1" applyAlignment="1"/>
    <xf numFmtId="0" fontId="23" fillId="0" borderId="28" xfId="0" applyFont="1" applyFill="1" applyBorder="1" applyAlignment="1"/>
    <xf numFmtId="0" fontId="23" fillId="0" borderId="30" xfId="0" applyFont="1" applyFill="1" applyBorder="1"/>
    <xf numFmtId="0" fontId="23" fillId="10" borderId="28" xfId="0" applyFont="1" applyFill="1" applyBorder="1" applyAlignment="1"/>
    <xf numFmtId="0" fontId="23" fillId="10" borderId="30" xfId="0" applyFont="1" applyFill="1" applyBorder="1"/>
    <xf numFmtId="43" fontId="23" fillId="0" borderId="30" xfId="0" applyNumberFormat="1" applyFont="1" applyBorder="1"/>
    <xf numFmtId="0" fontId="51" fillId="14" borderId="30" xfId="0" applyFont="1" applyFill="1" applyBorder="1"/>
    <xf numFmtId="0" fontId="23" fillId="13" borderId="30" xfId="0" applyFont="1" applyFill="1" applyBorder="1"/>
    <xf numFmtId="0" fontId="23" fillId="13" borderId="28" xfId="0" applyFont="1" applyFill="1" applyBorder="1" applyAlignment="1"/>
    <xf numFmtId="4" fontId="35" fillId="14" borderId="30" xfId="0" applyNumberFormat="1" applyFont="1" applyFill="1" applyBorder="1" applyAlignment="1">
      <alignment horizontal="right"/>
    </xf>
    <xf numFmtId="0" fontId="48" fillId="0" borderId="28" xfId="2" applyFont="1" applyFill="1" applyBorder="1" applyAlignment="1">
      <alignment horizontal="center"/>
    </xf>
    <xf numFmtId="4" fontId="23" fillId="0" borderId="30" xfId="0" applyNumberFormat="1" applyFont="1" applyBorder="1"/>
    <xf numFmtId="0" fontId="51" fillId="0" borderId="28" xfId="0" applyFont="1" applyBorder="1" applyAlignment="1"/>
    <xf numFmtId="0" fontId="23" fillId="17" borderId="28" xfId="0" applyFont="1" applyFill="1" applyBorder="1" applyAlignment="1"/>
    <xf numFmtId="0" fontId="23" fillId="17" borderId="30" xfId="0" applyFont="1" applyFill="1" applyBorder="1"/>
    <xf numFmtId="0" fontId="23" fillId="14" borderId="28" xfId="0" applyFont="1" applyFill="1" applyBorder="1" applyAlignment="1"/>
    <xf numFmtId="0" fontId="23" fillId="14" borderId="30" xfId="0" applyFont="1" applyFill="1" applyBorder="1"/>
    <xf numFmtId="0" fontId="23" fillId="12" borderId="28" xfId="0" applyFont="1" applyFill="1" applyBorder="1" applyAlignment="1"/>
    <xf numFmtId="4" fontId="23" fillId="12" borderId="30" xfId="0" applyNumberFormat="1" applyFont="1" applyFill="1" applyBorder="1" applyAlignment="1"/>
    <xf numFmtId="43" fontId="23" fillId="0" borderId="30" xfId="1" applyFont="1" applyBorder="1"/>
    <xf numFmtId="0" fontId="48" fillId="0" borderId="28" xfId="2" applyFont="1" applyFill="1" applyBorder="1" applyAlignment="1"/>
    <xf numFmtId="43" fontId="48" fillId="0" borderId="28" xfId="3" applyFont="1" applyFill="1" applyBorder="1" applyAlignment="1"/>
    <xf numFmtId="0" fontId="23" fillId="0" borderId="35" xfId="0" applyFont="1" applyBorder="1" applyAlignment="1"/>
    <xf numFmtId="0" fontId="23" fillId="0" borderId="36" xfId="0" applyFont="1" applyBorder="1" applyAlignment="1"/>
    <xf numFmtId="4" fontId="23" fillId="0" borderId="36" xfId="0" applyNumberFormat="1" applyFont="1" applyBorder="1" applyAlignment="1"/>
    <xf numFmtId="1" fontId="23" fillId="0" borderId="36" xfId="0" applyNumberFormat="1" applyFont="1" applyBorder="1" applyAlignment="1">
      <alignment wrapText="1"/>
    </xf>
    <xf numFmtId="49" fontId="3" fillId="0" borderId="36" xfId="0" applyNumberFormat="1" applyFont="1" applyBorder="1" applyAlignment="1">
      <alignment horizontal="center" vertical="center" wrapText="1"/>
    </xf>
    <xf numFmtId="4" fontId="35" fillId="0" borderId="36" xfId="0" applyNumberFormat="1" applyFont="1" applyBorder="1" applyAlignment="1">
      <alignment horizontal="right"/>
    </xf>
    <xf numFmtId="0" fontId="23" fillId="0" borderId="37" xfId="0" applyFont="1" applyBorder="1"/>
    <xf numFmtId="0" fontId="23" fillId="0" borderId="27" xfId="0" applyFont="1" applyFill="1" applyBorder="1"/>
    <xf numFmtId="43" fontId="0" fillId="0" borderId="0" xfId="0" applyNumberFormat="1" applyFont="1" applyFill="1" applyAlignment="1"/>
    <xf numFmtId="0" fontId="1" fillId="0" borderId="27" xfId="0" applyFont="1" applyFill="1" applyBorder="1"/>
    <xf numFmtId="49" fontId="34" fillId="0" borderId="27" xfId="0" applyNumberFormat="1" applyFont="1" applyFill="1" applyBorder="1" applyAlignment="1">
      <alignment horizontal="center" vertical="center" wrapText="1"/>
    </xf>
    <xf numFmtId="4" fontId="35" fillId="0" borderId="27" xfId="0" applyNumberFormat="1" applyFont="1" applyFill="1" applyBorder="1" applyAlignment="1">
      <alignment horizontal="right"/>
    </xf>
    <xf numFmtId="43" fontId="23" fillId="0" borderId="27" xfId="0" applyNumberFormat="1" applyFont="1" applyFill="1" applyBorder="1"/>
    <xf numFmtId="0" fontId="51" fillId="0" borderId="27" xfId="0" applyFont="1" applyFill="1" applyBorder="1"/>
    <xf numFmtId="4" fontId="23" fillId="0" borderId="27" xfId="0" applyNumberFormat="1" applyFont="1" applyFill="1" applyBorder="1"/>
    <xf numFmtId="4" fontId="23" fillId="0" borderId="27" xfId="0" applyNumberFormat="1" applyFont="1" applyFill="1" applyBorder="1" applyAlignment="1"/>
    <xf numFmtId="43" fontId="23" fillId="0" borderId="27" xfId="1" applyFont="1" applyFill="1" applyBorder="1"/>
    <xf numFmtId="0" fontId="48" fillId="0" borderId="29" xfId="0" applyFont="1" applyBorder="1" applyAlignment="1" applyProtection="1">
      <alignment horizontal="justify" vertical="top" wrapText="1"/>
      <protection locked="0"/>
    </xf>
    <xf numFmtId="4" fontId="48" fillId="0" borderId="29" xfId="0" applyNumberFormat="1" applyFont="1" applyBorder="1" applyProtection="1">
      <protection locked="0"/>
    </xf>
    <xf numFmtId="4" fontId="48" fillId="0" borderId="29" xfId="0" applyNumberFormat="1" applyFont="1" applyBorder="1" applyProtection="1"/>
    <xf numFmtId="0" fontId="1" fillId="0" borderId="38" xfId="0" applyFont="1" applyBorder="1"/>
    <xf numFmtId="49" fontId="34" fillId="9" borderId="24" xfId="0" applyNumberFormat="1" applyFont="1" applyFill="1" applyBorder="1" applyAlignment="1">
      <alignment horizontal="center" vertical="center" wrapText="1"/>
    </xf>
    <xf numFmtId="43" fontId="37" fillId="0" borderId="1" xfId="1" applyFont="1" applyBorder="1" applyAlignment="1">
      <alignment vertical="center"/>
    </xf>
    <xf numFmtId="0" fontId="48" fillId="0" borderId="27" xfId="0" applyFont="1" applyBorder="1" applyAlignment="1" applyProtection="1">
      <alignment horizontal="justify" vertical="top" wrapText="1"/>
      <protection locked="0"/>
    </xf>
    <xf numFmtId="4" fontId="48" fillId="0" borderId="27" xfId="0" applyNumberFormat="1" applyFont="1" applyBorder="1" applyProtection="1">
      <protection locked="0"/>
    </xf>
    <xf numFmtId="49" fontId="3" fillId="0" borderId="27" xfId="0" applyNumberFormat="1" applyFont="1" applyBorder="1" applyAlignment="1">
      <alignment horizontal="center" vertical="center" wrapText="1"/>
    </xf>
    <xf numFmtId="4" fontId="48" fillId="0" borderId="27" xfId="0" applyNumberFormat="1" applyFont="1" applyBorder="1" applyProtection="1"/>
    <xf numFmtId="14" fontId="7" fillId="0" borderId="0" xfId="0" applyNumberFormat="1" applyFont="1" applyAlignment="1">
      <alignment vertical="center"/>
    </xf>
    <xf numFmtId="0" fontId="0" fillId="0" borderId="0" xfId="0" applyFont="1" applyAlignment="1"/>
    <xf numFmtId="43" fontId="0" fillId="0" borderId="0" xfId="1" applyFont="1" applyFill="1" applyAlignment="1"/>
    <xf numFmtId="43" fontId="0" fillId="10" borderId="0" xfId="1" applyFont="1" applyFill="1" applyAlignment="1"/>
    <xf numFmtId="43" fontId="0" fillId="17" borderId="0" xfId="1" applyFont="1" applyFill="1" applyAlignment="1"/>
    <xf numFmtId="43" fontId="0" fillId="14" borderId="0" xfId="1" applyFont="1" applyFill="1" applyAlignment="1"/>
    <xf numFmtId="43" fontId="0" fillId="11" borderId="0" xfId="1" applyFont="1" applyFill="1" applyAlignment="1"/>
    <xf numFmtId="4" fontId="35" fillId="19" borderId="29" xfId="0" applyNumberFormat="1" applyFont="1" applyFill="1" applyBorder="1" applyAlignment="1">
      <alignment horizontal="right"/>
    </xf>
    <xf numFmtId="4" fontId="35" fillId="20" borderId="29" xfId="0" applyNumberFormat="1" applyFont="1" applyFill="1" applyBorder="1" applyAlignment="1">
      <alignment horizontal="right"/>
    </xf>
    <xf numFmtId="0" fontId="23" fillId="0" borderId="27" xfId="0" applyFont="1" applyBorder="1" applyAlignment="1"/>
    <xf numFmtId="4" fontId="23" fillId="0" borderId="27" xfId="0" applyNumberFormat="1" applyFont="1" applyBorder="1" applyAlignment="1"/>
    <xf numFmtId="43" fontId="23" fillId="0" borderId="27" xfId="1" applyFont="1" applyBorder="1" applyAlignment="1"/>
    <xf numFmtId="1" fontId="23" fillId="0" borderId="27" xfId="0" applyNumberFormat="1" applyFont="1" applyBorder="1" applyAlignment="1">
      <alignment wrapText="1"/>
    </xf>
    <xf numFmtId="0" fontId="23" fillId="0" borderId="27" xfId="0" applyFont="1" applyBorder="1"/>
    <xf numFmtId="43" fontId="23" fillId="0" borderId="29" xfId="1" applyFont="1" applyFill="1" applyBorder="1"/>
    <xf numFmtId="0" fontId="48" fillId="0" borderId="27" xfId="0" applyFont="1" applyBorder="1" applyAlignment="1">
      <alignment horizontal="left" wrapText="1"/>
    </xf>
    <xf numFmtId="0" fontId="48" fillId="0" borderId="40" xfId="0" applyFont="1" applyBorder="1" applyAlignment="1">
      <alignment horizontal="left" wrapText="1"/>
    </xf>
    <xf numFmtId="0" fontId="54" fillId="0" borderId="0" xfId="0" applyFont="1" applyFill="1" applyProtection="1"/>
    <xf numFmtId="0" fontId="45" fillId="0" borderId="0" xfId="0" applyFont="1" applyFill="1" applyProtection="1">
      <protection locked="0"/>
    </xf>
    <xf numFmtId="0" fontId="45" fillId="0" borderId="0" xfId="0" applyFont="1" applyFill="1" applyAlignment="1" applyProtection="1">
      <alignment horizontal="left"/>
    </xf>
    <xf numFmtId="0" fontId="45" fillId="0" borderId="0" xfId="0" applyFont="1" applyFill="1" applyAlignment="1" applyProtection="1"/>
    <xf numFmtId="4" fontId="45" fillId="0" borderId="0" xfId="0" applyNumberFormat="1" applyFont="1" applyFill="1" applyProtection="1">
      <protection locked="0"/>
    </xf>
    <xf numFmtId="4" fontId="0" fillId="0" borderId="29" xfId="0" applyNumberFormat="1" applyFont="1" applyFill="1" applyBorder="1" applyAlignment="1"/>
    <xf numFmtId="0" fontId="0" fillId="0" borderId="29" xfId="0" applyFont="1" applyFill="1" applyBorder="1" applyAlignment="1"/>
    <xf numFmtId="0" fontId="0" fillId="0" borderId="0" xfId="0" applyFont="1" applyAlignment="1"/>
    <xf numFmtId="0" fontId="58" fillId="0" borderId="27" xfId="5" applyProtection="1"/>
    <xf numFmtId="0" fontId="45" fillId="0" borderId="27" xfId="5" applyFont="1" applyProtection="1"/>
    <xf numFmtId="0" fontId="45" fillId="0" borderId="41" xfId="5" applyFont="1" applyBorder="1" applyProtection="1"/>
    <xf numFmtId="0" fontId="54" fillId="0" borderId="41" xfId="5" applyFont="1" applyBorder="1" applyProtection="1"/>
    <xf numFmtId="0" fontId="54" fillId="0" borderId="27" xfId="5" applyFont="1" applyProtection="1"/>
    <xf numFmtId="14" fontId="45" fillId="0" borderId="27" xfId="5" applyNumberFormat="1" applyFont="1" applyProtection="1">
      <protection locked="0"/>
    </xf>
    <xf numFmtId="0" fontId="45" fillId="0" borderId="42" xfId="5" applyFont="1" applyBorder="1" applyProtection="1">
      <protection locked="0"/>
    </xf>
    <xf numFmtId="0" fontId="45" fillId="0" borderId="27" xfId="5" applyFont="1" applyProtection="1">
      <protection locked="0"/>
    </xf>
    <xf numFmtId="4" fontId="48" fillId="0" borderId="29" xfId="5" applyNumberFormat="1" applyFont="1" applyBorder="1" applyProtection="1"/>
    <xf numFmtId="0" fontId="48" fillId="0" borderId="29" xfId="5" applyFont="1" applyFill="1" applyBorder="1" applyProtection="1"/>
    <xf numFmtId="4" fontId="0" fillId="0" borderId="43" xfId="6" applyNumberFormat="1" applyFont="1" applyBorder="1" applyProtection="1"/>
    <xf numFmtId="4" fontId="0" fillId="0" borderId="31" xfId="6" applyNumberFormat="1" applyFont="1" applyBorder="1" applyProtection="1"/>
    <xf numFmtId="0" fontId="1" fillId="0" borderId="43" xfId="5" applyFont="1" applyBorder="1" applyProtection="1"/>
    <xf numFmtId="4" fontId="0" fillId="0" borderId="29" xfId="6" applyNumberFormat="1" applyFont="1" applyBorder="1" applyProtection="1"/>
    <xf numFmtId="4" fontId="0" fillId="0" borderId="44" xfId="6" applyNumberFormat="1" applyFont="1" applyBorder="1" applyProtection="1"/>
    <xf numFmtId="0" fontId="1" fillId="0" borderId="29" xfId="5" applyFont="1" applyBorder="1" applyProtection="1"/>
    <xf numFmtId="0" fontId="1" fillId="0" borderId="44" xfId="5" applyFont="1" applyBorder="1" applyProtection="1"/>
    <xf numFmtId="0" fontId="48" fillId="0" borderId="27" xfId="5" applyFont="1" applyAlignment="1" applyProtection="1">
      <alignment horizontal="center" wrapText="1"/>
    </xf>
    <xf numFmtId="0" fontId="59" fillId="21" borderId="45" xfId="5" applyFont="1" applyFill="1" applyBorder="1" applyAlignment="1" applyProtection="1">
      <alignment horizontal="center" wrapText="1"/>
    </xf>
    <xf numFmtId="0" fontId="59" fillId="21" borderId="46" xfId="5" applyFont="1" applyFill="1" applyBorder="1" applyAlignment="1" applyProtection="1">
      <alignment horizontal="center" wrapText="1"/>
    </xf>
    <xf numFmtId="0" fontId="59" fillId="21" borderId="47" xfId="5" applyFont="1" applyFill="1" applyBorder="1" applyAlignment="1" applyProtection="1">
      <alignment horizontal="center" wrapText="1"/>
    </xf>
    <xf numFmtId="0" fontId="58" fillId="0" borderId="27" xfId="5" applyProtection="1">
      <protection locked="0"/>
    </xf>
    <xf numFmtId="0" fontId="1" fillId="22" borderId="27" xfId="5" applyFont="1" applyFill="1" applyProtection="1"/>
    <xf numFmtId="4" fontId="58" fillId="22" borderId="27" xfId="5" applyNumberFormat="1" applyFill="1" applyProtection="1"/>
    <xf numFmtId="4" fontId="48" fillId="0" borderId="29" xfId="5" applyNumberFormat="1" applyFont="1" applyBorder="1" applyProtection="1">
      <protection locked="0"/>
    </xf>
    <xf numFmtId="4" fontId="48" fillId="0" borderId="29" xfId="7" applyNumberFormat="1" applyFont="1" applyBorder="1"/>
    <xf numFmtId="0" fontId="48" fillId="0" borderId="29" xfId="5" applyFont="1" applyBorder="1" applyProtection="1"/>
    <xf numFmtId="4" fontId="1" fillId="0" borderId="44" xfId="6" applyNumberFormat="1" applyFont="1" applyBorder="1" applyAlignment="1" applyProtection="1">
      <alignment horizontal="justify" vertical="justify" wrapText="1"/>
      <protection locked="0"/>
    </xf>
    <xf numFmtId="4" fontId="0" fillId="0" borderId="29" xfId="8" applyNumberFormat="1" applyFont="1" applyBorder="1" applyProtection="1">
      <protection locked="0"/>
    </xf>
    <xf numFmtId="170" fontId="0" fillId="0" borderId="29" xfId="6" applyFont="1" applyBorder="1"/>
    <xf numFmtId="4" fontId="58" fillId="0" borderId="29" xfId="5" applyNumberFormat="1" applyBorder="1"/>
    <xf numFmtId="4" fontId="0" fillId="0" borderId="44" xfId="8" applyNumberFormat="1" applyFont="1" applyBorder="1" applyProtection="1">
      <protection locked="0"/>
    </xf>
    <xf numFmtId="4" fontId="0" fillId="0" borderId="29" xfId="8" applyNumberFormat="1" applyFont="1" applyBorder="1" applyProtection="1"/>
    <xf numFmtId="4" fontId="0" fillId="0" borderId="44" xfId="8" applyNumberFormat="1" applyFont="1" applyBorder="1" applyProtection="1"/>
    <xf numFmtId="170" fontId="0" fillId="0" borderId="33" xfId="6" applyFont="1" applyBorder="1"/>
    <xf numFmtId="0" fontId="7" fillId="0" borderId="2" xfId="0" applyFont="1" applyBorder="1" applyAlignment="1">
      <alignment vertical="center"/>
    </xf>
    <xf numFmtId="0" fontId="1" fillId="0" borderId="4" xfId="0" applyFont="1" applyBorder="1"/>
    <xf numFmtId="0" fontId="12" fillId="2" borderId="0" xfId="0" applyFont="1" applyFill="1" applyAlignment="1">
      <alignment horizontal="left" vertical="center" wrapText="1"/>
    </xf>
    <xf numFmtId="0" fontId="0" fillId="0" borderId="0" xfId="0" applyFont="1" applyAlignment="1"/>
    <xf numFmtId="0" fontId="14" fillId="3" borderId="6" xfId="0" applyFont="1" applyFill="1" applyBorder="1"/>
    <xf numFmtId="0" fontId="1" fillId="0" borderId="7" xfId="0" applyFont="1" applyBorder="1"/>
    <xf numFmtId="0" fontId="1" fillId="0" borderId="8" xfId="0" applyFont="1" applyBorder="1"/>
    <xf numFmtId="0" fontId="4" fillId="2" borderId="0" xfId="0" applyFont="1" applyFill="1" applyAlignment="1">
      <alignment horizontal="center" vertical="center"/>
    </xf>
    <xf numFmtId="0" fontId="5" fillId="2" borderId="0" xfId="0" applyFont="1" applyFill="1" applyAlignment="1">
      <alignment horizontal="center" vertical="center"/>
    </xf>
    <xf numFmtId="0" fontId="15" fillId="4" borderId="10" xfId="0" applyFont="1" applyFill="1" applyBorder="1" applyAlignment="1">
      <alignment vertical="center"/>
    </xf>
    <xf numFmtId="0" fontId="1" fillId="0" borderId="11" xfId="0" applyFont="1" applyBorder="1"/>
    <xf numFmtId="0" fontId="1" fillId="0" borderId="12" xfId="0" applyFont="1" applyBorder="1"/>
    <xf numFmtId="0" fontId="20" fillId="2" borderId="0" xfId="0" applyFont="1" applyFill="1" applyAlignment="1">
      <alignment horizontal="center" vertical="center" wrapText="1"/>
    </xf>
    <xf numFmtId="0" fontId="3" fillId="0" borderId="0" xfId="0" applyFont="1"/>
    <xf numFmtId="0" fontId="18" fillId="2" borderId="0" xfId="0" applyFont="1" applyFill="1" applyAlignment="1">
      <alignment horizontal="center"/>
    </xf>
    <xf numFmtId="2" fontId="19" fillId="5" borderId="14" xfId="0" applyNumberFormat="1" applyFont="1" applyFill="1" applyBorder="1" applyAlignment="1">
      <alignment horizontal="left" vertical="center" wrapText="1"/>
    </xf>
    <xf numFmtId="0" fontId="1" fillId="0" borderId="15" xfId="0" applyFont="1" applyBorder="1"/>
    <xf numFmtId="0" fontId="1" fillId="0" borderId="16" xfId="0" applyFont="1" applyBorder="1"/>
    <xf numFmtId="4" fontId="33" fillId="7" borderId="0" xfId="0" applyNumberFormat="1" applyFont="1" applyFill="1" applyAlignment="1">
      <alignment horizontal="center" wrapText="1"/>
    </xf>
    <xf numFmtId="0" fontId="0" fillId="0" borderId="27" xfId="0" applyFont="1" applyBorder="1" applyAlignment="1"/>
    <xf numFmtId="4" fontId="32" fillId="8" borderId="0" xfId="0" applyNumberFormat="1" applyFont="1" applyFill="1" applyAlignment="1">
      <alignment horizontal="center"/>
    </xf>
    <xf numFmtId="0" fontId="31" fillId="7" borderId="0" xfId="0" applyFont="1" applyFill="1" applyAlignment="1">
      <alignment horizontal="center" wrapText="1"/>
    </xf>
    <xf numFmtId="0" fontId="32" fillId="7" borderId="0" xfId="0" applyFont="1" applyFill="1" applyAlignment="1">
      <alignment horizontal="center"/>
    </xf>
    <xf numFmtId="2" fontId="28" fillId="0" borderId="0" xfId="0" applyNumberFormat="1" applyFont="1" applyAlignment="1">
      <alignment horizontal="center"/>
    </xf>
    <xf numFmtId="2" fontId="29" fillId="0" borderId="0" xfId="0" applyNumberFormat="1" applyFont="1" applyAlignment="1">
      <alignment horizontal="center"/>
    </xf>
    <xf numFmtId="0" fontId="1" fillId="0" borderId="27" xfId="0" applyFont="1" applyBorder="1"/>
    <xf numFmtId="2" fontId="19" fillId="5" borderId="0" xfId="0" applyNumberFormat="1" applyFont="1" applyFill="1" applyAlignment="1">
      <alignment horizontal="left" vertical="center" wrapText="1"/>
    </xf>
    <xf numFmtId="0" fontId="30" fillId="7" borderId="2" xfId="0" applyFont="1" applyFill="1" applyBorder="1" applyAlignment="1">
      <alignment horizontal="center"/>
    </xf>
    <xf numFmtId="0" fontId="1" fillId="0" borderId="3" xfId="0" applyFont="1" applyBorder="1"/>
    <xf numFmtId="0" fontId="30" fillId="7" borderId="3" xfId="0" applyFont="1" applyFill="1" applyBorder="1" applyAlignment="1">
      <alignment horizontal="center"/>
    </xf>
    <xf numFmtId="1" fontId="29" fillId="0" borderId="0" xfId="0" applyNumberFormat="1" applyFont="1" applyAlignment="1">
      <alignment horizontal="center"/>
    </xf>
    <xf numFmtId="1" fontId="0" fillId="0" borderId="0" xfId="0" applyNumberFormat="1" applyFont="1" applyAlignment="1"/>
    <xf numFmtId="0" fontId="32" fillId="8" borderId="0" xfId="0" applyFont="1" applyFill="1" applyAlignment="1">
      <alignment horizontal="center"/>
    </xf>
    <xf numFmtId="43" fontId="34" fillId="8" borderId="20" xfId="1" applyFont="1" applyFill="1" applyBorder="1" applyAlignment="1">
      <alignment horizontal="center" vertical="center" wrapText="1"/>
    </xf>
    <xf numFmtId="43" fontId="1" fillId="0" borderId="21" xfId="1" applyFont="1" applyBorder="1"/>
    <xf numFmtId="49" fontId="34" fillId="8" borderId="20" xfId="0" applyNumberFormat="1" applyFont="1" applyFill="1" applyBorder="1" applyAlignment="1">
      <alignment horizontal="center" vertical="center" wrapText="1"/>
    </xf>
    <xf numFmtId="0" fontId="1" fillId="0" borderId="21" xfId="0" applyFont="1" applyBorder="1"/>
    <xf numFmtId="0" fontId="20" fillId="6" borderId="20" xfId="0" applyFont="1" applyFill="1" applyBorder="1" applyAlignment="1">
      <alignment horizontal="center" wrapText="1"/>
    </xf>
    <xf numFmtId="0" fontId="1" fillId="0" borderId="24" xfId="0" applyFont="1" applyBorder="1"/>
    <xf numFmtId="0" fontId="34" fillId="6" borderId="20" xfId="0" applyFont="1" applyFill="1" applyBorder="1" applyAlignment="1">
      <alignment horizontal="center" wrapText="1"/>
    </xf>
    <xf numFmtId="0" fontId="34" fillId="6" borderId="20" xfId="0" applyFont="1" applyFill="1" applyBorder="1" applyAlignment="1">
      <alignment horizontal="left"/>
    </xf>
    <xf numFmtId="2" fontId="29" fillId="0" borderId="0" xfId="0" applyNumberFormat="1" applyFont="1" applyAlignment="1">
      <alignment horizontal="center" vertical="center"/>
    </xf>
    <xf numFmtId="2" fontId="19" fillId="5" borderId="25" xfId="0" applyNumberFormat="1" applyFont="1" applyFill="1" applyBorder="1" applyAlignment="1">
      <alignment horizontal="left" vertical="center" wrapText="1"/>
    </xf>
    <xf numFmtId="0" fontId="1" fillId="0" borderId="26" xfId="0" applyFont="1" applyBorder="1"/>
    <xf numFmtId="4" fontId="34" fillId="9" borderId="39" xfId="0" applyNumberFormat="1" applyFont="1" applyFill="1" applyBorder="1" applyAlignment="1">
      <alignment horizontal="center" vertical="center" wrapText="1"/>
    </xf>
    <xf numFmtId="4" fontId="34" fillId="9" borderId="5" xfId="0" applyNumberFormat="1" applyFont="1" applyFill="1" applyBorder="1" applyAlignment="1">
      <alignment horizontal="center" vertical="center" wrapText="1"/>
    </xf>
    <xf numFmtId="4" fontId="34" fillId="9" borderId="38" xfId="0" applyNumberFormat="1" applyFont="1" applyFill="1" applyBorder="1" applyAlignment="1">
      <alignment horizontal="center" vertical="center" wrapText="1"/>
    </xf>
    <xf numFmtId="0" fontId="60" fillId="0" borderId="27" xfId="5" applyFont="1" applyAlignment="1" applyProtection="1">
      <alignment horizontal="center"/>
    </xf>
    <xf numFmtId="0" fontId="48" fillId="0" borderId="27" xfId="5" applyFont="1" applyAlignment="1" applyProtection="1">
      <alignment horizontal="center"/>
    </xf>
    <xf numFmtId="0" fontId="48" fillId="0" borderId="27" xfId="5" applyFont="1" applyAlignment="1" applyProtection="1">
      <alignment horizontal="center"/>
      <protection locked="0"/>
    </xf>
  </cellXfs>
  <cellStyles count="9">
    <cellStyle name="Millares" xfId="1" builtinId="3"/>
    <cellStyle name="Millares 2" xfId="4" xr:uid="{55E6CA31-798B-4047-841A-34644AE76CB3}"/>
    <cellStyle name="Millares 2 2" xfId="8" xr:uid="{C715D6D4-F94F-44ED-881B-E10009FD5E13}"/>
    <cellStyle name="Millares 2 4" xfId="3" xr:uid="{6D9D08F9-E2F5-4ED8-BAE2-91A70D965DC8}"/>
    <cellStyle name="Millares 3" xfId="6" xr:uid="{4C2941D6-A505-4933-BD3E-59DC93D13620}"/>
    <cellStyle name="Normal" xfId="0" builtinId="0"/>
    <cellStyle name="Normal 2" xfId="2" xr:uid="{B71D5ECF-D20F-45D3-9C63-D34E885857D0}"/>
    <cellStyle name="Normal 3" xfId="5" xr:uid="{5672F622-4267-40D2-A397-63C8E5A98A9E}"/>
    <cellStyle name="Normal 4" xfId="7" xr:uid="{85E36378-271D-4834-87D2-FEA891AFC099}"/>
  </cellStyles>
  <dxfs count="9">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2.xml.rels><?xml version="1.0" encoding="UTF-8" standalone="yes"?>
<Relationships xmlns="http://schemas.openxmlformats.org/package/2006/relationships"><Relationship Id="rId1" Type="http://schemas.openxmlformats.org/officeDocument/2006/relationships/hyperlink" Target="#'LISTA DE HOJAS'!A1"/></Relationships>
</file>

<file path=xl/drawings/drawing1.xml><?xml version="1.0" encoding="utf-8"?>
<xdr:wsDr xmlns:xdr="http://schemas.openxmlformats.org/drawingml/2006/spreadsheetDrawing" xmlns:a="http://schemas.openxmlformats.org/drawingml/2006/main">
  <xdr:twoCellAnchor>
    <xdr:from>
      <xdr:col>5</xdr:col>
      <xdr:colOff>1343025</xdr:colOff>
      <xdr:row>1</xdr:row>
      <xdr:rowOff>95250</xdr:rowOff>
    </xdr:from>
    <xdr:to>
      <xdr:col>7</xdr:col>
      <xdr:colOff>235744</xdr:colOff>
      <xdr:row>5</xdr:row>
      <xdr:rowOff>40481</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C0C2A3A2-98CC-4AC9-9774-4967C2D43FDE}"/>
            </a:ext>
          </a:extLst>
        </xdr:cNvPr>
        <xdr:cNvSpPr>
          <a:spLocks noChangeArrowheads="1"/>
        </xdr:cNvSpPr>
      </xdr:nvSpPr>
      <xdr:spPr bwMode="auto">
        <a:xfrm>
          <a:off x="4572000" y="257175"/>
          <a:ext cx="997744" cy="592931"/>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264319</xdr:colOff>
      <xdr:row>5</xdr:row>
      <xdr:rowOff>97631</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84632BE3-952F-4C81-8C6B-53AFAE13665D}"/>
            </a:ext>
          </a:extLst>
        </xdr:cNvPr>
        <xdr:cNvSpPr>
          <a:spLocks noChangeArrowheads="1"/>
        </xdr:cNvSpPr>
      </xdr:nvSpPr>
      <xdr:spPr bwMode="auto">
        <a:xfrm>
          <a:off x="5334000" y="323850"/>
          <a:ext cx="1026319" cy="583406"/>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unicipalidadalajuela-my.sharepoint.com/personal/ana_alvarado_munialajuela_go_cr/Documents/liquidaciones/2021/Liquidacion%20Manual%20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a.alvarado\OneDrive%20-%20Municipalidad%20de%20Alajuela\liquidaciones\2021\Liquidacion%20Manual%20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unicipalidadalajuela-my.sharepoint.com/Users/Agnes.Molina/Desktop/Agnes/Nombre%20de%20Proyectos%20EXT%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unicipalidadalajuela-my.sharepoint.com/personal/ana_alvarado_munialajuela_go_cr/Documents/liquidaciones/2021/Origen%20y%20Aplic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unicipalidadalajuela-my.sharepoint.com/personal/ana_alvarado_munialajuela_go_cr/Documents/liquidaciones/2021/modelo-electronico-liq%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hoja de trabajo "/>
      <sheetName val="Servicios "/>
      <sheetName val="Gastos de Administración "/>
      <sheetName val="RECURSOS LIBRES"/>
      <sheetName val="SUPERHAVIT LIBRE"/>
      <sheetName val="resumen"/>
      <sheetName val="Nota Aclaratoria"/>
      <sheetName val="intereses"/>
      <sheetName val="origen y aplicación"/>
    </sheetNames>
    <sheetDataSet>
      <sheetData sheetId="0">
        <row r="15">
          <cell r="A15" t="str">
            <v>1.1.2.1.00.00.0.0.000</v>
          </cell>
        </row>
        <row r="16">
          <cell r="C16">
            <v>10005215489.16</v>
          </cell>
        </row>
      </sheetData>
      <sheetData sheetId="1">
        <row r="462">
          <cell r="G462">
            <v>414057169.51999998</v>
          </cell>
        </row>
      </sheetData>
      <sheetData sheetId="2"/>
      <sheetData sheetId="3"/>
      <sheetData sheetId="4">
        <row r="28">
          <cell r="D28">
            <v>3419474789.7847996</v>
          </cell>
        </row>
      </sheetData>
      <sheetData sheetId="5"/>
      <sheetData sheetId="6"/>
      <sheetData sheetId="7"/>
      <sheetData sheetId="8">
        <row r="5">
          <cell r="C5">
            <v>1090467506.5061243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hoja de trabajo "/>
      <sheetName val="Servicios "/>
      <sheetName val="Gastos de Administración "/>
      <sheetName val="RECURSOS LIBRES"/>
      <sheetName val="SUPERHAVIT LIBRE"/>
      <sheetName val="resumen"/>
      <sheetName val="Nota Aclaratoria"/>
      <sheetName val="intereses"/>
      <sheetName val="origen y aplicación"/>
    </sheetNames>
    <sheetDataSet>
      <sheetData sheetId="0"/>
      <sheetData sheetId="1"/>
      <sheetData sheetId="2"/>
      <sheetData sheetId="3"/>
      <sheetData sheetId="4">
        <row r="26">
          <cell r="E26">
            <v>4997882932.5757999</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Programa III General"/>
    </sheetNames>
    <sheetDataSet>
      <sheetData sheetId="0" refreshError="1">
        <row r="72">
          <cell r="B72" t="str">
            <v>Mejoras Sistema De Alcantarillado Sanitario Urbanizacion Altos De Montenegro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en y Aplicación Ordinario"/>
      <sheetName val="Origen y Aplicación extra 0"/>
      <sheetName val="Origen y Aplicación Extra 1"/>
      <sheetName val="Origen y Aplicación Extra 2"/>
    </sheetNames>
    <sheetDataSet>
      <sheetData sheetId="0"/>
      <sheetData sheetId="1"/>
      <sheetData sheetId="2">
        <row r="501">
          <cell r="C501">
            <v>2141088860.0699999</v>
          </cell>
        </row>
        <row r="503">
          <cell r="H503">
            <v>3000000</v>
          </cell>
        </row>
        <row r="515">
          <cell r="C515">
            <v>454109749.79000002</v>
          </cell>
        </row>
        <row r="524">
          <cell r="C524">
            <v>4747018687.8100004</v>
          </cell>
        </row>
        <row r="788">
          <cell r="C788">
            <v>353201665.41000003</v>
          </cell>
        </row>
      </sheetData>
      <sheetData sheetId="3">
        <row r="514">
          <cell r="C514">
            <v>563037278.24000001</v>
          </cell>
        </row>
        <row r="516">
          <cell r="H516">
            <v>1057288</v>
          </cell>
        </row>
        <row r="528">
          <cell r="C528">
            <v>321369870.41000003</v>
          </cell>
        </row>
        <row r="540">
          <cell r="C540">
            <v>1127985478.55</v>
          </cell>
        </row>
        <row r="799">
          <cell r="C799">
            <v>122508415.92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HOJAS"/>
      <sheetName val="INGRESOS"/>
      <sheetName val="EGRESOS"/>
      <sheetName val="ING-GASTO"/>
      <sheetName val="LIQUID-INGRES"/>
      <sheetName val="PARTIDAS ESPECÍFICAS"/>
      <sheetName val="COMPROBACION"/>
      <sheetName val="Formulario 4-Compromisos"/>
      <sheetName val="Formulario 5-Compromisos"/>
      <sheetName val="FODESAF"/>
      <sheetName val="RED DE CUIDO"/>
      <sheetName val="PRESTAMOS"/>
      <sheetName val="LIQUIDACION PRELIMINAR"/>
      <sheetName val="ANEXO1-LIQUIDACION"/>
      <sheetName val="ANEXO2-MOROSIDAD"/>
      <sheetName val="ANEXO3-SALDO EN CAJA"/>
      <sheetName val="ANEXO5-TRANSFERENCIAS"/>
      <sheetName val="ANEXO6 INDIC GESTIÓN PRESUP"/>
      <sheetName val="ANEXO7 ESTRUC. ORGAN"/>
      <sheetName val="ANEXO 8 ENDEUDAMIENTO"/>
      <sheetName val="ANEXO 9 CUMPL METAS"/>
      <sheetName val="Ejemplo"/>
      <sheetName val="Anexo 10 Cuadro DOA"/>
    </sheetNames>
    <sheetDataSet>
      <sheetData sheetId="0">
        <row r="1">
          <cell r="A1" t="str">
            <v>MUNICIPALIDAD DE ALAJUELA</v>
          </cell>
        </row>
      </sheetData>
      <sheetData sheetId="1"/>
      <sheetData sheetId="2">
        <row r="9">
          <cell r="B9">
            <v>9325391513.5200005</v>
          </cell>
        </row>
        <row r="10">
          <cell r="B10">
            <v>10085743151.809999</v>
          </cell>
        </row>
        <row r="11">
          <cell r="B11">
            <v>18021706360.349998</v>
          </cell>
        </row>
        <row r="12">
          <cell r="B12">
            <v>130958398.59</v>
          </cell>
        </row>
      </sheetData>
      <sheetData sheetId="3"/>
      <sheetData sheetId="4"/>
      <sheetData sheetId="5"/>
      <sheetData sheetId="6"/>
      <sheetData sheetId="7"/>
      <sheetData sheetId="8"/>
      <sheetData sheetId="9"/>
      <sheetData sheetId="10"/>
      <sheetData sheetId="11"/>
      <sheetData sheetId="12">
        <row r="43">
          <cell r="D43">
            <v>10766635955.510014</v>
          </cell>
        </row>
      </sheetData>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8"/>
  <sheetViews>
    <sheetView showGridLines="0" view="pageBreakPreview" zoomScale="60" zoomScaleNormal="100" workbookViewId="0">
      <selection activeCell="C85" sqref="C84:C85"/>
    </sheetView>
  </sheetViews>
  <sheetFormatPr baseColWidth="10" defaultColWidth="14.42578125" defaultRowHeight="15" customHeight="1" x14ac:dyDescent="0.2"/>
  <cols>
    <col min="1" max="1" width="51" customWidth="1"/>
    <col min="2" max="2" width="25" customWidth="1"/>
    <col min="3" max="3" width="19.42578125" bestFit="1" customWidth="1"/>
    <col min="4" max="4" width="26.5703125" customWidth="1"/>
    <col min="5" max="24" width="11.42578125" customWidth="1"/>
    <col min="25" max="26" width="10.7109375" customWidth="1"/>
  </cols>
  <sheetData>
    <row r="1" spans="1:26" ht="18" x14ac:dyDescent="0.2">
      <c r="A1" s="381" t="s">
        <v>1</v>
      </c>
      <c r="B1" s="377"/>
      <c r="C1" s="377"/>
      <c r="D1" s="377"/>
      <c r="E1" s="1"/>
      <c r="F1" s="1"/>
      <c r="G1" s="1"/>
      <c r="H1" s="1"/>
      <c r="I1" s="1"/>
      <c r="J1" s="1"/>
      <c r="K1" s="1"/>
      <c r="L1" s="1"/>
      <c r="M1" s="1"/>
      <c r="N1" s="1"/>
      <c r="O1" s="1"/>
      <c r="P1" s="1"/>
      <c r="Q1" s="1"/>
      <c r="R1" s="1"/>
      <c r="S1" s="1"/>
      <c r="T1" s="1"/>
      <c r="U1" s="1"/>
      <c r="V1" s="1"/>
      <c r="W1" s="1"/>
      <c r="X1" s="1"/>
      <c r="Y1" s="1"/>
      <c r="Z1" s="1"/>
    </row>
    <row r="2" spans="1:26" ht="18" x14ac:dyDescent="0.2">
      <c r="A2" s="381" t="s">
        <v>627</v>
      </c>
      <c r="B2" s="377"/>
      <c r="C2" s="377"/>
      <c r="D2" s="377"/>
      <c r="E2" s="1"/>
      <c r="F2" s="1"/>
      <c r="G2" s="1"/>
      <c r="H2" s="1"/>
      <c r="I2" s="1"/>
      <c r="J2" s="1"/>
      <c r="K2" s="1"/>
      <c r="L2" s="1"/>
      <c r="M2" s="1"/>
      <c r="N2" s="1"/>
      <c r="O2" s="1"/>
      <c r="P2" s="1"/>
      <c r="Q2" s="1"/>
      <c r="R2" s="1"/>
      <c r="S2" s="1"/>
      <c r="T2" s="1"/>
      <c r="U2" s="1"/>
      <c r="V2" s="1"/>
      <c r="W2" s="1"/>
      <c r="X2" s="1"/>
      <c r="Y2" s="1"/>
      <c r="Z2" s="1"/>
    </row>
    <row r="3" spans="1:26" ht="19.5" customHeight="1" x14ac:dyDescent="0.2">
      <c r="A3" s="381" t="s">
        <v>644</v>
      </c>
      <c r="B3" s="377"/>
      <c r="C3" s="377"/>
      <c r="D3" s="377"/>
      <c r="E3" s="1"/>
      <c r="F3" s="1"/>
      <c r="G3" s="1"/>
      <c r="H3" s="1"/>
      <c r="I3" s="1"/>
      <c r="J3" s="1"/>
      <c r="K3" s="1"/>
      <c r="L3" s="1"/>
      <c r="M3" s="1"/>
      <c r="N3" s="1"/>
      <c r="O3" s="1"/>
      <c r="P3" s="1"/>
      <c r="Q3" s="1"/>
      <c r="R3" s="1"/>
      <c r="S3" s="1"/>
      <c r="T3" s="1"/>
      <c r="U3" s="1"/>
      <c r="V3" s="1"/>
      <c r="W3" s="1"/>
      <c r="X3" s="1"/>
      <c r="Y3" s="1"/>
      <c r="Z3" s="1"/>
    </row>
    <row r="4" spans="1:26" ht="12.75" customHeight="1" x14ac:dyDescent="0.2">
      <c r="A4" s="382" t="s">
        <v>2</v>
      </c>
      <c r="B4" s="377"/>
      <c r="C4" s="377"/>
      <c r="D4" s="377"/>
      <c r="E4" s="1"/>
      <c r="F4" s="1"/>
      <c r="G4" s="1"/>
      <c r="H4" s="1"/>
      <c r="I4" s="1"/>
      <c r="J4" s="1"/>
      <c r="K4" s="1"/>
      <c r="L4" s="1"/>
      <c r="M4" s="1"/>
      <c r="N4" s="1"/>
      <c r="O4" s="1"/>
      <c r="P4" s="1"/>
      <c r="Q4" s="1"/>
      <c r="R4" s="1"/>
      <c r="S4" s="1"/>
      <c r="T4" s="1"/>
      <c r="U4" s="1"/>
      <c r="V4" s="1"/>
      <c r="W4" s="1"/>
      <c r="X4" s="1"/>
      <c r="Y4" s="1"/>
      <c r="Z4" s="1"/>
    </row>
    <row r="5" spans="1:26" ht="12.75" customHeight="1" x14ac:dyDescent="0.2">
      <c r="A5" s="2"/>
      <c r="B5" s="3"/>
      <c r="C5" s="3"/>
      <c r="D5" s="3"/>
      <c r="E5" s="1"/>
      <c r="F5" s="1"/>
      <c r="G5" s="1"/>
      <c r="H5" s="1"/>
      <c r="I5" s="1"/>
      <c r="J5" s="1"/>
      <c r="K5" s="1"/>
      <c r="L5" s="1"/>
      <c r="M5" s="1"/>
      <c r="N5" s="1"/>
      <c r="O5" s="1"/>
      <c r="P5" s="1"/>
      <c r="Q5" s="1"/>
      <c r="R5" s="1"/>
      <c r="S5" s="1"/>
      <c r="T5" s="1"/>
      <c r="U5" s="1"/>
      <c r="V5" s="1"/>
      <c r="W5" s="1"/>
      <c r="X5" s="1"/>
      <c r="Y5" s="1"/>
      <c r="Z5" s="1"/>
    </row>
    <row r="6" spans="1:26" ht="12.75" customHeight="1" x14ac:dyDescent="0.2">
      <c r="A6" s="4"/>
      <c r="B6" s="5"/>
      <c r="C6" s="5" t="s">
        <v>3</v>
      </c>
      <c r="D6" s="5" t="s">
        <v>4</v>
      </c>
      <c r="E6" s="1"/>
      <c r="F6" s="1"/>
      <c r="G6" s="1"/>
      <c r="H6" s="1"/>
      <c r="I6" s="1"/>
      <c r="J6" s="1"/>
      <c r="K6" s="1"/>
      <c r="L6" s="1"/>
      <c r="M6" s="1"/>
      <c r="N6" s="1"/>
      <c r="O6" s="1"/>
      <c r="P6" s="1"/>
      <c r="Q6" s="1"/>
      <c r="R6" s="1"/>
      <c r="S6" s="1"/>
      <c r="T6" s="1"/>
      <c r="U6" s="1"/>
      <c r="V6" s="1"/>
      <c r="W6" s="1"/>
      <c r="X6" s="1"/>
      <c r="Y6" s="1"/>
      <c r="Z6" s="1"/>
    </row>
    <row r="7" spans="1:26" ht="18.75" customHeight="1" x14ac:dyDescent="0.2">
      <c r="A7" s="6"/>
      <c r="B7" s="7"/>
      <c r="C7" s="7"/>
      <c r="D7" s="7"/>
      <c r="E7" s="1"/>
      <c r="F7" s="1"/>
      <c r="G7" s="1"/>
      <c r="H7" s="1"/>
      <c r="I7" s="1"/>
      <c r="J7" s="1"/>
      <c r="K7" s="1"/>
      <c r="L7" s="1"/>
      <c r="M7" s="1"/>
      <c r="N7" s="1"/>
      <c r="O7" s="1"/>
      <c r="P7" s="1"/>
      <c r="Q7" s="1"/>
      <c r="R7" s="1"/>
      <c r="S7" s="1"/>
      <c r="T7" s="1"/>
      <c r="U7" s="1"/>
      <c r="V7" s="1"/>
      <c r="W7" s="1"/>
      <c r="X7" s="1"/>
      <c r="Y7" s="1"/>
      <c r="Z7" s="1"/>
    </row>
    <row r="8" spans="1:26" ht="21.75" customHeight="1" x14ac:dyDescent="0.2">
      <c r="A8" s="6" t="s">
        <v>5</v>
      </c>
      <c r="B8" s="7"/>
      <c r="C8" s="81">
        <v>61513615569.690002</v>
      </c>
      <c r="D8" s="81">
        <v>73823469055.220001</v>
      </c>
      <c r="E8" s="1"/>
      <c r="F8" s="1"/>
      <c r="G8" s="1"/>
      <c r="H8" s="1"/>
      <c r="I8" s="1"/>
      <c r="J8" s="1"/>
      <c r="K8" s="1"/>
      <c r="L8" s="1"/>
      <c r="M8" s="1"/>
      <c r="N8" s="1"/>
      <c r="O8" s="1"/>
      <c r="P8" s="1"/>
      <c r="Q8" s="1"/>
      <c r="R8" s="1"/>
      <c r="S8" s="1"/>
      <c r="T8" s="1"/>
      <c r="U8" s="1"/>
      <c r="V8" s="1"/>
      <c r="W8" s="1"/>
      <c r="X8" s="1"/>
      <c r="Y8" s="1"/>
      <c r="Z8" s="1"/>
    </row>
    <row r="9" spans="1:26" ht="12.75" customHeight="1" x14ac:dyDescent="0.2">
      <c r="A9" s="9" t="s">
        <v>6</v>
      </c>
      <c r="B9" s="7"/>
      <c r="C9" s="10"/>
      <c r="D9" s="8"/>
      <c r="E9" s="1"/>
      <c r="F9" s="1"/>
      <c r="G9" s="1"/>
      <c r="H9" s="1"/>
      <c r="I9" s="1"/>
      <c r="J9" s="1"/>
      <c r="K9" s="1"/>
      <c r="L9" s="1"/>
      <c r="M9" s="1"/>
      <c r="N9" s="1"/>
      <c r="O9" s="1"/>
      <c r="P9" s="1"/>
      <c r="Q9" s="1"/>
      <c r="R9" s="1"/>
      <c r="S9" s="1"/>
      <c r="T9" s="1"/>
      <c r="U9" s="1"/>
      <c r="V9" s="1"/>
      <c r="W9" s="1"/>
      <c r="X9" s="1"/>
      <c r="Y9" s="1"/>
      <c r="Z9" s="1"/>
    </row>
    <row r="10" spans="1:26" ht="12.75" customHeight="1" x14ac:dyDescent="0.2">
      <c r="A10" s="4"/>
      <c r="B10" s="7"/>
      <c r="C10" s="10"/>
      <c r="D10" s="8"/>
      <c r="E10" s="1"/>
      <c r="F10" s="1"/>
      <c r="G10" s="1"/>
      <c r="H10" s="1"/>
      <c r="I10" s="1"/>
      <c r="J10" s="1"/>
      <c r="K10" s="1"/>
      <c r="L10" s="1"/>
      <c r="M10" s="1"/>
      <c r="N10" s="1"/>
      <c r="O10" s="1"/>
      <c r="P10" s="1"/>
      <c r="Q10" s="1"/>
      <c r="R10" s="1"/>
      <c r="S10" s="1"/>
      <c r="T10" s="1"/>
      <c r="U10" s="1"/>
      <c r="V10" s="1"/>
      <c r="W10" s="1"/>
      <c r="X10" s="1"/>
      <c r="Y10" s="1"/>
      <c r="Z10" s="1"/>
    </row>
    <row r="11" spans="1:26" ht="16.5" customHeight="1" x14ac:dyDescent="0.2">
      <c r="A11" s="6" t="s">
        <v>7</v>
      </c>
      <c r="B11" s="7"/>
      <c r="C11" s="81">
        <v>61513615569.690002</v>
      </c>
      <c r="D11" s="8">
        <v>37563799424.269997</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1"/>
      <c r="C12" s="11" t="s">
        <v>0</v>
      </c>
      <c r="D12" s="7"/>
      <c r="E12" s="1"/>
      <c r="F12" s="1"/>
      <c r="G12" s="1"/>
      <c r="H12" s="1"/>
      <c r="I12" s="1"/>
      <c r="J12" s="1"/>
      <c r="K12" s="1"/>
      <c r="L12" s="1"/>
      <c r="M12" s="1"/>
      <c r="N12" s="1"/>
      <c r="O12" s="1"/>
      <c r="P12" s="1"/>
      <c r="Q12" s="1"/>
      <c r="R12" s="1"/>
      <c r="S12" s="1"/>
      <c r="T12" s="1"/>
      <c r="U12" s="1"/>
      <c r="V12" s="1"/>
      <c r="W12" s="1"/>
      <c r="X12" s="1"/>
      <c r="Y12" s="1"/>
      <c r="Z12" s="1"/>
    </row>
    <row r="13" spans="1:26" s="315" customFormat="1" ht="24" customHeight="1" x14ac:dyDescent="0.25">
      <c r="A13" s="331" t="s">
        <v>648</v>
      </c>
      <c r="B13" s="11"/>
      <c r="C13" s="11"/>
      <c r="D13" s="7">
        <f>+D8-D11</f>
        <v>36259669630.950005</v>
      </c>
      <c r="E13" s="1"/>
      <c r="F13" s="1"/>
      <c r="G13" s="1"/>
      <c r="H13" s="1"/>
      <c r="I13" s="1"/>
      <c r="J13" s="1"/>
      <c r="K13" s="1"/>
      <c r="L13" s="1"/>
      <c r="M13" s="1"/>
      <c r="N13" s="1"/>
      <c r="O13" s="1"/>
      <c r="P13" s="1"/>
      <c r="Q13" s="1"/>
      <c r="R13" s="1"/>
      <c r="S13" s="1"/>
      <c r="T13" s="1"/>
      <c r="U13" s="1"/>
      <c r="V13" s="1"/>
      <c r="W13" s="1"/>
      <c r="X13" s="1"/>
      <c r="Y13" s="1"/>
      <c r="Z13" s="1"/>
    </row>
    <row r="14" spans="1:26" s="315" customFormat="1" ht="12.75" customHeight="1" x14ac:dyDescent="0.2">
      <c r="A14" s="4"/>
      <c r="B14" s="11"/>
      <c r="C14" s="11"/>
      <c r="D14" s="7"/>
      <c r="E14" s="1"/>
      <c r="F14" s="1"/>
      <c r="G14" s="1"/>
      <c r="H14" s="1"/>
      <c r="I14" s="1"/>
      <c r="J14" s="1"/>
      <c r="K14" s="1"/>
      <c r="L14" s="1"/>
      <c r="M14" s="1"/>
      <c r="N14" s="1"/>
      <c r="O14" s="1"/>
      <c r="P14" s="1"/>
      <c r="Q14" s="1"/>
      <c r="R14" s="1"/>
      <c r="S14" s="1"/>
      <c r="T14" s="1"/>
      <c r="U14" s="1"/>
      <c r="V14" s="1"/>
      <c r="W14" s="1"/>
      <c r="X14" s="1"/>
      <c r="Y14" s="1"/>
      <c r="Z14" s="1"/>
    </row>
    <row r="15" spans="1:26" s="130" customFormat="1" ht="12.75" customHeight="1" x14ac:dyDescent="0.25">
      <c r="A15" s="331" t="s">
        <v>645</v>
      </c>
      <c r="B15" s="332"/>
      <c r="D15" s="118">
        <f>SUM(D16)</f>
        <v>215604972.24000001</v>
      </c>
      <c r="E15" s="1"/>
      <c r="F15" s="1"/>
      <c r="G15" s="1"/>
      <c r="H15" s="1"/>
      <c r="I15" s="1"/>
      <c r="J15" s="1"/>
      <c r="K15" s="1"/>
      <c r="L15" s="1"/>
      <c r="M15" s="1"/>
      <c r="N15" s="1"/>
      <c r="O15" s="1"/>
      <c r="P15" s="1"/>
      <c r="Q15" s="1"/>
      <c r="R15" s="1"/>
      <c r="S15" s="1"/>
      <c r="T15" s="1"/>
      <c r="U15" s="1"/>
      <c r="V15" s="1"/>
      <c r="W15" s="1"/>
      <c r="X15" s="1"/>
      <c r="Y15" s="1"/>
      <c r="Z15" s="1"/>
    </row>
    <row r="16" spans="1:26" s="315" customFormat="1" ht="12.75" customHeight="1" x14ac:dyDescent="0.2">
      <c r="A16" s="333" t="s">
        <v>606</v>
      </c>
      <c r="B16" s="332"/>
      <c r="D16" s="335">
        <f>50892084.62+164712887.62</f>
        <v>215604972.24000001</v>
      </c>
      <c r="E16" s="1"/>
      <c r="F16" s="1"/>
      <c r="G16" s="1"/>
      <c r="H16" s="1"/>
      <c r="I16" s="1"/>
      <c r="J16" s="1"/>
      <c r="K16" s="1"/>
      <c r="L16" s="1"/>
      <c r="M16" s="1"/>
      <c r="N16" s="1"/>
      <c r="O16" s="1"/>
      <c r="P16" s="1"/>
      <c r="Q16" s="1"/>
      <c r="R16" s="1"/>
      <c r="S16" s="1"/>
      <c r="T16" s="1"/>
      <c r="U16" s="1"/>
      <c r="V16" s="1"/>
      <c r="W16" s="1"/>
      <c r="X16" s="1"/>
      <c r="Y16" s="1"/>
      <c r="Z16" s="1"/>
    </row>
    <row r="17" spans="1:26" s="315" customFormat="1" ht="12.75" customHeight="1" x14ac:dyDescent="0.2">
      <c r="A17" s="4"/>
      <c r="B17" s="11"/>
      <c r="D17" s="11"/>
      <c r="E17" s="1"/>
      <c r="F17" s="1"/>
      <c r="G17" s="1"/>
      <c r="H17" s="1"/>
      <c r="I17" s="1"/>
      <c r="J17" s="1"/>
      <c r="K17" s="1"/>
      <c r="L17" s="1"/>
      <c r="M17" s="1"/>
      <c r="N17" s="1"/>
      <c r="O17" s="1"/>
      <c r="P17" s="1"/>
      <c r="Q17" s="1"/>
      <c r="R17" s="1"/>
      <c r="S17" s="1"/>
      <c r="T17" s="1"/>
      <c r="U17" s="1"/>
      <c r="V17" s="1"/>
      <c r="W17" s="1"/>
      <c r="X17" s="1"/>
      <c r="Y17" s="1"/>
      <c r="Z17" s="1"/>
    </row>
    <row r="18" spans="1:26" s="315" customFormat="1" ht="12.75" customHeight="1" x14ac:dyDescent="0.25">
      <c r="A18" s="331" t="s">
        <v>646</v>
      </c>
      <c r="B18" s="332"/>
      <c r="D18" s="118">
        <f>SUM(D19)</f>
        <v>26152076.989999998</v>
      </c>
      <c r="E18" s="1"/>
      <c r="F18" s="1"/>
      <c r="G18" s="1"/>
      <c r="H18" s="1"/>
      <c r="I18" s="1"/>
      <c r="J18" s="1"/>
      <c r="K18" s="1"/>
      <c r="L18" s="1"/>
      <c r="M18" s="1"/>
      <c r="N18" s="1"/>
      <c r="O18" s="1"/>
      <c r="P18" s="1"/>
      <c r="Q18" s="1"/>
      <c r="R18" s="1"/>
      <c r="S18" s="1"/>
      <c r="T18" s="1"/>
      <c r="U18" s="1"/>
      <c r="V18" s="1"/>
      <c r="W18" s="1"/>
      <c r="X18" s="1"/>
      <c r="Y18" s="1"/>
      <c r="Z18" s="1"/>
    </row>
    <row r="19" spans="1:26" s="130" customFormat="1" ht="12.75" customHeight="1" x14ac:dyDescent="0.2">
      <c r="A19" s="334" t="s">
        <v>647</v>
      </c>
      <c r="B19" s="332"/>
      <c r="D19" s="335">
        <f>6180555.56+19971521.43</f>
        <v>26152076.989999998</v>
      </c>
      <c r="E19" s="1"/>
      <c r="F19" s="1"/>
      <c r="G19" s="1"/>
      <c r="H19" s="1"/>
      <c r="I19" s="1"/>
      <c r="J19" s="1"/>
      <c r="K19" s="1"/>
      <c r="L19" s="1"/>
      <c r="M19" s="1"/>
      <c r="N19" s="1"/>
      <c r="O19" s="1"/>
      <c r="P19" s="1"/>
      <c r="Q19" s="1"/>
      <c r="R19" s="1"/>
      <c r="S19" s="1"/>
      <c r="T19" s="1"/>
      <c r="U19" s="1"/>
      <c r="V19" s="1"/>
      <c r="W19" s="1"/>
      <c r="X19" s="1"/>
      <c r="Y19" s="1"/>
      <c r="Z19" s="1"/>
    </row>
    <row r="20" spans="1:26" s="130" customFormat="1" ht="12.75" customHeight="1" x14ac:dyDescent="0.2">
      <c r="A20" s="333"/>
      <c r="B20" s="11"/>
      <c r="C20" s="11"/>
      <c r="D20" s="7"/>
      <c r="E20" s="1"/>
      <c r="F20" s="1"/>
      <c r="G20" s="1"/>
      <c r="H20" s="1"/>
      <c r="I20" s="1"/>
      <c r="J20" s="1"/>
      <c r="K20" s="1"/>
      <c r="L20" s="1"/>
      <c r="M20" s="1"/>
      <c r="N20" s="1"/>
      <c r="O20" s="1"/>
      <c r="P20" s="1"/>
      <c r="Q20" s="1"/>
      <c r="R20" s="1"/>
      <c r="S20" s="1"/>
      <c r="T20" s="1"/>
      <c r="U20" s="1"/>
      <c r="V20" s="1"/>
      <c r="W20" s="1"/>
      <c r="X20" s="1"/>
      <c r="Y20" s="1"/>
      <c r="Z20" s="1"/>
    </row>
    <row r="21" spans="1:26" s="130" customFormat="1" ht="12.75" customHeight="1" x14ac:dyDescent="0.2">
      <c r="A21" s="4"/>
      <c r="B21" s="11"/>
      <c r="C21" s="11"/>
      <c r="D21" s="7"/>
      <c r="E21" s="1"/>
      <c r="F21" s="1"/>
      <c r="G21" s="1"/>
      <c r="H21" s="1"/>
      <c r="I21" s="1"/>
      <c r="J21" s="1"/>
      <c r="K21" s="1"/>
      <c r="L21" s="1"/>
      <c r="M21" s="1"/>
      <c r="N21" s="1"/>
      <c r="O21" s="1"/>
      <c r="P21" s="1"/>
      <c r="Q21" s="1"/>
      <c r="R21" s="1"/>
      <c r="S21" s="1"/>
      <c r="T21" s="1"/>
      <c r="U21" s="1"/>
      <c r="V21" s="1"/>
      <c r="W21" s="1"/>
      <c r="X21" s="1"/>
      <c r="Y21" s="1"/>
      <c r="Z21" s="1"/>
    </row>
    <row r="22" spans="1:26" ht="18.75" customHeight="1" x14ac:dyDescent="0.2">
      <c r="A22" s="6" t="s">
        <v>8</v>
      </c>
      <c r="B22" s="7"/>
      <c r="C22" s="7"/>
      <c r="D22" s="12">
        <f>+D13+D15-D18</f>
        <v>36449122526.200005</v>
      </c>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7"/>
      <c r="C23" s="7"/>
      <c r="D23" s="11" t="s">
        <v>0</v>
      </c>
      <c r="E23" s="1"/>
      <c r="F23" s="1"/>
      <c r="G23" s="1"/>
      <c r="H23" s="1"/>
      <c r="I23" s="1"/>
      <c r="J23" s="1"/>
      <c r="K23" s="1"/>
      <c r="L23" s="1"/>
      <c r="M23" s="1"/>
      <c r="N23" s="1"/>
      <c r="O23" s="1"/>
      <c r="P23" s="1"/>
      <c r="Q23" s="1"/>
      <c r="R23" s="1"/>
      <c r="S23" s="1"/>
      <c r="T23" s="1"/>
      <c r="U23" s="1"/>
      <c r="V23" s="1"/>
      <c r="W23" s="1"/>
      <c r="X23" s="1"/>
      <c r="Y23" s="1"/>
      <c r="Z23" s="1"/>
    </row>
    <row r="24" spans="1:26" ht="18" customHeight="1" x14ac:dyDescent="0.2">
      <c r="A24" s="9" t="s">
        <v>9</v>
      </c>
      <c r="B24" s="7"/>
      <c r="C24" s="7"/>
      <c r="D24" s="8">
        <f>SUM(D31:D61)</f>
        <v>25682486570.684776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4"/>
      <c r="B25" s="7"/>
      <c r="C25" s="7"/>
      <c r="D25" s="7"/>
      <c r="E25" s="1"/>
      <c r="F25" s="1"/>
      <c r="G25" s="1"/>
      <c r="H25" s="1"/>
      <c r="I25" s="1"/>
      <c r="J25" s="1"/>
      <c r="K25" s="1"/>
      <c r="L25" s="1"/>
      <c r="M25" s="1"/>
      <c r="N25" s="1"/>
      <c r="O25" s="1"/>
      <c r="P25" s="1"/>
      <c r="Q25" s="1"/>
      <c r="R25" s="1"/>
      <c r="S25" s="1"/>
      <c r="T25" s="1"/>
      <c r="U25" s="1"/>
      <c r="V25" s="1"/>
      <c r="W25" s="1"/>
      <c r="X25" s="1"/>
      <c r="Y25" s="1"/>
      <c r="Z25" s="1"/>
    </row>
    <row r="26" spans="1:26" ht="16.5" customHeight="1" x14ac:dyDescent="0.2">
      <c r="A26" s="6" t="s">
        <v>10</v>
      </c>
      <c r="B26" s="7"/>
      <c r="C26" s="7"/>
      <c r="D26" s="12">
        <f>D22-D24</f>
        <v>10766635955.515228</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7"/>
      <c r="C27" s="7"/>
      <c r="D27" s="13"/>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4" t="s">
        <v>11</v>
      </c>
      <c r="B28" s="15"/>
      <c r="C28" s="15"/>
      <c r="D28" s="13"/>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6"/>
      <c r="B29" s="16"/>
      <c r="C29" s="16"/>
      <c r="D29" s="16"/>
      <c r="E29" s="17"/>
      <c r="F29" s="17"/>
      <c r="G29" s="17"/>
      <c r="H29" s="17"/>
      <c r="I29" s="17"/>
      <c r="J29" s="17"/>
      <c r="K29" s="17"/>
      <c r="L29" s="17"/>
      <c r="M29" s="17"/>
      <c r="N29" s="17"/>
      <c r="O29" s="17"/>
      <c r="P29" s="17"/>
      <c r="Q29" s="17"/>
      <c r="R29" s="17"/>
      <c r="S29" s="17"/>
      <c r="T29" s="17"/>
      <c r="U29" s="17"/>
      <c r="V29" s="17"/>
      <c r="W29" s="17"/>
      <c r="X29" s="17"/>
      <c r="Y29" s="1"/>
      <c r="Z29" s="1"/>
    </row>
    <row r="30" spans="1:26" ht="12.75" customHeight="1" x14ac:dyDescent="0.2">
      <c r="A30" s="18" t="s">
        <v>12</v>
      </c>
      <c r="B30" s="18" t="s">
        <v>13</v>
      </c>
      <c r="C30" s="18"/>
      <c r="D30" s="18" t="s">
        <v>14</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31" t="s">
        <v>247</v>
      </c>
      <c r="B31" s="374" t="s">
        <v>610</v>
      </c>
      <c r="C31" s="375"/>
      <c r="D31" s="19">
        <v>129320.798</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31" t="s">
        <v>89</v>
      </c>
      <c r="B32" s="374" t="s">
        <v>611</v>
      </c>
      <c r="C32" s="375" t="s">
        <v>425</v>
      </c>
      <c r="D32" s="19">
        <v>41826496.323959798</v>
      </c>
      <c r="E32" s="1"/>
      <c r="F32" s="1"/>
      <c r="G32" s="1"/>
      <c r="H32" s="1"/>
      <c r="I32" s="1"/>
      <c r="J32" s="1"/>
      <c r="K32" s="1"/>
      <c r="L32" s="1"/>
      <c r="M32" s="1"/>
      <c r="N32" s="1"/>
      <c r="O32" s="1"/>
      <c r="P32" s="1"/>
      <c r="Q32" s="1"/>
      <c r="R32" s="1"/>
      <c r="S32" s="1"/>
      <c r="T32" s="1"/>
      <c r="U32" s="1"/>
      <c r="V32" s="1"/>
      <c r="W32" s="1"/>
      <c r="X32" s="1"/>
      <c r="Y32" s="1"/>
      <c r="Z32" s="1"/>
    </row>
    <row r="33" spans="1:26" s="130" customFormat="1" ht="12.75" customHeight="1" x14ac:dyDescent="0.2">
      <c r="A33" s="131" t="s">
        <v>623</v>
      </c>
      <c r="B33" s="374" t="s">
        <v>612</v>
      </c>
      <c r="C33" s="375" t="s">
        <v>427</v>
      </c>
      <c r="D33" s="19">
        <v>48495.303</v>
      </c>
      <c r="E33" s="1"/>
      <c r="F33" s="1"/>
      <c r="G33" s="1"/>
      <c r="H33" s="1"/>
      <c r="I33" s="1"/>
      <c r="J33" s="1"/>
      <c r="K33" s="1"/>
      <c r="L33" s="1"/>
      <c r="M33" s="1"/>
      <c r="N33" s="1"/>
      <c r="O33" s="1"/>
      <c r="P33" s="1"/>
      <c r="Q33" s="1"/>
      <c r="R33" s="1"/>
      <c r="S33" s="1"/>
      <c r="T33" s="1"/>
      <c r="U33" s="1"/>
      <c r="V33" s="1"/>
      <c r="W33" s="1"/>
      <c r="X33" s="1"/>
      <c r="Y33" s="1"/>
      <c r="Z33" s="1"/>
    </row>
    <row r="34" spans="1:26" s="130" customFormat="1" ht="12.75" customHeight="1" x14ac:dyDescent="0.2">
      <c r="A34" s="131" t="s">
        <v>622</v>
      </c>
      <c r="B34" s="374" t="s">
        <v>613</v>
      </c>
      <c r="C34" s="375" t="s">
        <v>429</v>
      </c>
      <c r="D34" s="19">
        <v>1058843308.8263986</v>
      </c>
      <c r="E34" s="1"/>
      <c r="F34" s="1"/>
      <c r="G34" s="1"/>
      <c r="H34" s="1"/>
      <c r="I34" s="1"/>
      <c r="J34" s="1"/>
      <c r="K34" s="1"/>
      <c r="L34" s="1"/>
      <c r="M34" s="1"/>
      <c r="N34" s="1"/>
      <c r="O34" s="1"/>
      <c r="P34" s="1"/>
      <c r="Q34" s="1"/>
      <c r="R34" s="1"/>
      <c r="S34" s="1"/>
      <c r="T34" s="1"/>
      <c r="U34" s="1"/>
      <c r="V34" s="1"/>
      <c r="W34" s="1"/>
      <c r="X34" s="1"/>
      <c r="Y34" s="1"/>
      <c r="Z34" s="1"/>
    </row>
    <row r="35" spans="1:26" s="130" customFormat="1" ht="12.75" customHeight="1" x14ac:dyDescent="0.2">
      <c r="A35" s="131" t="s">
        <v>621</v>
      </c>
      <c r="B35" s="374" t="s">
        <v>614</v>
      </c>
      <c r="C35" s="375" t="s">
        <v>588</v>
      </c>
      <c r="D35" s="19">
        <v>13941973.005819932</v>
      </c>
      <c r="E35" s="1"/>
      <c r="F35" s="1"/>
      <c r="G35" s="1"/>
      <c r="H35" s="1"/>
      <c r="I35" s="1"/>
      <c r="J35" s="1"/>
      <c r="K35" s="1"/>
      <c r="L35" s="1"/>
      <c r="M35" s="1"/>
      <c r="N35" s="1"/>
      <c r="O35" s="1"/>
      <c r="P35" s="1"/>
      <c r="Q35" s="1"/>
      <c r="R35" s="1"/>
      <c r="S35" s="1"/>
      <c r="T35" s="1"/>
      <c r="U35" s="1"/>
      <c r="V35" s="1"/>
      <c r="W35" s="1"/>
      <c r="X35" s="1"/>
      <c r="Y35" s="1"/>
      <c r="Z35" s="1"/>
    </row>
    <row r="36" spans="1:26" s="130" customFormat="1" ht="12.75" customHeight="1" x14ac:dyDescent="0.2">
      <c r="A36" s="131" t="s">
        <v>620</v>
      </c>
      <c r="B36" s="374" t="s">
        <v>615</v>
      </c>
      <c r="C36" s="375" t="s">
        <v>589</v>
      </c>
      <c r="D36" s="19">
        <v>7093916659.3000002</v>
      </c>
      <c r="E36" s="1"/>
      <c r="F36" s="1"/>
      <c r="G36" s="1"/>
      <c r="H36" s="1"/>
      <c r="I36" s="1"/>
      <c r="J36" s="1"/>
      <c r="K36" s="1"/>
      <c r="L36" s="1"/>
      <c r="M36" s="1"/>
      <c r="N36" s="1"/>
      <c r="O36" s="1"/>
      <c r="P36" s="1"/>
      <c r="Q36" s="1"/>
      <c r="R36" s="1"/>
      <c r="S36" s="1"/>
      <c r="T36" s="1"/>
      <c r="U36" s="1"/>
      <c r="V36" s="1"/>
      <c r="W36" s="1"/>
      <c r="X36" s="1"/>
      <c r="Y36" s="1"/>
      <c r="Z36" s="1"/>
    </row>
    <row r="37" spans="1:26" s="130" customFormat="1" ht="12.75" customHeight="1" x14ac:dyDescent="0.2">
      <c r="A37" s="131" t="s">
        <v>88</v>
      </c>
      <c r="B37" s="374" t="s">
        <v>590</v>
      </c>
      <c r="C37" s="375" t="s">
        <v>590</v>
      </c>
      <c r="D37" s="19">
        <v>31911613.669999972</v>
      </c>
      <c r="E37" s="1"/>
      <c r="F37" s="1"/>
      <c r="G37" s="1"/>
      <c r="H37" s="1"/>
      <c r="I37" s="1"/>
      <c r="J37" s="1"/>
      <c r="K37" s="1"/>
      <c r="L37" s="1"/>
      <c r="M37" s="1"/>
      <c r="N37" s="1"/>
      <c r="O37" s="1"/>
      <c r="P37" s="1"/>
      <c r="Q37" s="1"/>
      <c r="R37" s="1"/>
      <c r="S37" s="1"/>
      <c r="T37" s="1"/>
      <c r="U37" s="1"/>
      <c r="V37" s="1"/>
      <c r="W37" s="1"/>
      <c r="X37" s="1"/>
      <c r="Y37" s="1"/>
      <c r="Z37" s="1"/>
    </row>
    <row r="38" spans="1:26" s="130" customFormat="1" ht="12.75" customHeight="1" x14ac:dyDescent="0.2">
      <c r="A38" s="131" t="s">
        <v>591</v>
      </c>
      <c r="B38" s="374"/>
      <c r="C38" s="375"/>
      <c r="D38" s="19">
        <v>194674.97</v>
      </c>
      <c r="E38" s="1"/>
      <c r="F38" s="1"/>
      <c r="G38" s="1"/>
      <c r="H38" s="1"/>
      <c r="I38" s="1"/>
      <c r="J38" s="1"/>
      <c r="K38" s="1"/>
      <c r="L38" s="1"/>
      <c r="M38" s="1"/>
      <c r="N38" s="1"/>
      <c r="O38" s="1"/>
      <c r="P38" s="1"/>
      <c r="Q38" s="1"/>
      <c r="R38" s="1"/>
      <c r="S38" s="1"/>
      <c r="T38" s="1"/>
      <c r="U38" s="1"/>
      <c r="V38" s="1"/>
      <c r="W38" s="1"/>
      <c r="X38" s="1"/>
      <c r="Y38" s="1"/>
      <c r="Z38" s="1"/>
    </row>
    <row r="39" spans="1:26" s="130" customFormat="1" ht="12.75" customHeight="1" x14ac:dyDescent="0.2">
      <c r="A39" s="131" t="s">
        <v>440</v>
      </c>
      <c r="B39" s="374" t="s">
        <v>616</v>
      </c>
      <c r="C39" s="375"/>
      <c r="D39" s="19">
        <v>254575736.97689927</v>
      </c>
      <c r="E39" s="1"/>
      <c r="F39" s="1"/>
      <c r="G39" s="1"/>
      <c r="H39" s="1"/>
      <c r="I39" s="1"/>
      <c r="J39" s="1"/>
      <c r="K39" s="1"/>
      <c r="L39" s="1"/>
      <c r="M39" s="1"/>
      <c r="N39" s="1"/>
      <c r="O39" s="1"/>
      <c r="P39" s="1"/>
      <c r="Q39" s="1"/>
      <c r="R39" s="1"/>
      <c r="S39" s="1"/>
      <c r="T39" s="1"/>
      <c r="U39" s="1"/>
      <c r="V39" s="1"/>
      <c r="W39" s="1"/>
      <c r="X39" s="1"/>
      <c r="Y39" s="1"/>
      <c r="Z39" s="1"/>
    </row>
    <row r="40" spans="1:26" s="130" customFormat="1" ht="12.75" customHeight="1" x14ac:dyDescent="0.2">
      <c r="A40" s="131" t="s">
        <v>592</v>
      </c>
      <c r="B40" s="374" t="s">
        <v>617</v>
      </c>
      <c r="C40" s="375" t="s">
        <v>592</v>
      </c>
      <c r="D40" s="19">
        <v>0</v>
      </c>
      <c r="E40" s="1"/>
      <c r="F40" s="1"/>
      <c r="G40" s="1"/>
      <c r="H40" s="1"/>
      <c r="I40" s="1"/>
      <c r="J40" s="1"/>
      <c r="K40" s="1"/>
      <c r="L40" s="1"/>
      <c r="M40" s="1"/>
      <c r="N40" s="1"/>
      <c r="O40" s="1"/>
      <c r="P40" s="1"/>
      <c r="Q40" s="1"/>
      <c r="R40" s="1"/>
      <c r="S40" s="1"/>
      <c r="T40" s="1"/>
      <c r="U40" s="1"/>
      <c r="V40" s="1"/>
      <c r="W40" s="1"/>
      <c r="X40" s="1"/>
      <c r="Y40" s="1"/>
      <c r="Z40" s="1"/>
    </row>
    <row r="41" spans="1:26" s="130" customFormat="1" ht="12.75" customHeight="1" x14ac:dyDescent="0.2">
      <c r="A41" s="131" t="s">
        <v>618</v>
      </c>
      <c r="B41" s="374" t="s">
        <v>447</v>
      </c>
      <c r="C41" s="375" t="s">
        <v>447</v>
      </c>
      <c r="D41" s="19">
        <v>2678267.1489999983</v>
      </c>
      <c r="E41" s="1"/>
      <c r="F41" s="1"/>
      <c r="G41" s="1"/>
      <c r="H41" s="1"/>
      <c r="I41" s="1"/>
      <c r="J41" s="1"/>
      <c r="K41" s="1"/>
      <c r="L41" s="1"/>
      <c r="M41" s="1"/>
      <c r="N41" s="1"/>
      <c r="O41" s="1"/>
      <c r="P41" s="1"/>
      <c r="Q41" s="1"/>
      <c r="R41" s="1"/>
      <c r="S41" s="1"/>
      <c r="T41" s="1"/>
      <c r="U41" s="1"/>
      <c r="V41" s="1"/>
      <c r="W41" s="1"/>
      <c r="X41" s="1"/>
      <c r="Y41" s="1"/>
      <c r="Z41" s="1"/>
    </row>
    <row r="42" spans="1:26" s="130" customFormat="1" ht="12.75" customHeight="1" x14ac:dyDescent="0.2">
      <c r="A42" s="131" t="s">
        <v>619</v>
      </c>
      <c r="B42" s="374" t="s">
        <v>449</v>
      </c>
      <c r="C42" s="375" t="s">
        <v>449</v>
      </c>
      <c r="D42" s="19">
        <v>16873083.038699985</v>
      </c>
      <c r="E42" s="1"/>
      <c r="F42" s="1"/>
      <c r="G42" s="1"/>
      <c r="H42" s="1"/>
      <c r="I42" s="1"/>
      <c r="J42" s="1"/>
      <c r="K42" s="1"/>
      <c r="L42" s="1"/>
      <c r="M42" s="1"/>
      <c r="N42" s="1"/>
      <c r="O42" s="1"/>
      <c r="P42" s="1"/>
      <c r="Q42" s="1"/>
      <c r="R42" s="1"/>
      <c r="S42" s="1"/>
      <c r="T42" s="1"/>
      <c r="U42" s="1"/>
      <c r="V42" s="1"/>
      <c r="W42" s="1"/>
      <c r="X42" s="1"/>
      <c r="Y42" s="1"/>
      <c r="Z42" s="1"/>
    </row>
    <row r="43" spans="1:26" s="130" customFormat="1" ht="12.75" customHeight="1" x14ac:dyDescent="0.2">
      <c r="A43" s="131" t="s">
        <v>593</v>
      </c>
      <c r="B43" s="374" t="s">
        <v>593</v>
      </c>
      <c r="C43" s="375" t="s">
        <v>593</v>
      </c>
      <c r="D43" s="19">
        <v>2330362578.02</v>
      </c>
      <c r="E43" s="1"/>
      <c r="F43" s="1"/>
      <c r="G43" s="1"/>
      <c r="H43" s="1"/>
      <c r="I43" s="1"/>
      <c r="J43" s="1"/>
      <c r="K43" s="1"/>
      <c r="L43" s="1"/>
      <c r="M43" s="1"/>
      <c r="N43" s="1"/>
      <c r="O43" s="1"/>
      <c r="P43" s="1"/>
      <c r="Q43" s="1"/>
      <c r="R43" s="1"/>
      <c r="S43" s="1"/>
      <c r="T43" s="1"/>
      <c r="U43" s="1"/>
      <c r="V43" s="1"/>
      <c r="W43" s="1"/>
      <c r="X43" s="1"/>
      <c r="Y43" s="1"/>
      <c r="Z43" s="1"/>
    </row>
    <row r="44" spans="1:26" s="130" customFormat="1" ht="12.75" customHeight="1" x14ac:dyDescent="0.2">
      <c r="A44" s="131" t="s">
        <v>594</v>
      </c>
      <c r="B44" s="131" t="s">
        <v>624</v>
      </c>
      <c r="C44" s="132"/>
      <c r="D44" s="19">
        <v>2733587.91</v>
      </c>
      <c r="E44" s="1"/>
      <c r="F44" s="1"/>
      <c r="G44" s="1"/>
      <c r="H44" s="1"/>
      <c r="I44" s="1"/>
      <c r="J44" s="1"/>
      <c r="K44" s="1"/>
      <c r="L44" s="1"/>
      <c r="M44" s="1"/>
      <c r="N44" s="1"/>
      <c r="O44" s="1"/>
      <c r="P44" s="1"/>
      <c r="Q44" s="1"/>
      <c r="R44" s="1"/>
      <c r="S44" s="1"/>
      <c r="T44" s="1"/>
      <c r="U44" s="1"/>
      <c r="V44" s="1"/>
      <c r="W44" s="1"/>
      <c r="X44" s="1"/>
      <c r="Y44" s="1"/>
      <c r="Z44" s="1"/>
    </row>
    <row r="45" spans="1:26" s="130" customFormat="1" ht="12.75" customHeight="1" x14ac:dyDescent="0.2">
      <c r="A45" s="131" t="s">
        <v>595</v>
      </c>
      <c r="B45" s="131"/>
      <c r="C45" s="132"/>
      <c r="D45" s="19">
        <v>408987095.88799989</v>
      </c>
      <c r="E45" s="1"/>
      <c r="F45" s="1"/>
      <c r="G45" s="1"/>
      <c r="H45" s="1"/>
      <c r="I45" s="1"/>
      <c r="J45" s="1"/>
      <c r="K45" s="1"/>
      <c r="L45" s="1"/>
      <c r="M45" s="1"/>
      <c r="N45" s="1"/>
      <c r="O45" s="1"/>
      <c r="P45" s="1"/>
      <c r="Q45" s="1"/>
      <c r="R45" s="1"/>
      <c r="S45" s="1"/>
      <c r="T45" s="1"/>
      <c r="U45" s="1"/>
      <c r="V45" s="1"/>
      <c r="W45" s="1"/>
      <c r="X45" s="1"/>
      <c r="Y45" s="1"/>
      <c r="Z45" s="1"/>
    </row>
    <row r="46" spans="1:26" s="130" customFormat="1" ht="12.75" customHeight="1" x14ac:dyDescent="0.2">
      <c r="A46" s="131" t="s">
        <v>596</v>
      </c>
      <c r="B46" s="131"/>
      <c r="C46" s="132"/>
      <c r="D46" s="19">
        <v>4086649024.2809992</v>
      </c>
      <c r="E46" s="1"/>
      <c r="F46" s="1"/>
      <c r="G46" s="1"/>
      <c r="H46" s="1"/>
      <c r="I46" s="1"/>
      <c r="J46" s="1"/>
      <c r="K46" s="1"/>
      <c r="L46" s="1"/>
      <c r="M46" s="1"/>
      <c r="N46" s="1"/>
      <c r="O46" s="1"/>
      <c r="P46" s="1"/>
      <c r="Q46" s="1"/>
      <c r="R46" s="1"/>
      <c r="S46" s="1"/>
      <c r="T46" s="1"/>
      <c r="U46" s="1"/>
      <c r="V46" s="1"/>
      <c r="W46" s="1"/>
      <c r="X46" s="1"/>
      <c r="Y46" s="1"/>
      <c r="Z46" s="1"/>
    </row>
    <row r="47" spans="1:26" s="130" customFormat="1" ht="12.75" customHeight="1" x14ac:dyDescent="0.2">
      <c r="A47" s="131" t="s">
        <v>597</v>
      </c>
      <c r="B47" s="131"/>
      <c r="C47" s="132"/>
      <c r="D47" s="19">
        <v>6591467029.8299999</v>
      </c>
      <c r="E47" s="1"/>
      <c r="F47" s="1"/>
      <c r="G47" s="1"/>
      <c r="H47" s="1"/>
      <c r="I47" s="1"/>
      <c r="J47" s="1"/>
      <c r="K47" s="1"/>
      <c r="L47" s="1"/>
      <c r="M47" s="1"/>
      <c r="N47" s="1"/>
      <c r="O47" s="1"/>
      <c r="P47" s="1"/>
      <c r="Q47" s="1"/>
      <c r="R47" s="1"/>
      <c r="S47" s="1"/>
      <c r="T47" s="1"/>
      <c r="U47" s="1"/>
      <c r="V47" s="1"/>
      <c r="W47" s="1"/>
      <c r="X47" s="1"/>
      <c r="Y47" s="1"/>
      <c r="Z47" s="1"/>
    </row>
    <row r="48" spans="1:26" s="130" customFormat="1" ht="12.75" customHeight="1" x14ac:dyDescent="0.2">
      <c r="A48" s="131" t="s">
        <v>598</v>
      </c>
      <c r="B48" s="131"/>
      <c r="C48" s="132"/>
      <c r="D48" s="19">
        <v>165880753.60700002</v>
      </c>
      <c r="E48" s="1"/>
      <c r="F48" s="1"/>
      <c r="G48" s="1"/>
      <c r="H48" s="1"/>
      <c r="I48" s="1"/>
      <c r="J48" s="1"/>
      <c r="K48" s="1"/>
      <c r="L48" s="1"/>
      <c r="M48" s="1"/>
      <c r="N48" s="1"/>
      <c r="O48" s="1"/>
      <c r="P48" s="1"/>
      <c r="Q48" s="1"/>
      <c r="R48" s="1"/>
      <c r="S48" s="1"/>
      <c r="T48" s="1"/>
      <c r="U48" s="1"/>
      <c r="V48" s="1"/>
      <c r="W48" s="1"/>
      <c r="X48" s="1"/>
      <c r="Y48" s="1"/>
      <c r="Z48" s="1"/>
    </row>
    <row r="49" spans="1:26" s="130" customFormat="1" ht="12.75" customHeight="1" x14ac:dyDescent="0.2">
      <c r="A49" s="131" t="s">
        <v>599</v>
      </c>
      <c r="B49" s="131"/>
      <c r="C49" s="132"/>
      <c r="D49" s="19">
        <v>191488414.44999999</v>
      </c>
      <c r="E49" s="1"/>
      <c r="F49" s="1"/>
      <c r="G49" s="1"/>
      <c r="H49" s="1"/>
      <c r="I49" s="1"/>
      <c r="J49" s="1"/>
      <c r="K49" s="1"/>
      <c r="L49" s="1"/>
      <c r="M49" s="1"/>
      <c r="N49" s="1"/>
      <c r="O49" s="1"/>
      <c r="P49" s="1"/>
      <c r="Q49" s="1"/>
      <c r="R49" s="1"/>
      <c r="S49" s="1"/>
      <c r="T49" s="1"/>
      <c r="U49" s="1"/>
      <c r="V49" s="1"/>
      <c r="W49" s="1"/>
      <c r="X49" s="1"/>
      <c r="Y49" s="1"/>
      <c r="Z49" s="1"/>
    </row>
    <row r="50" spans="1:26" s="130" customFormat="1" ht="12.75" customHeight="1" x14ac:dyDescent="0.2">
      <c r="A50" s="131" t="s">
        <v>600</v>
      </c>
      <c r="B50" s="131"/>
      <c r="C50" s="132"/>
      <c r="D50" s="19">
        <v>370436676.60700023</v>
      </c>
      <c r="E50" s="1"/>
      <c r="F50" s="1"/>
      <c r="G50" s="1"/>
      <c r="H50" s="1"/>
      <c r="I50" s="1"/>
      <c r="J50" s="1"/>
      <c r="K50" s="1"/>
      <c r="L50" s="1"/>
      <c r="M50" s="1"/>
      <c r="N50" s="1"/>
      <c r="O50" s="1"/>
      <c r="P50" s="1"/>
      <c r="Q50" s="1"/>
      <c r="R50" s="1"/>
      <c r="S50" s="1"/>
      <c r="T50" s="1"/>
      <c r="U50" s="1"/>
      <c r="V50" s="1"/>
      <c r="W50" s="1"/>
      <c r="X50" s="1"/>
      <c r="Y50" s="1"/>
      <c r="Z50" s="1"/>
    </row>
    <row r="51" spans="1:26" s="130" customFormat="1" ht="12.75" customHeight="1" x14ac:dyDescent="0.2">
      <c r="A51" s="131" t="s">
        <v>601</v>
      </c>
      <c r="B51" s="131"/>
      <c r="C51" s="132"/>
      <c r="D51" s="19">
        <v>745877410.46000004</v>
      </c>
      <c r="E51" s="1"/>
      <c r="F51" s="1"/>
      <c r="G51" s="1"/>
      <c r="H51" s="1"/>
      <c r="I51" s="1"/>
      <c r="J51" s="1"/>
      <c r="K51" s="1"/>
      <c r="L51" s="1"/>
      <c r="M51" s="1"/>
      <c r="N51" s="1"/>
      <c r="O51" s="1"/>
      <c r="P51" s="1"/>
      <c r="Q51" s="1"/>
      <c r="R51" s="1"/>
      <c r="S51" s="1"/>
      <c r="T51" s="1"/>
      <c r="U51" s="1"/>
      <c r="V51" s="1"/>
      <c r="W51" s="1"/>
      <c r="X51" s="1"/>
      <c r="Y51" s="1"/>
      <c r="Z51" s="1"/>
    </row>
    <row r="52" spans="1:26" s="130" customFormat="1" ht="12.75" customHeight="1" x14ac:dyDescent="0.2">
      <c r="A52" s="131" t="s">
        <v>602</v>
      </c>
      <c r="B52" s="131"/>
      <c r="C52" s="132"/>
      <c r="D52" s="19">
        <v>113405275.43000001</v>
      </c>
      <c r="E52" s="1"/>
      <c r="F52" s="1"/>
      <c r="G52" s="1"/>
      <c r="H52" s="1"/>
      <c r="I52" s="1"/>
      <c r="J52" s="1"/>
      <c r="K52" s="1"/>
      <c r="L52" s="1"/>
      <c r="M52" s="1"/>
      <c r="N52" s="1"/>
      <c r="O52" s="1"/>
      <c r="P52" s="1"/>
      <c r="Q52" s="1"/>
      <c r="R52" s="1"/>
      <c r="S52" s="1"/>
      <c r="T52" s="1"/>
      <c r="U52" s="1"/>
      <c r="V52" s="1"/>
      <c r="W52" s="1"/>
      <c r="X52" s="1"/>
      <c r="Y52" s="1"/>
      <c r="Z52" s="1"/>
    </row>
    <row r="53" spans="1:26" s="130" customFormat="1" ht="12.75" customHeight="1" x14ac:dyDescent="0.2">
      <c r="A53" s="131" t="s">
        <v>603</v>
      </c>
      <c r="B53" s="131"/>
      <c r="C53" s="132"/>
      <c r="D53" s="19">
        <v>131000</v>
      </c>
      <c r="E53" s="1"/>
      <c r="F53" s="1"/>
      <c r="G53" s="1"/>
      <c r="H53" s="1"/>
      <c r="I53" s="1"/>
      <c r="J53" s="1"/>
      <c r="K53" s="1"/>
      <c r="L53" s="1"/>
      <c r="M53" s="1"/>
      <c r="N53" s="1"/>
      <c r="O53" s="1"/>
      <c r="P53" s="1"/>
      <c r="Q53" s="1"/>
      <c r="R53" s="1"/>
      <c r="S53" s="1"/>
      <c r="T53" s="1"/>
      <c r="U53" s="1"/>
      <c r="V53" s="1"/>
      <c r="W53" s="1"/>
      <c r="X53" s="1"/>
      <c r="Y53" s="1"/>
      <c r="Z53" s="1"/>
    </row>
    <row r="54" spans="1:26" s="130" customFormat="1" ht="12.75" customHeight="1" x14ac:dyDescent="0.2">
      <c r="A54" s="131" t="s">
        <v>625</v>
      </c>
      <c r="B54" s="131" t="s">
        <v>626</v>
      </c>
      <c r="C54" s="132"/>
      <c r="D54" s="19">
        <v>526615261.48000002</v>
      </c>
      <c r="E54" s="1"/>
      <c r="F54" s="1"/>
      <c r="G54" s="1"/>
      <c r="H54" s="1"/>
      <c r="I54" s="1"/>
      <c r="J54" s="1"/>
      <c r="K54" s="1"/>
      <c r="L54" s="1"/>
      <c r="M54" s="1"/>
      <c r="N54" s="1"/>
      <c r="O54" s="1"/>
      <c r="P54" s="1"/>
      <c r="Q54" s="1"/>
      <c r="R54" s="1"/>
      <c r="S54" s="1"/>
      <c r="T54" s="1"/>
      <c r="U54" s="1"/>
      <c r="V54" s="1"/>
      <c r="W54" s="1"/>
      <c r="X54" s="1"/>
      <c r="Y54" s="1"/>
      <c r="Z54" s="1"/>
    </row>
    <row r="55" spans="1:26" s="130" customFormat="1" ht="12.75" customHeight="1" x14ac:dyDescent="0.2">
      <c r="A55" s="131" t="s">
        <v>604</v>
      </c>
      <c r="B55" s="131"/>
      <c r="C55" s="132"/>
      <c r="D55" s="19">
        <v>44.03</v>
      </c>
      <c r="E55" s="1"/>
      <c r="F55" s="1"/>
      <c r="G55" s="1"/>
      <c r="H55" s="1"/>
      <c r="I55" s="1"/>
      <c r="J55" s="1"/>
      <c r="K55" s="1"/>
      <c r="L55" s="1"/>
      <c r="M55" s="1"/>
      <c r="N55" s="1"/>
      <c r="O55" s="1"/>
      <c r="P55" s="1"/>
      <c r="Q55" s="1"/>
      <c r="R55" s="1"/>
      <c r="S55" s="1"/>
      <c r="T55" s="1"/>
      <c r="U55" s="1"/>
      <c r="V55" s="1"/>
      <c r="W55" s="1"/>
      <c r="X55" s="1"/>
      <c r="Y55" s="1"/>
      <c r="Z55" s="1"/>
    </row>
    <row r="56" spans="1:26" s="130" customFormat="1" ht="12.75" customHeight="1" x14ac:dyDescent="0.2">
      <c r="A56" s="131" t="s">
        <v>605</v>
      </c>
      <c r="B56" s="131"/>
      <c r="C56" s="132"/>
      <c r="D56" s="19">
        <v>97767666.069999993</v>
      </c>
      <c r="E56" s="1"/>
      <c r="F56" s="1"/>
      <c r="G56" s="1"/>
      <c r="H56" s="1"/>
      <c r="I56" s="1"/>
      <c r="J56" s="1"/>
      <c r="K56" s="1"/>
      <c r="L56" s="1"/>
      <c r="M56" s="1"/>
      <c r="N56" s="1"/>
      <c r="O56" s="1"/>
      <c r="P56" s="1"/>
      <c r="Q56" s="1"/>
      <c r="R56" s="1"/>
      <c r="S56" s="1"/>
      <c r="T56" s="1"/>
      <c r="U56" s="1"/>
      <c r="V56" s="1"/>
      <c r="W56" s="1"/>
      <c r="X56" s="1"/>
      <c r="Y56" s="1"/>
      <c r="Z56" s="1"/>
    </row>
    <row r="57" spans="1:26" s="130" customFormat="1" ht="12.75" customHeight="1" x14ac:dyDescent="0.2">
      <c r="A57" s="131" t="s">
        <v>606</v>
      </c>
      <c r="B57" s="131"/>
      <c r="C57" s="132"/>
      <c r="D57" s="19">
        <v>215604972.24000001</v>
      </c>
      <c r="E57" s="1"/>
      <c r="F57" s="1"/>
      <c r="G57" s="1"/>
      <c r="H57" s="1"/>
      <c r="I57" s="1"/>
      <c r="J57" s="1"/>
      <c r="K57" s="1"/>
      <c r="L57" s="1"/>
      <c r="M57" s="1"/>
      <c r="N57" s="1"/>
      <c r="O57" s="1"/>
      <c r="P57" s="1"/>
      <c r="Q57" s="1"/>
      <c r="R57" s="1"/>
      <c r="S57" s="1"/>
      <c r="T57" s="1"/>
      <c r="U57" s="1"/>
      <c r="V57" s="1"/>
      <c r="W57" s="1"/>
      <c r="X57" s="1"/>
      <c r="Y57" s="1"/>
      <c r="Z57" s="1"/>
    </row>
    <row r="58" spans="1:26" s="130" customFormat="1" ht="12.75" customHeight="1" x14ac:dyDescent="0.2">
      <c r="A58" s="131" t="s">
        <v>607</v>
      </c>
      <c r="B58" s="131"/>
      <c r="C58" s="132"/>
      <c r="D58" s="19">
        <v>74992989.489999995</v>
      </c>
      <c r="E58" s="1"/>
      <c r="F58" s="1"/>
      <c r="G58" s="1"/>
      <c r="H58" s="1"/>
      <c r="I58" s="1"/>
      <c r="J58" s="1"/>
      <c r="K58" s="1"/>
      <c r="L58" s="1"/>
      <c r="M58" s="1"/>
      <c r="N58" s="1"/>
      <c r="O58" s="1"/>
      <c r="P58" s="1"/>
      <c r="Q58" s="1"/>
      <c r="R58" s="1"/>
      <c r="S58" s="1"/>
      <c r="T58" s="1"/>
      <c r="U58" s="1"/>
      <c r="V58" s="1"/>
      <c r="W58" s="1"/>
      <c r="X58" s="1"/>
      <c r="Y58" s="1"/>
      <c r="Z58" s="1"/>
    </row>
    <row r="59" spans="1:26" s="130" customFormat="1" ht="12.75" customHeight="1" x14ac:dyDescent="0.2">
      <c r="A59" s="131" t="s">
        <v>608</v>
      </c>
      <c r="B59" s="131"/>
      <c r="C59" s="132"/>
      <c r="D59" s="19">
        <v>40920214.659999996</v>
      </c>
      <c r="E59" s="1"/>
      <c r="F59" s="1"/>
      <c r="G59" s="1"/>
      <c r="H59" s="1"/>
      <c r="I59" s="1"/>
      <c r="J59" s="1"/>
      <c r="K59" s="1"/>
      <c r="L59" s="1"/>
      <c r="M59" s="1"/>
      <c r="N59" s="1"/>
      <c r="O59" s="1"/>
      <c r="P59" s="1"/>
      <c r="Q59" s="1"/>
      <c r="R59" s="1"/>
      <c r="S59" s="1"/>
      <c r="T59" s="1"/>
      <c r="U59" s="1"/>
      <c r="V59" s="1"/>
      <c r="W59" s="1"/>
      <c r="X59" s="1"/>
      <c r="Y59" s="1"/>
      <c r="Z59" s="1"/>
    </row>
    <row r="60" spans="1:26" s="130" customFormat="1" ht="12.75" customHeight="1" x14ac:dyDescent="0.2">
      <c r="A60" s="131" t="s">
        <v>444</v>
      </c>
      <c r="B60" s="131"/>
      <c r="C60" s="132"/>
      <c r="D60" s="19">
        <v>4226946.87</v>
      </c>
      <c r="E60" s="1"/>
      <c r="F60" s="1"/>
      <c r="G60" s="1"/>
      <c r="H60" s="1"/>
      <c r="I60" s="1"/>
      <c r="J60" s="1"/>
      <c r="K60" s="1"/>
      <c r="L60" s="1"/>
      <c r="M60" s="1"/>
      <c r="N60" s="1"/>
      <c r="O60" s="1"/>
      <c r="P60" s="1"/>
      <c r="Q60" s="1"/>
      <c r="R60" s="1"/>
      <c r="S60" s="1"/>
      <c r="T60" s="1"/>
      <c r="U60" s="1"/>
      <c r="V60" s="1"/>
      <c r="W60" s="1"/>
      <c r="X60" s="1"/>
      <c r="Y60" s="1"/>
      <c r="Z60" s="1"/>
    </row>
    <row r="61" spans="1:26" s="130" customFormat="1" ht="12.75" customHeight="1" x14ac:dyDescent="0.2">
      <c r="A61" s="131" t="s">
        <v>609</v>
      </c>
      <c r="B61" s="131"/>
      <c r="C61" s="132"/>
      <c r="D61" s="19">
        <v>1200000000</v>
      </c>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2"/>
      <c r="B62" s="20"/>
      <c r="C62" s="20"/>
      <c r="D62" s="13"/>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3"/>
      <c r="C63" s="3"/>
      <c r="D63" s="3"/>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t="s">
        <v>632</v>
      </c>
      <c r="B64" s="3"/>
      <c r="C64" s="3"/>
      <c r="D64" s="3"/>
      <c r="E64" s="1"/>
      <c r="F64" s="1"/>
      <c r="G64" s="1"/>
      <c r="H64" s="1"/>
      <c r="I64" s="1"/>
      <c r="J64" s="1"/>
      <c r="K64" s="1"/>
      <c r="L64" s="1"/>
      <c r="M64" s="1"/>
      <c r="N64" s="1"/>
      <c r="O64" s="1"/>
      <c r="P64" s="1"/>
      <c r="Q64" s="1"/>
      <c r="R64" s="1"/>
      <c r="S64" s="1"/>
      <c r="T64" s="1"/>
      <c r="U64" s="1"/>
      <c r="V64" s="1"/>
      <c r="W64" s="1"/>
      <c r="X64" s="1"/>
      <c r="Y64" s="1"/>
      <c r="Z64" s="1"/>
    </row>
    <row r="65" spans="1:26" ht="15" customHeight="1" x14ac:dyDescent="0.2">
      <c r="A65" s="21" t="s">
        <v>15</v>
      </c>
      <c r="B65" s="3"/>
      <c r="C65" s="3"/>
      <c r="D65" s="21" t="s">
        <v>16</v>
      </c>
      <c r="E65" s="1"/>
      <c r="F65" s="1"/>
      <c r="G65" s="1"/>
      <c r="H65" s="1"/>
      <c r="I65" s="1"/>
      <c r="J65" s="1"/>
      <c r="K65" s="1"/>
      <c r="L65" s="1"/>
      <c r="M65" s="1"/>
      <c r="N65" s="1"/>
      <c r="O65" s="1"/>
      <c r="P65" s="1"/>
      <c r="Q65" s="1"/>
      <c r="R65" s="1"/>
      <c r="S65" s="1"/>
      <c r="T65" s="1"/>
      <c r="U65" s="1"/>
      <c r="V65" s="1"/>
      <c r="W65" s="1"/>
      <c r="X65" s="1"/>
      <c r="Y65" s="1"/>
      <c r="Z65" s="1"/>
    </row>
    <row r="66" spans="1:26" ht="15" customHeight="1" x14ac:dyDescent="0.2">
      <c r="A66" s="22"/>
      <c r="B66" s="3"/>
      <c r="C66" s="3"/>
      <c r="D66" s="3"/>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3"/>
      <c r="B67" s="3"/>
      <c r="C67" s="3"/>
      <c r="D67" s="3"/>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t="s">
        <v>633</v>
      </c>
      <c r="B68" s="23"/>
      <c r="C68" s="23"/>
      <c r="D68" s="3"/>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4" t="s">
        <v>17</v>
      </c>
      <c r="B69" s="16"/>
      <c r="C69" s="16"/>
      <c r="D69" s="21" t="s">
        <v>16</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5" t="s">
        <v>18</v>
      </c>
      <c r="B70" s="3"/>
      <c r="C70" s="3"/>
      <c r="D70" s="3"/>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6"/>
      <c r="B71" s="3"/>
      <c r="C71" s="3"/>
      <c r="D71" s="3"/>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3"/>
      <c r="B72" s="3"/>
      <c r="C72" s="314">
        <v>44595</v>
      </c>
      <c r="D72" s="3"/>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3"/>
      <c r="B73" s="26"/>
      <c r="C73" s="27" t="s">
        <v>19</v>
      </c>
      <c r="D73" s="3"/>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3"/>
      <c r="B74" s="3"/>
      <c r="C74" s="3"/>
      <c r="D74" s="3"/>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3"/>
      <c r="B75" s="3"/>
      <c r="C75" s="3"/>
      <c r="D75" s="3"/>
      <c r="E75" s="1"/>
      <c r="F75" s="1"/>
      <c r="G75" s="1"/>
      <c r="H75" s="1"/>
      <c r="I75" s="1"/>
      <c r="J75" s="1"/>
      <c r="K75" s="1"/>
      <c r="L75" s="1"/>
      <c r="M75" s="1"/>
      <c r="N75" s="1"/>
      <c r="O75" s="1"/>
      <c r="P75" s="1"/>
      <c r="Q75" s="1"/>
      <c r="R75" s="1"/>
      <c r="S75" s="1"/>
      <c r="T75" s="1"/>
      <c r="U75" s="1"/>
      <c r="V75" s="1"/>
      <c r="W75" s="1"/>
      <c r="X75" s="1"/>
      <c r="Y75" s="1"/>
      <c r="Z75" s="1"/>
    </row>
    <row r="76" spans="1:26" ht="30.75" customHeight="1" x14ac:dyDescent="0.2">
      <c r="A76" s="376" t="s">
        <v>20</v>
      </c>
      <c r="B76" s="377"/>
      <c r="C76" s="377"/>
      <c r="D76" s="377"/>
      <c r="E76" s="377"/>
      <c r="G76" s="1"/>
      <c r="H76" s="28"/>
      <c r="I76" s="1"/>
      <c r="J76" s="1"/>
      <c r="K76" s="1"/>
      <c r="L76" s="1"/>
      <c r="M76" s="1"/>
      <c r="N76" s="1"/>
      <c r="O76" s="1"/>
      <c r="P76" s="1"/>
      <c r="Q76" s="1"/>
      <c r="R76" s="1"/>
      <c r="S76" s="1"/>
      <c r="T76" s="1"/>
      <c r="U76" s="1"/>
      <c r="V76" s="1"/>
      <c r="W76" s="1"/>
      <c r="X76" s="1"/>
      <c r="Y76" s="1"/>
      <c r="Z76" s="1"/>
    </row>
    <row r="77" spans="1:26" ht="22.5" customHeight="1" x14ac:dyDescent="0.3">
      <c r="A77" s="378" t="s">
        <v>21</v>
      </c>
      <c r="B77" s="379"/>
      <c r="C77" s="379"/>
      <c r="D77" s="380"/>
      <c r="E77" s="29" t="s">
        <v>634</v>
      </c>
      <c r="F77" s="1"/>
      <c r="G77" s="1"/>
      <c r="H77" s="1"/>
      <c r="I77" s="1"/>
      <c r="J77" s="1"/>
      <c r="K77" s="1"/>
      <c r="L77" s="1"/>
      <c r="M77" s="1"/>
      <c r="N77" s="1"/>
      <c r="O77" s="1"/>
      <c r="P77" s="1"/>
      <c r="Q77" s="1"/>
      <c r="R77" s="1"/>
      <c r="S77" s="1"/>
      <c r="T77" s="1"/>
      <c r="U77" s="1"/>
      <c r="V77" s="1"/>
      <c r="W77" s="1"/>
      <c r="X77" s="1"/>
      <c r="Y77" s="1"/>
      <c r="Z77" s="1"/>
    </row>
    <row r="78" spans="1:26" ht="19.5" customHeight="1" x14ac:dyDescent="0.2">
      <c r="A78" s="383" t="s">
        <v>22</v>
      </c>
      <c r="B78" s="384"/>
      <c r="C78" s="384"/>
      <c r="D78" s="385"/>
      <c r="E78" s="30"/>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C80" s="1"/>
      <c r="D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customHeight="1"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75" customHeight="1"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2.75" customHeight="1"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2.75" customHeight="1"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sheetData>
  <protectedRanges>
    <protectedRange password="EBFB" sqref="A31:A61 B32:C43" name="SUPERAVIT"/>
    <protectedRange password="EBFB" sqref="D31:D61" name="SUPERAVIT_1"/>
  </protectedRanges>
  <mergeCells count="20">
    <mergeCell ref="A78:D78"/>
    <mergeCell ref="A1:D1"/>
    <mergeCell ref="A2:D2"/>
    <mergeCell ref="A3:D3"/>
    <mergeCell ref="A4:D4"/>
    <mergeCell ref="B31:C31"/>
    <mergeCell ref="B32:C32"/>
    <mergeCell ref="A76:E76"/>
    <mergeCell ref="A77:D77"/>
    <mergeCell ref="B33:C33"/>
    <mergeCell ref="B34:C34"/>
    <mergeCell ref="B35:C35"/>
    <mergeCell ref="B41:C41"/>
    <mergeCell ref="B42:C42"/>
    <mergeCell ref="B43:C43"/>
    <mergeCell ref="B36:C36"/>
    <mergeCell ref="B37:C37"/>
    <mergeCell ref="B38:C38"/>
    <mergeCell ref="B39:C39"/>
    <mergeCell ref="B40:C40"/>
  </mergeCells>
  <conditionalFormatting sqref="C84">
    <cfRule type="notContainsBlanks" dxfId="8" priority="1">
      <formula>LEN(TRIM(C84))&gt;0</formula>
    </cfRule>
  </conditionalFormatting>
  <printOptions horizontalCentered="1" verticalCentered="1"/>
  <pageMargins left="0.75" right="0.75" top="0.51181102362204722" bottom="1" header="0" footer="0"/>
  <pageSetup scale="6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9"/>
  <sheetViews>
    <sheetView showGridLines="0" workbookViewId="0">
      <selection activeCell="A33" sqref="A33"/>
    </sheetView>
  </sheetViews>
  <sheetFormatPr baseColWidth="10" defaultColWidth="14.42578125" defaultRowHeight="15" customHeight="1" x14ac:dyDescent="0.2"/>
  <cols>
    <col min="1" max="1" width="39.28515625" customWidth="1"/>
    <col min="2" max="2" width="29.28515625" customWidth="1"/>
    <col min="3" max="3" width="25.140625" customWidth="1"/>
    <col min="4" max="4" width="18" customWidth="1"/>
    <col min="5" max="5" width="38.140625" customWidth="1"/>
    <col min="6" max="6" width="11.42578125" customWidth="1"/>
    <col min="7" max="24" width="10.7109375" customWidth="1"/>
  </cols>
  <sheetData>
    <row r="1" spans="1:24" ht="18" x14ac:dyDescent="0.25">
      <c r="A1" s="381" t="s">
        <v>23</v>
      </c>
      <c r="B1" s="377"/>
      <c r="C1" s="377"/>
      <c r="D1" s="377"/>
      <c r="E1" s="31"/>
      <c r="F1" s="31"/>
      <c r="G1" s="32"/>
      <c r="H1" s="32"/>
      <c r="I1" s="32"/>
      <c r="J1" s="32"/>
      <c r="K1" s="32"/>
      <c r="L1" s="32"/>
      <c r="M1" s="32"/>
      <c r="N1" s="32"/>
      <c r="O1" s="32"/>
      <c r="P1" s="32"/>
      <c r="Q1" s="32"/>
      <c r="R1" s="32"/>
      <c r="S1" s="32"/>
      <c r="T1" s="32"/>
      <c r="U1" s="32"/>
      <c r="V1" s="32"/>
      <c r="W1" s="32"/>
      <c r="X1" s="32"/>
    </row>
    <row r="2" spans="1:24" ht="18" x14ac:dyDescent="0.25">
      <c r="A2" s="381" t="s">
        <v>569</v>
      </c>
      <c r="B2" s="377"/>
      <c r="C2" s="377"/>
      <c r="D2" s="377"/>
      <c r="E2" s="33"/>
      <c r="F2" s="31"/>
      <c r="G2" s="32"/>
      <c r="H2" s="32"/>
      <c r="I2" s="32"/>
      <c r="J2" s="32"/>
      <c r="K2" s="32"/>
      <c r="L2" s="32"/>
      <c r="M2" s="32"/>
      <c r="N2" s="32"/>
      <c r="O2" s="32"/>
      <c r="P2" s="32"/>
      <c r="Q2" s="32"/>
      <c r="R2" s="32"/>
      <c r="S2" s="32"/>
      <c r="T2" s="32"/>
      <c r="U2" s="32"/>
      <c r="V2" s="32"/>
      <c r="W2" s="32"/>
      <c r="X2" s="32"/>
    </row>
    <row r="3" spans="1:24" ht="20.25" customHeight="1" x14ac:dyDescent="0.25">
      <c r="A3" s="388" t="s">
        <v>570</v>
      </c>
      <c r="B3" s="377"/>
      <c r="C3" s="377"/>
      <c r="D3" s="377"/>
      <c r="E3" s="34"/>
      <c r="F3" s="34"/>
      <c r="G3" s="32"/>
      <c r="H3" s="32"/>
      <c r="I3" s="32"/>
      <c r="J3" s="32"/>
      <c r="K3" s="32"/>
      <c r="L3" s="32"/>
      <c r="M3" s="32"/>
      <c r="N3" s="32"/>
      <c r="O3" s="32"/>
      <c r="P3" s="32"/>
      <c r="Q3" s="32"/>
      <c r="R3" s="32"/>
      <c r="S3" s="32"/>
      <c r="T3" s="32"/>
      <c r="U3" s="32"/>
      <c r="V3" s="32"/>
      <c r="W3" s="32"/>
      <c r="X3" s="32"/>
    </row>
    <row r="4" spans="1:24" ht="12.75" x14ac:dyDescent="0.2">
      <c r="A4" s="389" t="s">
        <v>24</v>
      </c>
      <c r="B4" s="390"/>
      <c r="C4" s="390"/>
      <c r="D4" s="390"/>
      <c r="E4" s="32"/>
      <c r="F4" s="386" t="s">
        <v>25</v>
      </c>
      <c r="G4" s="377"/>
      <c r="H4" s="377"/>
      <c r="I4" s="377"/>
      <c r="J4" s="32"/>
      <c r="K4" s="32"/>
      <c r="L4" s="32"/>
      <c r="M4" s="32"/>
      <c r="N4" s="32"/>
      <c r="O4" s="32"/>
      <c r="P4" s="32"/>
      <c r="Q4" s="32"/>
      <c r="R4" s="32"/>
      <c r="S4" s="32"/>
      <c r="T4" s="32"/>
      <c r="U4" s="32"/>
      <c r="V4" s="32"/>
      <c r="W4" s="32"/>
      <c r="X4" s="32"/>
    </row>
    <row r="5" spans="1:24" ht="12.75" x14ac:dyDescent="0.2">
      <c r="A5" s="391"/>
      <c r="B5" s="377"/>
      <c r="C5" s="377"/>
      <c r="D5" s="377"/>
      <c r="E5" s="32"/>
      <c r="F5" s="377"/>
      <c r="G5" s="377"/>
      <c r="H5" s="377"/>
      <c r="I5" s="377"/>
      <c r="J5" s="32"/>
      <c r="K5" s="32"/>
      <c r="L5" s="32"/>
      <c r="M5" s="32"/>
      <c r="N5" s="32"/>
      <c r="O5" s="32"/>
      <c r="P5" s="32"/>
      <c r="Q5" s="32"/>
      <c r="R5" s="32"/>
      <c r="S5" s="32"/>
      <c r="T5" s="32"/>
      <c r="U5" s="32"/>
      <c r="V5" s="32"/>
      <c r="W5" s="32"/>
      <c r="X5" s="32"/>
    </row>
    <row r="6" spans="1:24" ht="12.75" x14ac:dyDescent="0.2">
      <c r="A6" s="391"/>
      <c r="B6" s="377"/>
      <c r="C6" s="377"/>
      <c r="D6" s="377"/>
      <c r="E6" s="32"/>
      <c r="F6" s="377"/>
      <c r="G6" s="377"/>
      <c r="H6" s="377"/>
      <c r="I6" s="377"/>
      <c r="J6" s="32"/>
      <c r="K6" s="32"/>
      <c r="L6" s="32"/>
      <c r="M6" s="32"/>
      <c r="N6" s="32"/>
      <c r="O6" s="32"/>
      <c r="P6" s="32"/>
      <c r="Q6" s="32"/>
      <c r="R6" s="32"/>
      <c r="S6" s="32"/>
      <c r="T6" s="32"/>
      <c r="U6" s="32"/>
      <c r="V6" s="32"/>
      <c r="W6" s="32"/>
      <c r="X6" s="32"/>
    </row>
    <row r="7" spans="1:24" ht="12.75" x14ac:dyDescent="0.2">
      <c r="A7" s="391"/>
      <c r="B7" s="377"/>
      <c r="C7" s="377"/>
      <c r="D7" s="377"/>
      <c r="E7" s="32"/>
      <c r="F7" s="377"/>
      <c r="G7" s="377"/>
      <c r="H7" s="377"/>
      <c r="I7" s="377"/>
      <c r="J7" s="32"/>
      <c r="K7" s="32"/>
      <c r="L7" s="32"/>
      <c r="M7" s="32"/>
      <c r="N7" s="32"/>
      <c r="O7" s="32"/>
      <c r="P7" s="32"/>
      <c r="Q7" s="32"/>
      <c r="R7" s="32"/>
      <c r="S7" s="32"/>
      <c r="T7" s="32"/>
      <c r="U7" s="32"/>
      <c r="V7" s="32"/>
      <c r="W7" s="32"/>
      <c r="X7" s="32"/>
    </row>
    <row r="8" spans="1:24" ht="33" customHeight="1" x14ac:dyDescent="0.2">
      <c r="A8" s="35" t="s">
        <v>26</v>
      </c>
      <c r="B8" s="36" t="s">
        <v>571</v>
      </c>
      <c r="C8" s="37" t="s">
        <v>572</v>
      </c>
      <c r="D8" s="38" t="s">
        <v>27</v>
      </c>
      <c r="E8" s="32"/>
      <c r="F8" s="377"/>
      <c r="G8" s="377"/>
      <c r="H8" s="377"/>
      <c r="I8" s="377"/>
      <c r="J8" s="32"/>
      <c r="K8" s="32"/>
      <c r="L8" s="32"/>
      <c r="M8" s="32"/>
      <c r="N8" s="32"/>
      <c r="O8" s="32"/>
      <c r="P8" s="32"/>
      <c r="Q8" s="32"/>
      <c r="R8" s="32"/>
      <c r="S8" s="32"/>
      <c r="T8" s="32"/>
      <c r="U8" s="32"/>
      <c r="V8" s="32"/>
      <c r="W8" s="32"/>
      <c r="X8" s="32"/>
    </row>
    <row r="9" spans="1:24" ht="12.75" customHeight="1" x14ac:dyDescent="0.25">
      <c r="A9" s="121" t="s">
        <v>28</v>
      </c>
      <c r="B9" s="40">
        <v>7510271537.0599995</v>
      </c>
      <c r="C9" s="124">
        <v>17515525513.32</v>
      </c>
      <c r="D9" s="41">
        <f t="shared" ref="D9:D29" si="0">B9/C9</f>
        <v>0.42877797365249914</v>
      </c>
      <c r="E9" s="32"/>
      <c r="F9" s="377"/>
      <c r="G9" s="377"/>
      <c r="H9" s="377"/>
      <c r="I9" s="377"/>
      <c r="J9" s="32"/>
      <c r="K9" s="32"/>
      <c r="L9" s="32"/>
      <c r="M9" s="32"/>
      <c r="N9" s="32"/>
      <c r="O9" s="32"/>
      <c r="P9" s="32"/>
      <c r="Q9" s="32"/>
      <c r="R9" s="32"/>
      <c r="S9" s="32"/>
      <c r="T9" s="32"/>
      <c r="U9" s="32"/>
      <c r="V9" s="32"/>
      <c r="W9" s="32"/>
      <c r="X9" s="32"/>
    </row>
    <row r="10" spans="1:24" ht="12.75" customHeight="1" x14ac:dyDescent="0.25">
      <c r="A10" s="121" t="s">
        <v>29</v>
      </c>
      <c r="B10" s="40">
        <v>4856512737.1400003</v>
      </c>
      <c r="C10" s="124">
        <v>10790637800.5</v>
      </c>
      <c r="D10" s="41">
        <f t="shared" si="0"/>
        <v>0.45006725523814417</v>
      </c>
      <c r="E10" s="32"/>
      <c r="F10" s="377"/>
      <c r="G10" s="377"/>
      <c r="H10" s="377"/>
      <c r="I10" s="377"/>
      <c r="J10" s="32"/>
      <c r="K10" s="32"/>
      <c r="L10" s="32"/>
      <c r="M10" s="32"/>
      <c r="N10" s="32"/>
      <c r="O10" s="32"/>
      <c r="P10" s="32"/>
      <c r="Q10" s="32"/>
      <c r="R10" s="32"/>
      <c r="S10" s="32"/>
      <c r="T10" s="32"/>
      <c r="U10" s="32"/>
      <c r="V10" s="32"/>
      <c r="W10" s="32"/>
      <c r="X10" s="32"/>
    </row>
    <row r="11" spans="1:24" ht="12.75" customHeight="1" x14ac:dyDescent="0.25">
      <c r="A11" s="121" t="s">
        <v>30</v>
      </c>
      <c r="B11" s="40">
        <v>4600455413.9399996</v>
      </c>
      <c r="C11" s="124">
        <v>8979476438.6299992</v>
      </c>
      <c r="D11" s="41">
        <f t="shared" si="0"/>
        <v>0.51233002785648962</v>
      </c>
      <c r="E11" s="32"/>
      <c r="F11" s="377"/>
      <c r="G11" s="377"/>
      <c r="H11" s="377"/>
      <c r="I11" s="377"/>
      <c r="J11" s="32"/>
      <c r="K11" s="32"/>
      <c r="L11" s="32"/>
      <c r="M11" s="32"/>
      <c r="N11" s="32"/>
      <c r="O11" s="32"/>
      <c r="P11" s="32"/>
      <c r="Q11" s="32"/>
      <c r="R11" s="32"/>
      <c r="S11" s="32"/>
      <c r="T11" s="32"/>
      <c r="U11" s="32"/>
      <c r="V11" s="32"/>
      <c r="W11" s="32"/>
      <c r="X11" s="32"/>
    </row>
    <row r="12" spans="1:24" ht="12.75" customHeight="1" x14ac:dyDescent="0.25">
      <c r="A12" s="121"/>
      <c r="B12" s="40"/>
      <c r="C12" s="124"/>
      <c r="D12" s="41"/>
      <c r="E12" s="32"/>
      <c r="F12" s="32"/>
      <c r="G12" s="32"/>
      <c r="H12" s="32"/>
      <c r="I12" s="32"/>
      <c r="J12" s="32"/>
      <c r="K12" s="32"/>
      <c r="L12" s="32"/>
      <c r="M12" s="32"/>
      <c r="N12" s="32"/>
      <c r="O12" s="32"/>
      <c r="P12" s="32"/>
      <c r="Q12" s="32"/>
      <c r="R12" s="32"/>
      <c r="S12" s="32"/>
      <c r="T12" s="32"/>
      <c r="U12" s="32"/>
      <c r="V12" s="32"/>
      <c r="W12" s="32"/>
      <c r="X12" s="32"/>
    </row>
    <row r="13" spans="1:24" ht="12.75" customHeight="1" x14ac:dyDescent="0.25">
      <c r="A13" s="121" t="s">
        <v>31</v>
      </c>
      <c r="B13" s="40">
        <v>574580567.58000004</v>
      </c>
      <c r="C13" s="124">
        <v>1457424808.2</v>
      </c>
      <c r="D13" s="41">
        <f t="shared" si="0"/>
        <v>0.39424371284693494</v>
      </c>
      <c r="E13" s="32"/>
      <c r="F13" s="32"/>
      <c r="G13" s="32"/>
      <c r="H13" s="32"/>
      <c r="I13" s="32"/>
      <c r="J13" s="32"/>
      <c r="K13" s="32"/>
      <c r="L13" s="32"/>
      <c r="M13" s="32"/>
      <c r="N13" s="32"/>
      <c r="O13" s="32"/>
      <c r="P13" s="32"/>
      <c r="Q13" s="32"/>
      <c r="R13" s="32"/>
      <c r="S13" s="32"/>
      <c r="T13" s="32"/>
      <c r="U13" s="32"/>
      <c r="V13" s="32"/>
      <c r="W13" s="32"/>
      <c r="X13" s="32"/>
    </row>
    <row r="14" spans="1:24" ht="12.75" customHeight="1" x14ac:dyDescent="0.25">
      <c r="A14" s="121" t="s">
        <v>32</v>
      </c>
      <c r="B14" s="40">
        <v>343987251.42000008</v>
      </c>
      <c r="C14" s="124">
        <v>661993445.6500001</v>
      </c>
      <c r="D14" s="41">
        <f t="shared" si="0"/>
        <v>0.51962334926480258</v>
      </c>
      <c r="E14" s="32"/>
      <c r="F14" s="32"/>
      <c r="G14" s="32"/>
      <c r="H14" s="32"/>
      <c r="I14" s="32"/>
      <c r="J14" s="32"/>
      <c r="K14" s="32"/>
      <c r="L14" s="32"/>
      <c r="M14" s="32"/>
      <c r="N14" s="32"/>
      <c r="O14" s="32"/>
      <c r="P14" s="32"/>
      <c r="Q14" s="32"/>
      <c r="R14" s="32"/>
      <c r="S14" s="32"/>
      <c r="T14" s="32"/>
      <c r="U14" s="32"/>
      <c r="V14" s="32"/>
      <c r="W14" s="32"/>
      <c r="X14" s="32"/>
    </row>
    <row r="15" spans="1:24" ht="12.75" customHeight="1" x14ac:dyDescent="0.25">
      <c r="A15" s="121" t="s">
        <v>33</v>
      </c>
      <c r="B15" s="40">
        <v>3231849248.0300002</v>
      </c>
      <c r="C15" s="124">
        <v>6969624591.7200003</v>
      </c>
      <c r="D15" s="41">
        <f t="shared" si="0"/>
        <v>0.46370492492084536</v>
      </c>
      <c r="E15" s="32"/>
      <c r="F15" s="32"/>
      <c r="G15" s="32"/>
      <c r="H15" s="32"/>
      <c r="I15" s="32"/>
      <c r="J15" s="32"/>
      <c r="K15" s="32"/>
      <c r="L15" s="32"/>
      <c r="M15" s="32"/>
      <c r="N15" s="32"/>
      <c r="O15" s="32"/>
      <c r="P15" s="32"/>
      <c r="Q15" s="32"/>
      <c r="R15" s="32"/>
      <c r="S15" s="32"/>
      <c r="T15" s="32"/>
      <c r="U15" s="32"/>
      <c r="V15" s="32"/>
      <c r="W15" s="32"/>
      <c r="X15" s="32"/>
    </row>
    <row r="16" spans="1:24" ht="12.75" customHeight="1" x14ac:dyDescent="0.25">
      <c r="A16" s="122" t="s">
        <v>34</v>
      </c>
      <c r="B16" s="40">
        <v>1915704719.3899996</v>
      </c>
      <c r="C16" s="124">
        <v>3853843361.4399996</v>
      </c>
      <c r="D16" s="41">
        <f t="shared" si="0"/>
        <v>0.49708940912279087</v>
      </c>
      <c r="E16" s="32"/>
      <c r="F16" s="32"/>
      <c r="G16" s="32"/>
      <c r="H16" s="32"/>
      <c r="I16" s="32"/>
      <c r="J16" s="32"/>
      <c r="K16" s="32"/>
      <c r="L16" s="32"/>
      <c r="M16" s="32"/>
      <c r="N16" s="32"/>
      <c r="O16" s="32"/>
      <c r="P16" s="32"/>
      <c r="Q16" s="32"/>
      <c r="R16" s="32"/>
      <c r="S16" s="32"/>
      <c r="T16" s="32"/>
      <c r="U16" s="32"/>
      <c r="V16" s="32"/>
      <c r="W16" s="32"/>
      <c r="X16" s="32"/>
    </row>
    <row r="17" spans="1:24" ht="12.75" customHeight="1" x14ac:dyDescent="0.25">
      <c r="A17" s="123" t="s">
        <v>573</v>
      </c>
      <c r="B17" s="40">
        <v>153243977</v>
      </c>
      <c r="C17" s="124">
        <v>1230981550.4300001</v>
      </c>
      <c r="D17" s="41">
        <f t="shared" si="0"/>
        <v>0.12448925570531062</v>
      </c>
      <c r="E17" s="32"/>
      <c r="F17" s="32"/>
      <c r="G17" s="32"/>
      <c r="H17" s="32"/>
      <c r="I17" s="32"/>
      <c r="J17" s="32"/>
      <c r="K17" s="32"/>
      <c r="L17" s="32"/>
      <c r="M17" s="32"/>
      <c r="N17" s="32"/>
      <c r="O17" s="32"/>
      <c r="P17" s="32"/>
      <c r="Q17" s="32"/>
      <c r="R17" s="32"/>
      <c r="S17" s="32"/>
      <c r="T17" s="32"/>
      <c r="U17" s="32"/>
      <c r="V17" s="32"/>
      <c r="W17" s="32"/>
      <c r="X17" s="32"/>
    </row>
    <row r="18" spans="1:24" ht="12.75" customHeight="1" x14ac:dyDescent="0.25">
      <c r="A18" s="123" t="s">
        <v>574</v>
      </c>
      <c r="B18" s="40">
        <v>22696594</v>
      </c>
      <c r="C18" s="124">
        <v>23767969</v>
      </c>
      <c r="D18" s="41">
        <f t="shared" si="0"/>
        <v>0.95492357803058392</v>
      </c>
      <c r="E18" s="32"/>
      <c r="F18" s="32"/>
      <c r="G18" s="32"/>
      <c r="H18" s="32"/>
      <c r="I18" s="32"/>
      <c r="J18" s="32"/>
      <c r="K18" s="32"/>
      <c r="L18" s="32"/>
      <c r="M18" s="32"/>
      <c r="N18" s="32"/>
      <c r="O18" s="32"/>
      <c r="P18" s="32"/>
      <c r="Q18" s="32"/>
      <c r="R18" s="32"/>
      <c r="S18" s="32"/>
      <c r="T18" s="32"/>
      <c r="U18" s="32"/>
      <c r="V18" s="32"/>
      <c r="W18" s="32"/>
      <c r="X18" s="32"/>
    </row>
    <row r="19" spans="1:24" ht="12.75" customHeight="1" x14ac:dyDescent="0.25">
      <c r="A19" s="123" t="s">
        <v>221</v>
      </c>
      <c r="B19" s="40">
        <v>743292522</v>
      </c>
      <c r="C19" s="124">
        <v>821153069.53999996</v>
      </c>
      <c r="D19" s="41">
        <f t="shared" si="0"/>
        <v>0.90518144493618402</v>
      </c>
      <c r="E19" s="32"/>
      <c r="F19" s="32"/>
      <c r="G19" s="32"/>
      <c r="H19" s="32"/>
      <c r="I19" s="32"/>
      <c r="J19" s="32"/>
      <c r="K19" s="32"/>
      <c r="L19" s="32"/>
      <c r="M19" s="32"/>
      <c r="N19" s="32"/>
      <c r="O19" s="32"/>
      <c r="P19" s="32"/>
      <c r="Q19" s="32"/>
      <c r="R19" s="32"/>
      <c r="S19" s="32"/>
      <c r="T19" s="32"/>
      <c r="U19" s="32"/>
      <c r="V19" s="32"/>
      <c r="W19" s="32"/>
      <c r="X19" s="32"/>
    </row>
    <row r="20" spans="1:24" ht="12.75" customHeight="1" x14ac:dyDescent="0.25">
      <c r="A20" s="123" t="s">
        <v>575</v>
      </c>
      <c r="B20" s="40">
        <v>92994348.820000008</v>
      </c>
      <c r="C20" s="124">
        <v>217777020.31</v>
      </c>
      <c r="D20" s="41">
        <f t="shared" si="0"/>
        <v>0.42701635226538104</v>
      </c>
      <c r="E20" s="32"/>
      <c r="F20" s="32"/>
      <c r="G20" s="32"/>
      <c r="H20" s="32"/>
      <c r="I20" s="32"/>
      <c r="J20" s="32"/>
      <c r="K20" s="32"/>
      <c r="L20" s="32"/>
      <c r="M20" s="32"/>
      <c r="N20" s="32"/>
      <c r="O20" s="32"/>
      <c r="P20" s="32"/>
      <c r="Q20" s="32"/>
      <c r="R20" s="32"/>
      <c r="S20" s="32"/>
      <c r="T20" s="32"/>
      <c r="U20" s="32"/>
      <c r="V20" s="32"/>
      <c r="W20" s="32"/>
      <c r="X20" s="32"/>
    </row>
    <row r="21" spans="1:24" s="119" customFormat="1" ht="12.75" customHeight="1" x14ac:dyDescent="0.25">
      <c r="A21" s="123" t="s">
        <v>576</v>
      </c>
      <c r="B21" s="40">
        <v>84533211</v>
      </c>
      <c r="C21" s="124">
        <v>133469690.39</v>
      </c>
      <c r="D21" s="41"/>
      <c r="E21" s="120"/>
      <c r="F21" s="120"/>
      <c r="G21" s="120"/>
      <c r="H21" s="120"/>
      <c r="I21" s="120"/>
      <c r="J21" s="120"/>
      <c r="K21" s="120"/>
      <c r="L21" s="120"/>
      <c r="M21" s="120"/>
      <c r="N21" s="120"/>
      <c r="O21" s="120"/>
      <c r="P21" s="120"/>
      <c r="Q21" s="120"/>
      <c r="R21" s="120"/>
      <c r="S21" s="120"/>
      <c r="T21" s="120"/>
      <c r="U21" s="120"/>
      <c r="V21" s="120"/>
      <c r="W21" s="120"/>
      <c r="X21" s="120"/>
    </row>
    <row r="22" spans="1:24" ht="12.75" customHeight="1" x14ac:dyDescent="0.25">
      <c r="A22" s="123" t="s">
        <v>577</v>
      </c>
      <c r="B22" s="40">
        <v>148054265</v>
      </c>
      <c r="C22" s="124">
        <v>437072235.32999998</v>
      </c>
      <c r="D22" s="41">
        <f t="shared" si="0"/>
        <v>0.33874095179762559</v>
      </c>
      <c r="E22" s="32"/>
      <c r="F22" s="32"/>
      <c r="G22" s="32"/>
      <c r="H22" s="32"/>
      <c r="I22" s="32"/>
      <c r="J22" s="32"/>
      <c r="K22" s="32"/>
      <c r="L22" s="32"/>
      <c r="M22" s="32"/>
      <c r="N22" s="32"/>
      <c r="O22" s="32"/>
      <c r="P22" s="32"/>
      <c r="Q22" s="32"/>
      <c r="R22" s="32"/>
      <c r="S22" s="32"/>
      <c r="T22" s="32"/>
      <c r="U22" s="32"/>
      <c r="V22" s="32"/>
      <c r="W22" s="32"/>
      <c r="X22" s="32"/>
    </row>
    <row r="23" spans="1:24" ht="12.75" customHeight="1" x14ac:dyDescent="0.25">
      <c r="A23" s="123" t="s">
        <v>578</v>
      </c>
      <c r="B23" s="40">
        <v>85191681.870000005</v>
      </c>
      <c r="C23" s="124">
        <v>410701812.69999999</v>
      </c>
      <c r="D23" s="41">
        <f t="shared" si="0"/>
        <v>0.20742952486608299</v>
      </c>
      <c r="E23" s="32"/>
      <c r="F23" s="32"/>
      <c r="G23" s="32"/>
      <c r="H23" s="32"/>
      <c r="I23" s="32"/>
      <c r="J23" s="32"/>
      <c r="K23" s="32"/>
      <c r="L23" s="32"/>
      <c r="M23" s="32"/>
      <c r="N23" s="32"/>
      <c r="O23" s="32"/>
      <c r="P23" s="32"/>
      <c r="Q23" s="32"/>
      <c r="R23" s="32"/>
      <c r="S23" s="32"/>
      <c r="T23" s="32"/>
      <c r="U23" s="32"/>
      <c r="V23" s="32"/>
      <c r="W23" s="32"/>
      <c r="X23" s="32"/>
    </row>
    <row r="24" spans="1:24" ht="12.75" customHeight="1" x14ac:dyDescent="0.25">
      <c r="A24" s="123" t="s">
        <v>579</v>
      </c>
      <c r="B24" s="40">
        <v>23144045</v>
      </c>
      <c r="C24" s="124">
        <v>23522895</v>
      </c>
      <c r="D24" s="41">
        <f t="shared" si="0"/>
        <v>0.9838944143567363</v>
      </c>
      <c r="E24" s="32"/>
      <c r="F24" s="42"/>
      <c r="G24" s="32"/>
      <c r="H24" s="32"/>
      <c r="I24" s="32"/>
      <c r="J24" s="32"/>
      <c r="K24" s="32"/>
      <c r="L24" s="32"/>
      <c r="M24" s="32"/>
      <c r="N24" s="32"/>
      <c r="O24" s="32"/>
      <c r="P24" s="32"/>
      <c r="Q24" s="32"/>
      <c r="R24" s="32"/>
      <c r="S24" s="32"/>
      <c r="T24" s="32"/>
      <c r="U24" s="32"/>
      <c r="V24" s="32"/>
      <c r="W24" s="32"/>
      <c r="X24" s="32"/>
    </row>
    <row r="25" spans="1:24" ht="12.75" customHeight="1" x14ac:dyDescent="0.25">
      <c r="A25" s="123" t="s">
        <v>580</v>
      </c>
      <c r="B25" s="40">
        <v>15496800</v>
      </c>
      <c r="C25" s="124">
        <v>22278800</v>
      </c>
      <c r="D25" s="41">
        <f t="shared" si="0"/>
        <v>0.69558504048692027</v>
      </c>
      <c r="E25" s="32"/>
      <c r="F25" s="42"/>
      <c r="G25" s="32"/>
      <c r="H25" s="32"/>
      <c r="I25" s="32"/>
      <c r="J25" s="32"/>
      <c r="K25" s="32"/>
      <c r="L25" s="32"/>
      <c r="M25" s="32"/>
      <c r="N25" s="32"/>
      <c r="O25" s="32"/>
      <c r="P25" s="32"/>
      <c r="Q25" s="32"/>
      <c r="R25" s="32"/>
      <c r="S25" s="32"/>
      <c r="T25" s="32"/>
      <c r="U25" s="32"/>
      <c r="V25" s="32"/>
      <c r="W25" s="32"/>
      <c r="X25" s="32"/>
    </row>
    <row r="26" spans="1:24" ht="12.75" customHeight="1" x14ac:dyDescent="0.25">
      <c r="A26" s="123" t="s">
        <v>581</v>
      </c>
      <c r="B26" s="40">
        <v>19642820</v>
      </c>
      <c r="C26" s="124">
        <v>29965317</v>
      </c>
      <c r="D26" s="41">
        <f t="shared" si="0"/>
        <v>0.65551851161794816</v>
      </c>
      <c r="E26" s="32"/>
      <c r="F26" s="42"/>
      <c r="G26" s="32"/>
      <c r="H26" s="32"/>
      <c r="I26" s="32"/>
      <c r="J26" s="32"/>
      <c r="K26" s="32"/>
      <c r="L26" s="32"/>
      <c r="M26" s="32"/>
      <c r="N26" s="32"/>
      <c r="O26" s="32"/>
      <c r="P26" s="32"/>
      <c r="Q26" s="32"/>
      <c r="R26" s="32"/>
      <c r="S26" s="32"/>
      <c r="T26" s="32"/>
      <c r="U26" s="32"/>
      <c r="V26" s="32"/>
      <c r="W26" s="32"/>
      <c r="X26" s="32"/>
    </row>
    <row r="27" spans="1:24" ht="12.75" customHeight="1" x14ac:dyDescent="0.25">
      <c r="A27" s="123" t="s">
        <v>322</v>
      </c>
      <c r="B27" s="40">
        <v>1014446</v>
      </c>
      <c r="C27" s="124">
        <v>9152198.4800000004</v>
      </c>
      <c r="D27" s="41">
        <f t="shared" si="0"/>
        <v>0.11084178323020809</v>
      </c>
      <c r="E27" s="32"/>
      <c r="F27" s="32"/>
      <c r="G27" s="32"/>
      <c r="H27" s="32"/>
      <c r="I27" s="32"/>
      <c r="J27" s="32"/>
      <c r="K27" s="32"/>
      <c r="L27" s="32"/>
      <c r="M27" s="32"/>
      <c r="N27" s="32"/>
      <c r="O27" s="32"/>
      <c r="P27" s="32"/>
      <c r="Q27" s="32"/>
      <c r="R27" s="32"/>
      <c r="S27" s="32"/>
      <c r="T27" s="32"/>
      <c r="U27" s="32"/>
      <c r="V27" s="32"/>
      <c r="W27" s="32"/>
      <c r="X27" s="32"/>
    </row>
    <row r="28" spans="1:24" ht="12.75" customHeight="1" x14ac:dyDescent="0.25">
      <c r="A28" s="123" t="s">
        <v>582</v>
      </c>
      <c r="B28" s="40">
        <v>1605546878.8800001</v>
      </c>
      <c r="C28" s="124">
        <v>2291945935.6100001</v>
      </c>
      <c r="D28" s="41">
        <f t="shared" si="0"/>
        <v>0.70051690746042172</v>
      </c>
      <c r="E28" s="32"/>
      <c r="G28" s="32"/>
      <c r="H28" s="32"/>
      <c r="I28" s="32"/>
      <c r="J28" s="32"/>
      <c r="K28" s="32"/>
      <c r="L28" s="32"/>
      <c r="M28" s="32"/>
      <c r="N28" s="32"/>
      <c r="O28" s="32"/>
      <c r="P28" s="32"/>
      <c r="Q28" s="32"/>
      <c r="R28" s="32"/>
      <c r="S28" s="32"/>
      <c r="T28" s="32"/>
      <c r="U28" s="32"/>
      <c r="V28" s="32"/>
      <c r="W28" s="32"/>
      <c r="X28" s="32"/>
    </row>
    <row r="29" spans="1:24" ht="12.75" customHeight="1" x14ac:dyDescent="0.25">
      <c r="A29" s="123" t="s">
        <v>307</v>
      </c>
      <c r="B29" s="40">
        <v>1838878756.6700001</v>
      </c>
      <c r="C29" s="124">
        <v>2140612002.5</v>
      </c>
      <c r="D29" s="41">
        <f t="shared" si="0"/>
        <v>0.85904346725253866</v>
      </c>
      <c r="E29" s="32"/>
      <c r="F29" s="32"/>
      <c r="G29" s="32"/>
      <c r="H29" s="32"/>
      <c r="I29" s="32"/>
      <c r="J29" s="32"/>
      <c r="K29" s="32"/>
      <c r="L29" s="32"/>
      <c r="M29" s="32"/>
      <c r="N29" s="32"/>
      <c r="O29" s="32"/>
      <c r="P29" s="32"/>
      <c r="Q29" s="32"/>
      <c r="R29" s="32"/>
      <c r="S29" s="32"/>
      <c r="T29" s="32"/>
      <c r="U29" s="32"/>
      <c r="V29" s="32"/>
      <c r="W29" s="32"/>
      <c r="X29" s="32"/>
    </row>
    <row r="30" spans="1:24" ht="12.75" customHeight="1" x14ac:dyDescent="0.3">
      <c r="A30" s="39" t="s">
        <v>35</v>
      </c>
      <c r="B30" s="40">
        <v>0</v>
      </c>
      <c r="C30" s="40">
        <v>0</v>
      </c>
      <c r="D30" s="41"/>
      <c r="E30" s="32"/>
      <c r="F30" s="32"/>
      <c r="G30" s="32"/>
      <c r="H30" s="32"/>
      <c r="I30" s="32"/>
      <c r="J30" s="32"/>
      <c r="K30" s="32"/>
      <c r="L30" s="32"/>
      <c r="M30" s="32"/>
      <c r="N30" s="32"/>
      <c r="O30" s="32"/>
      <c r="P30" s="32"/>
      <c r="Q30" s="32"/>
      <c r="R30" s="32"/>
      <c r="S30" s="32"/>
      <c r="T30" s="32"/>
      <c r="U30" s="32"/>
      <c r="V30" s="32"/>
      <c r="W30" s="32"/>
      <c r="X30" s="32"/>
    </row>
    <row r="31" spans="1:24" ht="12.75" customHeight="1" x14ac:dyDescent="0.25">
      <c r="A31" s="43" t="s">
        <v>36</v>
      </c>
      <c r="B31" s="44">
        <f>SUM(B9:B30)</f>
        <v>27867091820.799995</v>
      </c>
      <c r="C31" s="44">
        <f t="shared" ref="C31" si="1">SUM(C9:C30)</f>
        <v>58020926455.75</v>
      </c>
      <c r="D31" s="44"/>
      <c r="E31" s="32"/>
      <c r="F31" s="32"/>
      <c r="G31" s="32"/>
      <c r="H31" s="32"/>
      <c r="I31" s="32"/>
      <c r="J31" s="32"/>
      <c r="K31" s="32"/>
      <c r="L31" s="32"/>
      <c r="M31" s="32"/>
      <c r="N31" s="32"/>
      <c r="O31" s="32"/>
      <c r="P31" s="32"/>
      <c r="Q31" s="32"/>
      <c r="R31" s="32"/>
      <c r="S31" s="32"/>
      <c r="T31" s="32"/>
      <c r="U31" s="32"/>
      <c r="V31" s="32"/>
      <c r="W31" s="32"/>
      <c r="X31" s="32"/>
    </row>
    <row r="32" spans="1:24" ht="12.75" customHeight="1" x14ac:dyDescent="0.25">
      <c r="A32" s="45"/>
      <c r="B32" s="45"/>
      <c r="C32" s="45"/>
      <c r="D32" s="32"/>
      <c r="E32" s="32"/>
      <c r="F32" s="32"/>
      <c r="G32" s="32"/>
      <c r="H32" s="32"/>
      <c r="I32" s="32"/>
      <c r="J32" s="32"/>
      <c r="K32" s="32"/>
      <c r="L32" s="32"/>
      <c r="M32" s="32"/>
      <c r="N32" s="32"/>
      <c r="O32" s="32"/>
      <c r="P32" s="32"/>
      <c r="Q32" s="32"/>
      <c r="R32" s="32"/>
      <c r="S32" s="32"/>
      <c r="T32" s="32"/>
      <c r="U32" s="32"/>
      <c r="V32" s="32"/>
      <c r="W32" s="32"/>
      <c r="X32" s="32"/>
    </row>
    <row r="33" spans="1:24" ht="12.75" customHeight="1" x14ac:dyDescent="0.3">
      <c r="A33" s="46" t="s">
        <v>583</v>
      </c>
      <c r="B33" s="46"/>
      <c r="C33" s="46"/>
      <c r="D33" s="47"/>
      <c r="E33" s="32"/>
      <c r="F33" s="32"/>
      <c r="G33" s="32"/>
      <c r="H33" s="32"/>
      <c r="I33" s="32"/>
      <c r="J33" s="32"/>
      <c r="K33" s="32"/>
      <c r="L33" s="32"/>
      <c r="M33" s="32"/>
      <c r="N33" s="32"/>
      <c r="O33" s="32"/>
      <c r="P33" s="32"/>
      <c r="Q33" s="32"/>
      <c r="R33" s="32"/>
      <c r="S33" s="32"/>
      <c r="T33" s="32"/>
      <c r="U33" s="32"/>
      <c r="V33" s="32"/>
      <c r="W33" s="32"/>
      <c r="X33" s="32"/>
    </row>
    <row r="34" spans="1:24" ht="12.75" customHeight="1" x14ac:dyDescent="0.3">
      <c r="A34" s="48" t="s">
        <v>37</v>
      </c>
      <c r="B34" s="49"/>
      <c r="C34" s="48" t="s">
        <v>16</v>
      </c>
      <c r="D34" s="47"/>
      <c r="E34" s="32"/>
      <c r="F34" s="32"/>
      <c r="G34" s="32"/>
      <c r="H34" s="32"/>
      <c r="I34" s="32"/>
      <c r="J34" s="32"/>
      <c r="K34" s="32"/>
      <c r="L34" s="32"/>
      <c r="M34" s="32"/>
      <c r="N34" s="32"/>
      <c r="O34" s="32"/>
      <c r="P34" s="32"/>
      <c r="Q34" s="32"/>
      <c r="R34" s="32"/>
      <c r="S34" s="32"/>
      <c r="T34" s="32"/>
      <c r="U34" s="32"/>
      <c r="V34" s="32"/>
      <c r="W34" s="32"/>
      <c r="X34" s="32"/>
    </row>
    <row r="35" spans="1:24" ht="12.75" customHeight="1" x14ac:dyDescent="0.3">
      <c r="A35" s="46"/>
      <c r="B35" s="46"/>
      <c r="C35" s="46"/>
      <c r="D35" s="47"/>
      <c r="E35" s="32"/>
      <c r="F35" s="32"/>
      <c r="G35" s="32"/>
      <c r="H35" s="32"/>
      <c r="I35" s="32"/>
      <c r="J35" s="32"/>
      <c r="K35" s="32"/>
      <c r="L35" s="32"/>
      <c r="M35" s="32"/>
      <c r="N35" s="32"/>
      <c r="O35" s="32"/>
      <c r="P35" s="32"/>
      <c r="Q35" s="32"/>
      <c r="R35" s="32"/>
      <c r="S35" s="32"/>
      <c r="T35" s="32"/>
      <c r="U35" s="32"/>
      <c r="V35" s="32"/>
      <c r="W35" s="32"/>
      <c r="X35" s="32"/>
    </row>
    <row r="36" spans="1:24" ht="12.75" customHeight="1" x14ac:dyDescent="0.3">
      <c r="A36" s="46"/>
      <c r="B36" s="46"/>
      <c r="C36" s="46"/>
      <c r="D36" s="47"/>
      <c r="E36" s="32"/>
      <c r="F36" s="32"/>
      <c r="G36" s="32"/>
      <c r="H36" s="32"/>
      <c r="I36" s="32"/>
      <c r="J36" s="32"/>
      <c r="K36" s="32"/>
      <c r="L36" s="32"/>
      <c r="M36" s="32"/>
      <c r="N36" s="32"/>
      <c r="O36" s="32"/>
      <c r="P36" s="32"/>
      <c r="Q36" s="32"/>
      <c r="R36" s="32"/>
      <c r="S36" s="32"/>
      <c r="T36" s="32"/>
      <c r="U36" s="32"/>
      <c r="V36" s="32"/>
      <c r="W36" s="32"/>
      <c r="X36" s="32"/>
    </row>
    <row r="37" spans="1:24" ht="12.75" customHeight="1" x14ac:dyDescent="0.3">
      <c r="A37" s="50" t="s">
        <v>584</v>
      </c>
      <c r="B37" s="50"/>
      <c r="C37" s="125">
        <v>44228</v>
      </c>
      <c r="D37" s="47"/>
      <c r="E37" s="32"/>
      <c r="F37" s="32"/>
      <c r="G37" s="32"/>
      <c r="H37" s="32"/>
      <c r="I37" s="32"/>
      <c r="J37" s="32"/>
      <c r="K37" s="32"/>
      <c r="L37" s="32"/>
      <c r="M37" s="32"/>
      <c r="N37" s="32"/>
      <c r="O37" s="32"/>
      <c r="P37" s="32"/>
      <c r="Q37" s="32"/>
      <c r="R37" s="32"/>
      <c r="S37" s="32"/>
      <c r="T37" s="32"/>
      <c r="U37" s="32"/>
      <c r="V37" s="32"/>
      <c r="W37" s="32"/>
      <c r="X37" s="32"/>
    </row>
    <row r="38" spans="1:24" ht="12.75" customHeight="1" x14ac:dyDescent="0.3">
      <c r="A38" s="51" t="s">
        <v>38</v>
      </c>
      <c r="B38" s="46"/>
      <c r="C38" s="48" t="s">
        <v>19</v>
      </c>
      <c r="D38" s="47"/>
      <c r="E38" s="32"/>
      <c r="F38" s="32"/>
      <c r="G38" s="32"/>
      <c r="H38" s="32"/>
      <c r="I38" s="32"/>
      <c r="J38" s="32"/>
      <c r="K38" s="32"/>
      <c r="L38" s="32"/>
      <c r="M38" s="32"/>
      <c r="N38" s="32"/>
      <c r="O38" s="32"/>
      <c r="P38" s="32"/>
      <c r="Q38" s="32"/>
      <c r="R38" s="32"/>
      <c r="S38" s="32"/>
      <c r="T38" s="32"/>
      <c r="U38" s="32"/>
      <c r="V38" s="32"/>
      <c r="W38" s="32"/>
      <c r="X38" s="32"/>
    </row>
    <row r="39" spans="1:24" ht="12.75" customHeight="1" x14ac:dyDescent="0.3">
      <c r="A39" s="46"/>
      <c r="B39" s="46"/>
      <c r="C39" s="46"/>
      <c r="D39" s="47"/>
      <c r="E39" s="32"/>
      <c r="F39" s="32"/>
      <c r="G39" s="32"/>
      <c r="H39" s="32"/>
      <c r="I39" s="32"/>
      <c r="J39" s="32"/>
      <c r="K39" s="32"/>
      <c r="L39" s="32"/>
      <c r="M39" s="32"/>
      <c r="N39" s="32"/>
      <c r="O39" s="32"/>
      <c r="P39" s="32"/>
      <c r="Q39" s="32"/>
      <c r="R39" s="32"/>
      <c r="S39" s="32"/>
      <c r="T39" s="32"/>
      <c r="U39" s="32"/>
      <c r="V39" s="32"/>
      <c r="W39" s="32"/>
      <c r="X39" s="32"/>
    </row>
    <row r="40" spans="1:24" ht="12.75" customHeight="1"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row>
    <row r="41" spans="1:24" ht="12.75" customHeight="1" x14ac:dyDescent="0.2">
      <c r="A41" s="387"/>
      <c r="B41" s="377"/>
      <c r="C41" s="377"/>
      <c r="D41" s="377"/>
      <c r="E41" s="32"/>
      <c r="F41" s="32"/>
      <c r="G41" s="32"/>
      <c r="H41" s="32"/>
      <c r="I41" s="32"/>
      <c r="J41" s="32"/>
      <c r="K41" s="32"/>
      <c r="L41" s="32"/>
      <c r="M41" s="32"/>
      <c r="N41" s="32"/>
      <c r="O41" s="32"/>
      <c r="P41" s="32"/>
      <c r="Q41" s="32"/>
      <c r="R41" s="32"/>
      <c r="S41" s="32"/>
      <c r="T41" s="32"/>
      <c r="U41" s="32"/>
      <c r="V41" s="32"/>
      <c r="W41" s="32"/>
      <c r="X41" s="32"/>
    </row>
    <row r="42" spans="1:24" ht="12.75" customHeight="1" x14ac:dyDescent="0.2">
      <c r="A42" s="377"/>
      <c r="B42" s="377"/>
      <c r="C42" s="377"/>
      <c r="D42" s="377"/>
      <c r="E42" s="32"/>
      <c r="F42" s="32"/>
      <c r="G42" s="32"/>
      <c r="H42" s="32"/>
      <c r="I42" s="32"/>
      <c r="J42" s="32"/>
      <c r="K42" s="32"/>
      <c r="L42" s="32"/>
      <c r="M42" s="32"/>
      <c r="N42" s="32"/>
      <c r="O42" s="32"/>
      <c r="P42" s="32"/>
      <c r="Q42" s="32"/>
      <c r="R42" s="32"/>
      <c r="S42" s="32"/>
      <c r="T42" s="32"/>
      <c r="U42" s="32"/>
      <c r="V42" s="32"/>
      <c r="W42" s="32"/>
      <c r="X42" s="32"/>
    </row>
    <row r="43" spans="1:24" ht="12.75" customHeight="1" x14ac:dyDescent="0.2">
      <c r="A43" s="377"/>
      <c r="B43" s="377"/>
      <c r="C43" s="377"/>
      <c r="D43" s="377"/>
      <c r="E43" s="32"/>
      <c r="F43" s="32"/>
      <c r="G43" s="32"/>
      <c r="H43" s="32"/>
      <c r="I43" s="32"/>
      <c r="J43" s="32"/>
      <c r="K43" s="32"/>
      <c r="L43" s="32"/>
      <c r="M43" s="32"/>
      <c r="N43" s="32"/>
      <c r="O43" s="32"/>
      <c r="P43" s="32"/>
      <c r="Q43" s="32"/>
      <c r="R43" s="32"/>
      <c r="S43" s="32"/>
      <c r="T43" s="32"/>
      <c r="U43" s="32"/>
      <c r="V43" s="32"/>
      <c r="W43" s="32"/>
      <c r="X43" s="32"/>
    </row>
    <row r="44" spans="1:24" ht="12.75" customHeight="1" x14ac:dyDescent="0.2">
      <c r="A44" s="377"/>
      <c r="B44" s="377"/>
      <c r="C44" s="377"/>
      <c r="D44" s="377"/>
      <c r="E44" s="32"/>
      <c r="F44" s="32"/>
      <c r="G44" s="32"/>
      <c r="H44" s="32"/>
      <c r="I44" s="32"/>
      <c r="J44" s="32"/>
      <c r="K44" s="32"/>
      <c r="L44" s="32"/>
      <c r="M44" s="32"/>
      <c r="N44" s="32"/>
      <c r="O44" s="32"/>
      <c r="P44" s="32"/>
      <c r="Q44" s="32"/>
      <c r="R44" s="32"/>
      <c r="S44" s="32"/>
      <c r="T44" s="32"/>
      <c r="U44" s="32"/>
      <c r="V44" s="32"/>
      <c r="W44" s="32"/>
      <c r="X44" s="32"/>
    </row>
    <row r="45" spans="1:24" ht="12.75" customHeight="1" x14ac:dyDescent="0.2">
      <c r="E45" s="32"/>
      <c r="F45" s="32"/>
      <c r="G45" s="32"/>
      <c r="H45" s="32"/>
      <c r="I45" s="32"/>
      <c r="J45" s="32"/>
      <c r="K45" s="32"/>
      <c r="L45" s="32"/>
      <c r="M45" s="32"/>
      <c r="N45" s="32"/>
      <c r="O45" s="32"/>
      <c r="P45" s="32"/>
      <c r="Q45" s="32"/>
      <c r="R45" s="32"/>
      <c r="S45" s="32"/>
      <c r="T45" s="32"/>
      <c r="U45" s="32"/>
      <c r="V45" s="32"/>
      <c r="W45" s="32"/>
      <c r="X45" s="32"/>
    </row>
    <row r="46" spans="1:24" ht="12.75" customHeight="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row>
    <row r="47" spans="1:24" ht="12.75" customHeight="1"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row>
    <row r="48" spans="1:24" ht="12.75" customHeight="1"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row>
    <row r="49" spans="1:24" ht="12.75" customHeight="1"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row>
    <row r="50" spans="1:24" ht="12.75" customHeight="1"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row>
    <row r="51" spans="1:24" ht="12.75" customHeight="1"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row>
    <row r="52" spans="1:24" ht="12.75" customHeight="1"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row>
    <row r="53" spans="1:24" ht="12.75" customHeight="1"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row>
    <row r="54" spans="1:24" ht="12.75" customHeight="1"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row>
    <row r="55" spans="1:24" ht="12.75" customHeight="1"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row>
    <row r="56" spans="1:24" ht="12.75" customHeight="1"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row>
    <row r="57" spans="1:24" ht="12.75" customHeight="1"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row>
    <row r="58" spans="1:24" ht="12.75" customHeight="1"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row>
    <row r="59" spans="1:24" ht="12.75" customHeight="1"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row>
    <row r="60" spans="1:24" ht="12.75" customHeight="1"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row>
    <row r="61" spans="1:24" ht="12.75" customHeight="1"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row>
    <row r="62" spans="1:24" ht="12.7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row>
    <row r="63" spans="1:24" ht="12.75" customHeight="1"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row>
    <row r="64" spans="1:24" ht="12.75" customHeight="1"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row>
    <row r="65" spans="1:24" ht="12.7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row>
    <row r="66" spans="1:24" ht="12.75" customHeight="1"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row>
    <row r="67" spans="1:24" ht="12.75" customHeight="1"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row>
    <row r="68" spans="1:24" ht="12.75" customHeight="1"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row>
    <row r="69" spans="1:24" ht="12.75" customHeight="1"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row>
    <row r="70" spans="1:24" ht="12.7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row>
    <row r="71" spans="1:24" ht="12.75"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row>
    <row r="72" spans="1:24" ht="12.75" customHeight="1"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row>
    <row r="73" spans="1:24" ht="12.75" customHeight="1"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row>
    <row r="74" spans="1:24" ht="12.75" customHeight="1"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row>
    <row r="75" spans="1:24" ht="12.75" customHeight="1"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row>
    <row r="76" spans="1:24" ht="12.75" customHeight="1"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row>
    <row r="77" spans="1:24" ht="12.75" customHeight="1"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row>
    <row r="78" spans="1:24" ht="12.7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row>
    <row r="79" spans="1:24" ht="12.7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row>
    <row r="80" spans="1:24" ht="12.75" customHeight="1"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row>
    <row r="81" spans="1:24" ht="12.75" customHeight="1"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row>
    <row r="82" spans="1:24" ht="12.75" customHeight="1"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row>
    <row r="83" spans="1:24" ht="12.75" customHeight="1"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row>
    <row r="84" spans="1:24" ht="12.75" customHeight="1"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row>
    <row r="85" spans="1:24" ht="12.75" customHeight="1"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row>
    <row r="86" spans="1:24" ht="12.75" customHeight="1"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row>
    <row r="87" spans="1:24" ht="12.75" customHeight="1"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row>
    <row r="88" spans="1:24" ht="12.75" customHeight="1"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row>
    <row r="89" spans="1:24" ht="12.75" customHeight="1"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row>
    <row r="90" spans="1:24" ht="12.75" customHeight="1"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row>
    <row r="91" spans="1:24" ht="12.75" customHeight="1"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row>
    <row r="92" spans="1:24" ht="12.75" customHeight="1"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row>
    <row r="93" spans="1:24" ht="12.75" customHeight="1"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row>
    <row r="94" spans="1:24" ht="12.75" customHeight="1"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row>
    <row r="95" spans="1:24" ht="12.75" customHeight="1"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row>
    <row r="96" spans="1:24" ht="12.75" customHeight="1"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row>
    <row r="97" spans="1:24" ht="12.75" customHeight="1"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row>
    <row r="98" spans="1:24" ht="12.75" customHeight="1"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row>
    <row r="99" spans="1:24" ht="12.75" customHeight="1"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row>
    <row r="100" spans="1:24" ht="12.75" customHeight="1"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ht="12.75" customHeight="1"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row>
    <row r="102" spans="1:24" ht="12.75" customHeight="1"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2.75" customHeight="1"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row>
    <row r="107" spans="1:24" ht="12.75" customHeight="1"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row>
    <row r="108" spans="1:24" ht="12.75" customHeight="1"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row>
    <row r="109" spans="1:24" ht="12.75" customHeight="1"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row>
    <row r="110" spans="1:24" ht="12.75" customHeight="1"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row>
    <row r="111" spans="1:24" ht="12.75" customHeight="1"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row>
    <row r="112" spans="1:24" ht="12.75" customHeight="1"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row>
    <row r="113" spans="1:24" ht="12.75" customHeight="1"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row>
    <row r="114" spans="1:24" ht="12.75" customHeight="1"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row>
    <row r="115" spans="1:24" ht="12.75" customHeight="1"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row>
    <row r="116" spans="1:24" ht="12.75" customHeight="1"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row>
    <row r="117" spans="1:24" ht="12.75" customHeight="1"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row>
    <row r="118" spans="1:24" ht="12.75" customHeight="1"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row>
    <row r="119" spans="1:24" ht="12.75" customHeight="1"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row>
    <row r="120" spans="1:24" ht="12.75" customHeight="1"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row>
    <row r="121" spans="1:24" ht="12.75" customHeight="1"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row>
    <row r="122" spans="1:24" ht="12.75" customHeight="1"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row>
    <row r="123" spans="1:24" ht="12.75" customHeight="1"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row>
    <row r="124" spans="1:24" ht="12.75" customHeight="1"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row>
    <row r="125" spans="1:24" ht="12.75" customHeight="1"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row>
    <row r="126" spans="1:24" ht="12.75" customHeight="1"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row>
    <row r="127" spans="1:24" ht="12.75" customHeight="1"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row>
    <row r="128" spans="1:24" ht="12.75" customHeight="1"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row>
    <row r="129" spans="1:24" ht="12.75" customHeight="1"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row>
    <row r="130" spans="1:24" ht="12.75" customHeight="1"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row>
    <row r="131" spans="1:24" ht="12.75" customHeight="1"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row>
    <row r="132" spans="1:24" ht="12.75" customHeight="1"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row>
    <row r="133" spans="1:24" ht="12.75" customHeight="1"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row>
    <row r="134" spans="1:24" ht="12.75" customHeight="1"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row>
    <row r="135" spans="1:24" ht="12.75" customHeight="1"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row>
    <row r="136" spans="1:24" ht="12.75" customHeight="1"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row>
    <row r="137" spans="1:24" ht="12.75" customHeight="1"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row>
    <row r="138" spans="1:24" ht="12.75" customHeight="1"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row>
    <row r="139" spans="1:24" ht="12.75" customHeight="1"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row>
    <row r="140" spans="1:24" ht="12.75" customHeight="1"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row>
    <row r="141" spans="1:24" ht="12.75" customHeight="1"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row>
    <row r="142" spans="1:24" ht="12.75" customHeight="1"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row>
    <row r="143" spans="1:24" ht="12.75" customHeight="1"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row>
    <row r="144" spans="1:24" ht="12.75" customHeight="1"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row>
    <row r="145" spans="1:24" ht="12.75" customHeight="1"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row>
    <row r="146" spans="1:24" ht="12.75" customHeight="1"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row>
    <row r="147" spans="1:24" ht="12.75" customHeight="1"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row>
    <row r="148" spans="1:24" ht="12.75" customHeight="1"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row>
    <row r="149" spans="1:24" ht="12.75" customHeight="1"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row>
    <row r="150" spans="1:24" ht="12.75" customHeight="1"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row>
    <row r="151" spans="1:24" ht="12.75" customHeight="1"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row>
    <row r="152" spans="1:24" ht="12.75" customHeight="1"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row>
    <row r="153" spans="1:24" ht="12.75" customHeight="1"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row>
    <row r="154" spans="1:24" ht="12.75" customHeight="1"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row>
    <row r="155" spans="1:24" ht="12.75" customHeight="1"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row>
    <row r="156" spans="1:24" ht="12.75" customHeight="1"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row>
    <row r="157" spans="1:24" ht="12.75" customHeight="1"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row>
    <row r="158" spans="1:24" ht="12.75" customHeight="1"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row>
    <row r="159" spans="1:24" ht="12.75" customHeight="1"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row>
    <row r="160" spans="1:24" ht="12.75" customHeight="1"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row>
    <row r="161" spans="1:24" ht="12.75" customHeight="1"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row>
    <row r="162" spans="1:24" ht="12.75" customHeight="1"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row>
    <row r="163" spans="1:24" ht="12.75" customHeight="1"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row>
    <row r="164" spans="1:24" ht="12.75" customHeight="1"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row>
    <row r="165" spans="1:24" ht="12.75" customHeight="1"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row>
    <row r="166" spans="1:24" ht="12.75" customHeight="1"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row>
    <row r="167" spans="1:24" ht="12.75" customHeight="1"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row>
    <row r="168" spans="1:24" ht="12.75" customHeight="1"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row>
    <row r="169" spans="1:24" ht="12.75" customHeight="1"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row>
    <row r="170" spans="1:24" ht="12.75" customHeight="1"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row>
    <row r="171" spans="1:24" ht="12.75" customHeight="1"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row>
    <row r="172" spans="1:24" ht="12.75" customHeight="1"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row>
    <row r="173" spans="1:24" ht="12.75" customHeight="1"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row>
    <row r="174" spans="1:24" ht="12.75" customHeight="1"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row>
    <row r="175" spans="1:24" ht="12.75" customHeight="1"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row>
    <row r="176" spans="1:24" ht="12.75" customHeight="1"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row>
    <row r="177" spans="1:24" ht="12.75" customHeight="1"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row>
    <row r="178" spans="1:24" ht="12.75" customHeight="1"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row>
    <row r="179" spans="1:24" ht="12.75" customHeight="1"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row>
    <row r="180" spans="1:24" ht="12.75" customHeight="1"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row>
    <row r="181" spans="1:24" ht="12.75" customHeight="1"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row>
    <row r="182" spans="1:24" ht="12.75" customHeight="1"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row>
    <row r="183" spans="1:24" ht="12.75" customHeight="1"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row>
    <row r="184" spans="1:24" ht="12.75" customHeight="1"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row>
    <row r="185" spans="1:24" ht="12.75" customHeight="1"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row>
    <row r="186" spans="1:24" ht="12.75" customHeight="1"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row>
    <row r="187" spans="1:24" ht="12.75" customHeight="1"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row>
    <row r="188" spans="1:24" ht="12.75" customHeight="1"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row>
    <row r="189" spans="1:24" ht="12.75" customHeight="1"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row>
    <row r="190" spans="1:24" ht="12.75" customHeight="1"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row>
    <row r="191" spans="1:24" ht="12.75" customHeight="1"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row>
    <row r="192" spans="1:24" ht="12.75" customHeight="1"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row>
    <row r="193" spans="1:24" ht="12.75"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row>
    <row r="194" spans="1:24" ht="12.75"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row>
    <row r="195" spans="1:24" ht="12.7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row>
    <row r="196" spans="1:24" ht="12.7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row>
    <row r="197" spans="1:24" ht="12.7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row>
    <row r="198" spans="1:24" ht="12.7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row>
    <row r="199" spans="1:24" ht="12.7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row>
    <row r="200" spans="1:24" ht="12.7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row>
    <row r="201" spans="1:24" ht="12.7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row>
    <row r="202" spans="1:24" ht="12.75" customHeight="1"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row>
    <row r="203" spans="1:24" ht="12.75" customHeight="1"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row>
    <row r="204" spans="1:24" ht="12.75" customHeight="1"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row>
    <row r="205" spans="1:24" ht="12.75" customHeight="1"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row>
    <row r="206" spans="1:24" ht="12.75" customHeight="1"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row>
    <row r="207" spans="1:24" ht="12.75" customHeight="1"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row>
    <row r="208" spans="1:24" ht="12.75" customHeight="1"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row>
    <row r="209" spans="1:24" ht="12.75" customHeight="1"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row>
    <row r="210" spans="1:24" ht="12.75" customHeight="1"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row>
    <row r="211" spans="1:24" ht="12.7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row>
    <row r="212" spans="1:24" ht="12.75" customHeight="1"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row>
    <row r="213" spans="1:24" ht="12.7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row>
    <row r="214" spans="1:24" ht="12.75" customHeight="1"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row>
    <row r="215" spans="1:24" ht="12.75" customHeight="1"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row>
    <row r="216" spans="1:24" ht="12.75" customHeight="1"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row>
    <row r="217" spans="1:24" ht="12.75" customHeight="1"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row>
    <row r="218" spans="1:24" ht="12.75" customHeight="1"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row>
    <row r="219" spans="1:24" ht="12.75" customHeight="1"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row>
    <row r="220" spans="1:24" ht="12.75" customHeight="1"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row>
    <row r="221" spans="1:24" ht="12.75" customHeight="1"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row>
    <row r="222" spans="1:24" ht="12.75" customHeight="1"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row>
    <row r="223" spans="1:24" ht="12.75" customHeight="1"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row>
    <row r="224" spans="1:24" ht="12.75" customHeight="1"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row>
    <row r="225" spans="1:24" ht="12.75" customHeight="1"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row>
    <row r="226" spans="1:24" ht="12.75" customHeight="1"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row>
    <row r="227" spans="1:24" ht="12.75" customHeight="1"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row>
    <row r="228" spans="1:24" ht="12.75" customHeight="1"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row>
    <row r="229" spans="1:24" ht="12.75" customHeight="1"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row>
    <row r="230" spans="1:24" ht="12.75" customHeight="1"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row>
    <row r="231" spans="1:24" ht="12.75" customHeight="1"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row>
    <row r="232" spans="1:24" ht="12.75" customHeight="1"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row>
    <row r="233" spans="1:24" ht="12.75" customHeight="1"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row>
    <row r="234" spans="1:24" ht="12.75" customHeight="1"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row>
    <row r="235" spans="1:24" ht="12.75" customHeight="1"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row>
    <row r="236" spans="1:24" ht="12.75" customHeight="1"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row>
    <row r="237" spans="1:24" ht="12.75" customHeight="1"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row>
    <row r="238" spans="1:24" ht="12.75" customHeight="1"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row>
    <row r="239" spans="1:24" ht="12.75" customHeight="1"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row>
    <row r="240" spans="1:24" ht="12.75" customHeight="1"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row>
    <row r="241" spans="1:24" ht="12.75" customHeight="1"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row>
    <row r="242" spans="1:24" ht="12.75" customHeight="1"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row>
    <row r="243" spans="1:24" ht="12.75" customHeight="1"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row>
    <row r="244" spans="1:24" ht="12.75" customHeight="1"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row>
    <row r="245" spans="1:24" ht="12.75" customHeight="1"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row>
    <row r="246" spans="1:24" ht="12.75" customHeight="1"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row>
    <row r="247" spans="1:24" ht="12.75" customHeight="1"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row>
    <row r="248" spans="1:24" ht="12.75" customHeight="1"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row>
    <row r="249" spans="1:24" ht="12.75" customHeight="1"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row>
    <row r="250" spans="1:24" ht="12.75" customHeight="1"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row>
    <row r="251" spans="1:24" ht="12.75" customHeight="1"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row>
    <row r="252" spans="1:24" ht="12.75" customHeight="1"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row>
    <row r="253" spans="1:24" ht="12.75" customHeight="1"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row>
    <row r="254" spans="1:24" ht="12.75" customHeight="1"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row>
    <row r="255" spans="1:24" ht="12.75" customHeight="1"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row>
    <row r="256" spans="1:24" ht="12.75" customHeight="1"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row>
    <row r="257" spans="1:24" ht="12.75" customHeight="1"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row>
    <row r="258" spans="1:24" ht="12.75" customHeight="1"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row>
    <row r="259" spans="1:24" ht="12.75" customHeight="1"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row>
    <row r="260" spans="1:24" ht="12.75" customHeight="1"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row>
    <row r="261" spans="1:24" ht="12.75" customHeight="1"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row>
    <row r="262" spans="1:24" ht="12.75" customHeight="1"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row>
    <row r="263" spans="1:24" ht="12.75" customHeight="1"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row>
    <row r="264" spans="1:24" ht="12.75" customHeight="1"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row>
    <row r="265" spans="1:24" ht="12.75" customHeight="1"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row>
    <row r="266" spans="1:24" ht="12.75" customHeight="1"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row>
    <row r="267" spans="1:24" ht="12.75" customHeight="1"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row>
    <row r="268" spans="1:24" ht="12.75" customHeight="1"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row>
    <row r="269" spans="1:24" ht="12.75" customHeight="1"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row>
    <row r="270" spans="1:24" ht="12.75" customHeight="1"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row>
    <row r="271" spans="1:24" ht="12.75" customHeight="1"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row>
    <row r="272" spans="1:24" ht="12.75" customHeight="1"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row>
    <row r="273" spans="1:24" ht="12.75" customHeight="1"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row>
    <row r="274" spans="1:24" ht="12.75" customHeight="1"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row>
    <row r="275" spans="1:24" ht="12.75" customHeight="1"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row>
    <row r="276" spans="1:24" ht="12.75" customHeight="1"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row>
    <row r="277" spans="1:24" ht="12.75" customHeight="1"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row>
    <row r="278" spans="1:24" ht="12.75" customHeight="1"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row>
    <row r="279" spans="1:24" ht="12.75" customHeight="1"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row>
    <row r="280" spans="1:24" ht="12.75" customHeight="1"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row>
    <row r="281" spans="1:24" ht="12.75" customHeight="1"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row>
    <row r="282" spans="1:24" ht="12.75" customHeight="1"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row>
    <row r="283" spans="1:24" ht="12.75" customHeight="1"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row>
    <row r="284" spans="1:24" ht="12.75" customHeight="1"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row>
    <row r="285" spans="1:24" ht="12.75" customHeight="1"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row>
    <row r="286" spans="1:24" ht="12.75" customHeight="1"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row>
    <row r="287" spans="1:24" ht="12.75" customHeight="1"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row>
    <row r="288" spans="1:24" ht="12.75" customHeight="1"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row>
    <row r="289" spans="1:24" ht="12.75" customHeight="1"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row>
    <row r="290" spans="1:24" ht="12.75" customHeight="1"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row>
    <row r="291" spans="1:24" ht="12.75" customHeight="1"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row>
    <row r="292" spans="1:24" ht="12.75" customHeight="1"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row>
    <row r="293" spans="1:24" ht="12.75" customHeight="1"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row>
    <row r="294" spans="1:24" ht="12.75" customHeight="1"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row>
    <row r="295" spans="1:24" ht="12.75" customHeight="1"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row>
    <row r="296" spans="1:24" ht="12.75" customHeight="1"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row>
    <row r="297" spans="1:24" ht="12.75" customHeight="1"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row>
    <row r="298" spans="1:24" ht="12.75" customHeight="1"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row>
    <row r="299" spans="1:24" ht="12.75" customHeight="1"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row>
    <row r="300" spans="1:24" ht="12.75" customHeight="1"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row>
    <row r="301" spans="1:24" ht="12.75" customHeight="1"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row>
    <row r="302" spans="1:24" ht="12.75" customHeight="1"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row>
    <row r="303" spans="1:24" ht="12.75" customHeight="1"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row>
    <row r="304" spans="1:24" ht="12.75" customHeight="1"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row>
    <row r="305" spans="1:24" ht="12.75" customHeight="1"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row>
    <row r="306" spans="1:24" ht="12.75" customHeight="1"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row>
    <row r="307" spans="1:24" ht="12.75" customHeight="1"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row>
    <row r="308" spans="1:24" ht="12.75" customHeight="1"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row>
    <row r="309" spans="1:24" ht="12.75" customHeight="1"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row>
    <row r="310" spans="1:24" ht="12.75" customHeight="1"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row>
    <row r="311" spans="1:24" ht="12.75" customHeight="1"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row>
    <row r="312" spans="1:24" ht="12.75" customHeight="1"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row>
    <row r="313" spans="1:24" ht="12.75" customHeight="1"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row>
    <row r="314" spans="1:24" ht="12.75" customHeight="1"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row>
    <row r="315" spans="1:24" ht="12.75" customHeight="1"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row>
    <row r="316" spans="1:24" ht="12.75" customHeight="1"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row>
    <row r="317" spans="1:24" ht="12.75" customHeight="1"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row>
    <row r="318" spans="1:24" ht="12.75" customHeight="1"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row>
    <row r="319" spans="1:24" ht="12.75" customHeight="1"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row>
    <row r="320" spans="1:24" ht="12.75" customHeight="1"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row>
    <row r="321" spans="1:24" ht="12.75" customHeight="1"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row>
    <row r="322" spans="1:24" ht="12.75" customHeight="1"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row>
    <row r="323" spans="1:24" ht="12.75" customHeight="1"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row>
    <row r="324" spans="1:24" ht="12.75" customHeight="1"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row>
    <row r="325" spans="1:24" ht="12.75" customHeight="1"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row>
    <row r="326" spans="1:24" ht="12.75" customHeight="1"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row>
    <row r="327" spans="1:24" ht="12.7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row>
    <row r="328" spans="1:24" ht="12.75" customHeight="1"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row>
    <row r="329" spans="1:24" ht="12.75" customHeight="1"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row>
    <row r="330" spans="1:24" ht="12.75" customHeight="1"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row>
    <row r="331" spans="1:24" ht="12.75" customHeight="1"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row>
    <row r="332" spans="1:24" ht="12.75" customHeight="1"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row>
    <row r="333" spans="1:24" ht="12.75" customHeight="1"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row>
    <row r="334" spans="1:24" ht="12.75" customHeight="1"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row>
    <row r="335" spans="1:24" ht="12.75" customHeight="1"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row>
    <row r="336" spans="1:24" ht="12.75" customHeight="1"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row>
    <row r="337" spans="1:24" ht="12.75" customHeight="1"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row>
    <row r="338" spans="1:24" ht="12.75" customHeight="1"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row>
    <row r="339" spans="1:24" ht="12.75" customHeight="1"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row>
    <row r="340" spans="1:24" ht="12.75" customHeight="1"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row>
    <row r="341" spans="1:24" ht="12.75" customHeight="1"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row>
    <row r="342" spans="1:24" ht="12.75" customHeight="1"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row>
    <row r="343" spans="1:24" ht="12.75" customHeight="1"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row>
    <row r="344" spans="1:24" ht="12.75" customHeight="1"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row>
    <row r="345" spans="1:24" ht="12.75" customHeight="1"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row>
    <row r="346" spans="1:24" ht="12.75" customHeight="1"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row>
    <row r="347" spans="1:24" ht="12.75" customHeight="1"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row>
    <row r="348" spans="1:24" ht="12.75" customHeight="1"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row>
    <row r="349" spans="1:24" ht="12.75" customHeight="1"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row>
    <row r="350" spans="1:24" ht="12.75" customHeight="1"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row>
    <row r="351" spans="1:24" ht="12.75" customHeight="1"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row>
    <row r="352" spans="1:24" ht="12.75" customHeight="1"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row>
    <row r="353" spans="1:24" ht="12.75" customHeight="1"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row>
    <row r="354" spans="1:24" ht="12.75" customHeight="1"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row>
    <row r="355" spans="1:24" ht="12.75" customHeight="1"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row>
    <row r="356" spans="1:24" ht="12.75" customHeight="1"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row>
    <row r="357" spans="1:24" ht="12.75" customHeight="1"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row>
    <row r="358" spans="1:24" ht="12.75" customHeight="1"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row>
    <row r="359" spans="1:24" ht="12.75" customHeight="1"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row>
    <row r="360" spans="1:24" ht="12.75" customHeight="1"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row>
    <row r="361" spans="1:24" ht="12.75" customHeight="1"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row>
    <row r="362" spans="1:24" ht="12.75" customHeight="1"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row>
    <row r="363" spans="1:24" ht="12.75" customHeight="1"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row>
    <row r="364" spans="1:24" ht="12.75" customHeight="1"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row>
    <row r="365" spans="1:24" ht="12.75" customHeight="1"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row>
    <row r="366" spans="1:24" ht="12.75" customHeight="1"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row>
    <row r="367" spans="1:24" ht="12.75" customHeight="1"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row>
    <row r="368" spans="1:24" ht="12.75" customHeight="1"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row>
    <row r="369" spans="1:24" ht="12.75" customHeight="1"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row>
    <row r="370" spans="1:24" ht="12.75" customHeight="1"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row>
    <row r="371" spans="1:24" ht="12.75" customHeight="1"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row>
    <row r="372" spans="1:24" ht="12.75" customHeight="1"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row>
    <row r="373" spans="1:24" ht="12.75" customHeight="1"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row>
    <row r="374" spans="1:24" ht="12.75" customHeight="1"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row>
    <row r="375" spans="1:24" ht="12.75" customHeight="1"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row>
    <row r="376" spans="1:24" ht="12.75" customHeight="1"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row>
    <row r="377" spans="1:24" ht="12.75" customHeight="1"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row>
    <row r="378" spans="1:24" ht="12.75" customHeight="1"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row>
    <row r="379" spans="1:24" ht="12.75" customHeight="1"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row>
    <row r="380" spans="1:24" ht="12.75" customHeight="1"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row>
    <row r="381" spans="1:24" ht="12.75" customHeight="1"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row>
    <row r="382" spans="1:24" ht="12.75" customHeight="1"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row>
    <row r="383" spans="1:24" ht="12.7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row>
    <row r="384" spans="1:24" ht="12.75" customHeight="1"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row>
    <row r="385" spans="1:24" ht="12.75" customHeight="1"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row>
    <row r="386" spans="1:24" ht="12.75" customHeight="1"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row>
    <row r="387" spans="1:24" ht="12.75" customHeight="1"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row>
    <row r="388" spans="1:24" ht="12.75" customHeight="1"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row>
    <row r="389" spans="1:24" ht="12.75" customHeight="1"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row>
    <row r="390" spans="1:24" ht="12.75" customHeight="1"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row>
    <row r="391" spans="1:24" ht="12.75" customHeight="1"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row>
    <row r="392" spans="1:24" ht="12.75" customHeight="1"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row>
    <row r="393" spans="1:24" ht="12.75" customHeight="1"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row>
    <row r="394" spans="1:24" ht="12.75" customHeight="1"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row>
    <row r="395" spans="1:24" ht="12.75" customHeight="1"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row>
    <row r="396" spans="1:24" ht="12.75" customHeight="1"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row>
    <row r="397" spans="1:24" ht="12.75" customHeight="1"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row>
    <row r="398" spans="1:24" ht="12.75" customHeight="1"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row>
    <row r="399" spans="1:24" ht="12.75" customHeight="1"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row>
    <row r="400" spans="1:24" ht="12.75" customHeight="1"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row>
    <row r="401" spans="1:24" ht="12.75" customHeight="1"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row>
    <row r="402" spans="1:24" ht="12.75" customHeight="1"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row>
    <row r="403" spans="1:24" ht="12.75" customHeight="1"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row>
    <row r="404" spans="1:24" ht="12.75" customHeight="1"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row>
    <row r="405" spans="1:24" ht="12.75" customHeight="1"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row>
    <row r="406" spans="1:24" ht="12.75" customHeight="1"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row>
    <row r="407" spans="1:24" ht="12.75" customHeight="1"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row>
    <row r="408" spans="1:24" ht="12.75" customHeight="1"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row>
    <row r="409" spans="1:24" ht="12.75" customHeight="1"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row>
    <row r="410" spans="1:24" ht="12.75" customHeight="1"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row>
    <row r="411" spans="1:24" ht="12.75" customHeight="1"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row>
    <row r="412" spans="1:24" ht="12.75" customHeight="1"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row>
    <row r="413" spans="1:24" ht="12.75" customHeight="1"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row>
    <row r="414" spans="1:24" ht="12.75" customHeight="1"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row>
    <row r="415" spans="1:24" ht="12.75" customHeight="1"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row>
    <row r="416" spans="1:24" ht="12.75" customHeight="1"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row>
    <row r="417" spans="1:24" ht="12.75" customHeight="1"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row>
    <row r="418" spans="1:24" ht="12.75" customHeight="1"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row>
    <row r="419" spans="1:24" ht="12.75" customHeight="1"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row>
    <row r="420" spans="1:24" ht="12.75" customHeight="1"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row>
    <row r="421" spans="1:24" ht="12.75" customHeight="1"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row>
    <row r="422" spans="1:24" ht="12.75" customHeight="1"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row>
    <row r="423" spans="1:24" ht="12.75" customHeight="1"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row>
    <row r="424" spans="1:24" ht="12.75" customHeight="1"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row>
    <row r="425" spans="1:24" ht="12.75" customHeight="1"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row>
    <row r="426" spans="1:24" ht="12.75" customHeight="1"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row>
    <row r="427" spans="1:24" ht="12.75" customHeight="1"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row>
    <row r="428" spans="1:24" ht="12.75" customHeight="1"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row>
    <row r="429" spans="1:24" ht="12.75" customHeight="1"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row>
    <row r="430" spans="1:24" ht="12.75" customHeight="1"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row>
    <row r="431" spans="1:24" ht="12.75" customHeight="1"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row>
    <row r="432" spans="1:24" ht="12.75" customHeight="1"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row>
    <row r="433" spans="1:24" ht="12.75" customHeight="1"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row>
    <row r="434" spans="1:24" ht="12.75" customHeight="1"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row>
    <row r="435" spans="1:24" ht="12.75" customHeight="1"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row>
    <row r="436" spans="1:24" ht="12.75" customHeight="1"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row>
    <row r="437" spans="1:24" ht="12.75" customHeight="1"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row>
    <row r="438" spans="1:24" ht="12.75" customHeight="1"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row>
    <row r="439" spans="1:24" ht="12.75" customHeight="1"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row>
    <row r="440" spans="1:24" ht="12.75" customHeight="1"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row>
    <row r="441" spans="1:24" ht="12.75" customHeight="1"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row>
    <row r="442" spans="1:24" ht="12.75" customHeight="1"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row>
    <row r="443" spans="1:24" ht="12.75" customHeight="1"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row>
    <row r="444" spans="1:24" ht="12.75" customHeight="1"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row>
    <row r="445" spans="1:24" ht="12.75" customHeight="1"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row>
    <row r="446" spans="1:24" ht="12.75" customHeight="1"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row>
    <row r="447" spans="1:24" ht="12.75" customHeight="1"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row>
    <row r="448" spans="1:24" ht="12.75" customHeight="1"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row>
    <row r="449" spans="1:24" ht="12.75" customHeight="1"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row>
    <row r="450" spans="1:24" ht="12.75" customHeight="1"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row>
    <row r="451" spans="1:24" ht="12.75" customHeight="1"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row>
    <row r="452" spans="1:24" ht="12.75" customHeight="1"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row>
    <row r="453" spans="1:24" ht="12.75" customHeight="1"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row>
    <row r="454" spans="1:24" ht="12.75" customHeight="1"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row>
    <row r="455" spans="1:24" ht="12.75" customHeight="1"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row>
    <row r="456" spans="1:24" ht="12.75" customHeight="1"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row>
    <row r="457" spans="1:24" ht="12.75" customHeight="1"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row>
    <row r="458" spans="1:24" ht="12.75" customHeight="1"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row>
    <row r="459" spans="1:24" ht="12.75" customHeight="1"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row>
    <row r="460" spans="1:24" ht="12.75" customHeight="1"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row>
    <row r="461" spans="1:24" ht="12.75" customHeight="1"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row>
    <row r="462" spans="1:24" ht="12.75" customHeight="1"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row>
    <row r="463" spans="1:24" ht="12.75" customHeight="1"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row>
    <row r="464" spans="1:24" ht="12.75" customHeight="1"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row>
    <row r="465" spans="1:24" ht="12.75" customHeight="1"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row>
    <row r="466" spans="1:24" ht="12.75" customHeight="1"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row>
    <row r="467" spans="1:24" ht="12.75" customHeight="1"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row>
    <row r="468" spans="1:24" ht="12.75" customHeight="1"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row>
    <row r="469" spans="1:24" ht="12.75" customHeight="1"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row>
    <row r="470" spans="1:24" ht="12.75" customHeight="1"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row>
    <row r="471" spans="1:24" ht="12.75" customHeight="1"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row>
    <row r="472" spans="1:24" ht="12.75" customHeight="1"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row>
    <row r="473" spans="1:24" ht="12.75" customHeight="1"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row>
    <row r="474" spans="1:24" ht="12.75" customHeight="1"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row>
    <row r="475" spans="1:24" ht="12.75" customHeight="1"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row>
    <row r="476" spans="1:24" ht="12.75" customHeight="1"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row>
    <row r="477" spans="1:24" ht="12.75" customHeight="1"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row>
    <row r="478" spans="1:24" ht="12.75" customHeight="1"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row>
    <row r="479" spans="1:24" ht="12.75" customHeight="1"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row>
    <row r="480" spans="1:24" ht="12.75" customHeight="1"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row>
    <row r="481" spans="1:24" ht="12.75" customHeight="1"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row>
    <row r="482" spans="1:24" ht="12.75" customHeight="1"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row>
    <row r="483" spans="1:24" ht="12.75" customHeight="1"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row>
    <row r="484" spans="1:24" ht="12.75" customHeight="1"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row>
    <row r="485" spans="1:24" ht="12.75" customHeight="1"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row>
    <row r="486" spans="1:24" ht="12.75" customHeight="1"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row>
    <row r="487" spans="1:24" ht="12.75" customHeight="1"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row>
    <row r="488" spans="1:24" ht="12.75" customHeight="1"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row>
    <row r="489" spans="1:24" ht="12.75" customHeight="1"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row>
    <row r="490" spans="1:24" ht="12.75" customHeight="1"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row>
    <row r="491" spans="1:24" ht="12.75" customHeight="1"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row>
    <row r="492" spans="1:24" ht="12.75" customHeight="1"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row>
    <row r="493" spans="1:24" ht="12.75" customHeight="1"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row>
    <row r="494" spans="1:24" ht="12.75" customHeight="1"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row>
    <row r="495" spans="1:24" ht="12.75" customHeight="1"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row>
    <row r="496" spans="1:24" ht="12.75" customHeight="1"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row>
    <row r="497" spans="1:24" ht="12.75" customHeight="1"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row>
    <row r="498" spans="1:24" ht="12.75" customHeight="1"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row>
    <row r="499" spans="1:24" ht="12.75" customHeight="1"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row>
    <row r="500" spans="1:24" ht="12.75" customHeight="1"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row>
    <row r="501" spans="1:24" ht="12.75" customHeight="1"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row>
    <row r="502" spans="1:24" ht="12.75" customHeight="1"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row>
    <row r="503" spans="1:24" ht="12.75" customHeight="1"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row>
    <row r="504" spans="1:24" ht="12.75" customHeight="1"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row>
    <row r="505" spans="1:24" ht="12.75" customHeight="1"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row>
    <row r="506" spans="1:24" ht="12.75" customHeight="1"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row>
    <row r="507" spans="1:24" ht="12.75" customHeight="1"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row>
    <row r="508" spans="1:24" ht="12.75" customHeight="1"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row>
    <row r="509" spans="1:24" ht="12.75" customHeight="1"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row>
    <row r="510" spans="1:24" ht="12.75" customHeight="1"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row>
    <row r="511" spans="1:24" ht="12.75" customHeight="1"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row>
    <row r="512" spans="1:24" ht="12.75" customHeight="1"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row>
    <row r="513" spans="1:24" ht="12.75" customHeight="1"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row>
    <row r="514" spans="1:24" ht="12.75" customHeight="1"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row>
    <row r="515" spans="1:24" ht="12.75" customHeight="1"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row>
    <row r="516" spans="1:24" ht="12.75" customHeight="1"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row>
    <row r="517" spans="1:24" ht="12.75" customHeight="1"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row>
    <row r="518" spans="1:24" ht="12.75" customHeight="1"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row>
    <row r="519" spans="1:24" ht="12.75" customHeight="1"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row>
    <row r="520" spans="1:24" ht="12.75" customHeight="1"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row>
    <row r="521" spans="1:24" ht="12.75" customHeight="1"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row>
    <row r="522" spans="1:24" ht="12.75" customHeight="1"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row>
    <row r="523" spans="1:24" ht="12.75" customHeight="1"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row>
    <row r="524" spans="1:24" ht="12.75" customHeight="1"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row>
    <row r="525" spans="1:24" ht="12.75" customHeight="1"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row>
    <row r="526" spans="1:24" ht="12.75" customHeight="1"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row>
    <row r="527" spans="1:24" ht="12.75" customHeight="1"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row>
    <row r="528" spans="1:24" ht="12.75" customHeight="1"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row>
    <row r="529" spans="1:24" ht="12.75" customHeight="1"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row>
    <row r="530" spans="1:24" ht="12.75" customHeight="1"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row>
    <row r="531" spans="1:24" ht="12.75" customHeight="1"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row>
    <row r="532" spans="1:24" ht="12.75" customHeight="1"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row>
    <row r="533" spans="1:24" ht="12.75" customHeight="1"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row>
    <row r="534" spans="1:24" ht="12.75" customHeight="1"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row>
    <row r="535" spans="1:24" ht="12.75" customHeight="1"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row>
    <row r="536" spans="1:24" ht="12.75" customHeight="1"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row>
    <row r="537" spans="1:24" ht="12.75" customHeight="1"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row>
    <row r="538" spans="1:24" ht="12.75" customHeight="1"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row>
    <row r="539" spans="1:24" ht="12.75" customHeight="1"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row>
    <row r="540" spans="1:24" ht="12.75" customHeight="1" x14ac:dyDescent="0.2">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row>
    <row r="541" spans="1:24" ht="12.75" customHeight="1" x14ac:dyDescent="0.2">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row>
    <row r="542" spans="1:24" ht="12.75" customHeight="1" x14ac:dyDescent="0.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row>
    <row r="543" spans="1:24" ht="12.75" customHeight="1" x14ac:dyDescent="0.2">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row>
    <row r="544" spans="1:24" ht="12.75" customHeight="1" x14ac:dyDescent="0.2">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row>
    <row r="545" spans="1:24" ht="12.75" customHeight="1" x14ac:dyDescent="0.2">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row>
    <row r="546" spans="1:24" ht="12.75" customHeight="1" x14ac:dyDescent="0.2">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row>
    <row r="547" spans="1:24" ht="12.75" customHeight="1" x14ac:dyDescent="0.2">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row>
    <row r="548" spans="1:24" ht="12.75" customHeight="1" x14ac:dyDescent="0.2">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row>
    <row r="549" spans="1:24" ht="12.75" customHeight="1" x14ac:dyDescent="0.2">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row>
    <row r="550" spans="1:24" ht="12.75" customHeight="1" x14ac:dyDescent="0.2">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row>
    <row r="551" spans="1:24" ht="12.75" customHeight="1" x14ac:dyDescent="0.2">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row>
    <row r="552" spans="1:24" ht="12.75" customHeight="1" x14ac:dyDescent="0.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row>
    <row r="553" spans="1:24" ht="12.75" customHeight="1" x14ac:dyDescent="0.2">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row>
    <row r="554" spans="1:24" ht="12.75" customHeight="1" x14ac:dyDescent="0.2">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row>
    <row r="555" spans="1:24" ht="12.75" customHeight="1" x14ac:dyDescent="0.2">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row>
    <row r="556" spans="1:24" ht="12.75" customHeight="1" x14ac:dyDescent="0.2">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row>
    <row r="557" spans="1:24" ht="12.75" customHeight="1" x14ac:dyDescent="0.2">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row>
    <row r="558" spans="1:24" ht="12.75" customHeight="1" x14ac:dyDescent="0.2">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row>
    <row r="559" spans="1:24" ht="12.75" customHeight="1" x14ac:dyDescent="0.2">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row>
    <row r="560" spans="1:24" ht="12.75" customHeight="1" x14ac:dyDescent="0.2">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row>
    <row r="561" spans="1:24" ht="12.75" customHeight="1" x14ac:dyDescent="0.2">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row>
    <row r="562" spans="1:24" ht="12.75" customHeight="1" x14ac:dyDescent="0.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row>
    <row r="563" spans="1:24" ht="12.75" customHeight="1" x14ac:dyDescent="0.2">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row>
    <row r="564" spans="1:24" ht="12.75" customHeight="1" x14ac:dyDescent="0.2">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row>
    <row r="565" spans="1:24" ht="12.75" customHeight="1" x14ac:dyDescent="0.2">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row>
    <row r="566" spans="1:24" ht="12.75" customHeight="1" x14ac:dyDescent="0.2">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row>
    <row r="567" spans="1:24" ht="12.75" customHeight="1" x14ac:dyDescent="0.2">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row>
    <row r="568" spans="1:24" ht="12.75" customHeight="1" x14ac:dyDescent="0.2">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row>
    <row r="569" spans="1:24" ht="12.75" customHeight="1" x14ac:dyDescent="0.2">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row>
    <row r="570" spans="1:24" ht="12.75" customHeight="1" x14ac:dyDescent="0.2">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row>
    <row r="571" spans="1:24" ht="12.75" customHeight="1" x14ac:dyDescent="0.2">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row>
    <row r="572" spans="1:24" ht="12.75" customHeight="1" x14ac:dyDescent="0.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row>
    <row r="573" spans="1:24" ht="12.75" customHeight="1" x14ac:dyDescent="0.2">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row>
    <row r="574" spans="1:24" ht="12.75" customHeight="1" x14ac:dyDescent="0.2">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row>
    <row r="575" spans="1:24" ht="12.75" customHeight="1" x14ac:dyDescent="0.2">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row>
    <row r="576" spans="1:24" ht="12.75" customHeight="1" x14ac:dyDescent="0.2">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row>
    <row r="577" spans="1:24" ht="12.75" customHeight="1" x14ac:dyDescent="0.2">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row>
    <row r="578" spans="1:24" ht="12.75" customHeight="1" x14ac:dyDescent="0.2">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row>
    <row r="579" spans="1:24" ht="12.75" customHeight="1" x14ac:dyDescent="0.2">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row>
    <row r="580" spans="1:24" ht="12.75" customHeight="1" x14ac:dyDescent="0.2">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row>
    <row r="581" spans="1:24" ht="12.75" customHeight="1" x14ac:dyDescent="0.2">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row>
    <row r="582" spans="1:24" ht="12.75" customHeight="1" x14ac:dyDescent="0.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row>
    <row r="583" spans="1:24" ht="12.75" customHeight="1" x14ac:dyDescent="0.2">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row>
    <row r="584" spans="1:24" ht="12.75" customHeight="1" x14ac:dyDescent="0.2">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row>
    <row r="585" spans="1:24" ht="12.75" customHeight="1" x14ac:dyDescent="0.2">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row>
    <row r="586" spans="1:24" ht="12.75" customHeight="1" x14ac:dyDescent="0.2">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row>
    <row r="587" spans="1:24" ht="12.75" customHeight="1" x14ac:dyDescent="0.2">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row>
    <row r="588" spans="1:24" ht="12.75" customHeight="1" x14ac:dyDescent="0.2">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row>
    <row r="589" spans="1:24" ht="12.75" customHeight="1" x14ac:dyDescent="0.2">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row>
    <row r="590" spans="1:24" ht="12.75" customHeight="1" x14ac:dyDescent="0.2">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row>
    <row r="591" spans="1:24" ht="12.75" customHeight="1" x14ac:dyDescent="0.2">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row>
    <row r="592" spans="1:24" ht="12.75" customHeight="1" x14ac:dyDescent="0.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row>
    <row r="593" spans="1:24" ht="12.75" customHeight="1" x14ac:dyDescent="0.2">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row>
    <row r="594" spans="1:24" ht="12.75" customHeight="1" x14ac:dyDescent="0.2">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row>
    <row r="595" spans="1:24" ht="12.75" customHeight="1" x14ac:dyDescent="0.2">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row>
    <row r="596" spans="1:24" ht="12.75" customHeight="1" x14ac:dyDescent="0.2">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row>
    <row r="597" spans="1:24" ht="12.75" customHeight="1" x14ac:dyDescent="0.2">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row>
    <row r="598" spans="1:24" ht="12.75" customHeight="1" x14ac:dyDescent="0.2">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row>
    <row r="599" spans="1:24" ht="12.75" customHeight="1" x14ac:dyDescent="0.2">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row>
    <row r="600" spans="1:24" ht="12.75" customHeight="1" x14ac:dyDescent="0.2">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row>
    <row r="601" spans="1:24" ht="12.75" customHeight="1" x14ac:dyDescent="0.2">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row>
    <row r="602" spans="1:24" ht="12.75" customHeight="1" x14ac:dyDescent="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row>
    <row r="603" spans="1:24" ht="12.75" customHeight="1"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row>
    <row r="604" spans="1:24" ht="12.75" customHeight="1"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row>
    <row r="605" spans="1:24" ht="12.75" customHeight="1"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row>
    <row r="606" spans="1:24" ht="12.75" customHeight="1"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row>
    <row r="607" spans="1:24" ht="12.75" customHeight="1"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row>
    <row r="608" spans="1:24" ht="12.75" customHeight="1"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row>
    <row r="609" spans="1:24" ht="12.75" customHeight="1"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row>
    <row r="610" spans="1:24" ht="12.75" customHeight="1"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row>
    <row r="611" spans="1:24" ht="12.75" customHeight="1"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row>
    <row r="612" spans="1:24" ht="12.75" customHeight="1"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row>
    <row r="613" spans="1:24" ht="12.75" customHeight="1"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row>
    <row r="614" spans="1:24" ht="12.75" customHeight="1"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row>
    <row r="615" spans="1:24" ht="12.75" customHeight="1"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row>
    <row r="616" spans="1:24" ht="12.75" customHeight="1"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row>
    <row r="617" spans="1:24" ht="12.75" customHeight="1"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row>
    <row r="618" spans="1:24" ht="12.75" customHeight="1"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row>
    <row r="619" spans="1:24" ht="12.75" customHeight="1"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row>
    <row r="620" spans="1:24" ht="12.75" customHeight="1" x14ac:dyDescent="0.2">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row>
    <row r="621" spans="1:24" ht="12.75" customHeight="1"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row>
    <row r="622" spans="1:24" ht="12.75" customHeight="1" x14ac:dyDescent="0.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row>
    <row r="623" spans="1:24" ht="12.75" customHeight="1" x14ac:dyDescent="0.2">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row>
    <row r="624" spans="1:24" ht="12.75" customHeight="1" x14ac:dyDescent="0.2">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row>
    <row r="625" spans="1:24" ht="12.75" customHeight="1" x14ac:dyDescent="0.2">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row>
    <row r="626" spans="1:24" ht="12.75" customHeight="1" x14ac:dyDescent="0.2">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row>
    <row r="627" spans="1:24" ht="12.75" customHeight="1" x14ac:dyDescent="0.2">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row>
    <row r="628" spans="1:24" ht="12.75" customHeight="1" x14ac:dyDescent="0.2">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row>
    <row r="629" spans="1:24" ht="12.75" customHeight="1" x14ac:dyDescent="0.2">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row>
    <row r="630" spans="1:24" ht="12.75" customHeight="1" x14ac:dyDescent="0.2">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row>
    <row r="631" spans="1:24" ht="12.75" customHeight="1" x14ac:dyDescent="0.2">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row>
    <row r="632" spans="1:24" ht="12.75" customHeight="1" x14ac:dyDescent="0.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row>
    <row r="633" spans="1:24" ht="12.75" customHeight="1" x14ac:dyDescent="0.2">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row>
    <row r="634" spans="1:24" ht="12.75" customHeight="1" x14ac:dyDescent="0.2">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row>
    <row r="635" spans="1:24" ht="12.75" customHeight="1" x14ac:dyDescent="0.2">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row>
    <row r="636" spans="1:24" ht="12.75" customHeight="1" x14ac:dyDescent="0.2">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row>
    <row r="637" spans="1:24" ht="12.75" customHeight="1" x14ac:dyDescent="0.2">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row>
    <row r="638" spans="1:24" ht="12.75" customHeight="1" x14ac:dyDescent="0.2">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row>
    <row r="639" spans="1:24" ht="12.75" customHeight="1" x14ac:dyDescent="0.2">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row>
    <row r="640" spans="1:24" ht="12.75" customHeight="1" x14ac:dyDescent="0.2">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row>
    <row r="641" spans="1:24" ht="12.75" customHeight="1" x14ac:dyDescent="0.2">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row>
    <row r="642" spans="1:24" ht="12.75" customHeight="1" x14ac:dyDescent="0.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row>
    <row r="643" spans="1:24" ht="12.75" customHeight="1" x14ac:dyDescent="0.2">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row>
    <row r="644" spans="1:24" ht="12.75" customHeight="1" x14ac:dyDescent="0.2">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row>
    <row r="645" spans="1:24" ht="12.75" customHeight="1" x14ac:dyDescent="0.2">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row>
    <row r="646" spans="1:24" ht="12.75" customHeight="1" x14ac:dyDescent="0.2">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row>
    <row r="647" spans="1:24" ht="12.75" customHeight="1" x14ac:dyDescent="0.2">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row>
    <row r="648" spans="1:24" ht="12.75" customHeight="1" x14ac:dyDescent="0.2">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row>
    <row r="649" spans="1:24" ht="12.75" customHeight="1" x14ac:dyDescent="0.2">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row>
    <row r="650" spans="1:24" ht="12.75" customHeight="1" x14ac:dyDescent="0.2">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row>
    <row r="651" spans="1:24" ht="12.75" customHeight="1" x14ac:dyDescent="0.2">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row>
    <row r="652" spans="1:24" ht="12.75" customHeight="1" x14ac:dyDescent="0.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row>
    <row r="653" spans="1:24" ht="12.75" customHeight="1" x14ac:dyDescent="0.2">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row>
    <row r="654" spans="1:24" ht="12.75" customHeight="1" x14ac:dyDescent="0.2">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row>
    <row r="655" spans="1:24" ht="12.75" customHeight="1" x14ac:dyDescent="0.2">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row>
    <row r="656" spans="1:24" ht="12.75" customHeight="1" x14ac:dyDescent="0.2">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row>
    <row r="657" spans="1:24" ht="12.75" customHeight="1" x14ac:dyDescent="0.2">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row>
    <row r="658" spans="1:24" ht="12.75" customHeight="1" x14ac:dyDescent="0.2">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row>
    <row r="659" spans="1:24" ht="12.75" customHeight="1" x14ac:dyDescent="0.2">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row>
    <row r="660" spans="1:24" ht="12.75" customHeight="1" x14ac:dyDescent="0.2">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row>
    <row r="661" spans="1:24" ht="12.75" customHeight="1" x14ac:dyDescent="0.2">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row>
    <row r="662" spans="1:24" ht="12.75" customHeight="1" x14ac:dyDescent="0.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row>
    <row r="663" spans="1:24" ht="12.75" customHeight="1" x14ac:dyDescent="0.2">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row>
    <row r="664" spans="1:24" ht="12.75" customHeight="1" x14ac:dyDescent="0.2">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row>
    <row r="665" spans="1:24" ht="12.75" customHeight="1" x14ac:dyDescent="0.2">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row>
    <row r="666" spans="1:24" ht="12.75" customHeight="1" x14ac:dyDescent="0.2">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row>
    <row r="667" spans="1:24" ht="12.75" customHeight="1" x14ac:dyDescent="0.2">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row>
    <row r="668" spans="1:24" ht="12.75" customHeight="1" x14ac:dyDescent="0.2">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row>
    <row r="669" spans="1:24" ht="12.75" customHeight="1" x14ac:dyDescent="0.2">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row>
    <row r="670" spans="1:24" ht="12.75" customHeight="1" x14ac:dyDescent="0.2">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row>
    <row r="671" spans="1:24" ht="12.75" customHeight="1" x14ac:dyDescent="0.2">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row>
    <row r="672" spans="1:24" ht="12.75" customHeight="1" x14ac:dyDescent="0.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row>
    <row r="673" spans="1:24" ht="12.75" customHeight="1" x14ac:dyDescent="0.2">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row>
    <row r="674" spans="1:24" ht="12.75" customHeight="1" x14ac:dyDescent="0.2">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row>
    <row r="675" spans="1:24" ht="12.75" customHeight="1" x14ac:dyDescent="0.2">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row>
    <row r="676" spans="1:24" ht="12.75" customHeight="1" x14ac:dyDescent="0.2">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row>
    <row r="677" spans="1:24" ht="12.75" customHeight="1" x14ac:dyDescent="0.2">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row>
    <row r="678" spans="1:24" ht="12.75" customHeight="1" x14ac:dyDescent="0.2">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row>
    <row r="679" spans="1:24" ht="12.75" customHeight="1" x14ac:dyDescent="0.2">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row>
    <row r="680" spans="1:24" ht="12.75" customHeight="1" x14ac:dyDescent="0.2">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row>
    <row r="681" spans="1:24" ht="12.75" customHeight="1" x14ac:dyDescent="0.2">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row>
    <row r="682" spans="1:24" ht="12.75" customHeight="1" x14ac:dyDescent="0.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row>
    <row r="683" spans="1:24" ht="12.75" customHeight="1"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row>
    <row r="684" spans="1:24" ht="12.75" customHeight="1" x14ac:dyDescent="0.2">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row>
    <row r="685" spans="1:24" ht="12.75" customHeight="1" x14ac:dyDescent="0.2">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row>
    <row r="686" spans="1:24" ht="12.75" customHeight="1" x14ac:dyDescent="0.2">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row>
    <row r="687" spans="1:24" ht="12.75" customHeight="1" x14ac:dyDescent="0.2">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row>
    <row r="688" spans="1:24" ht="12.75" customHeight="1" x14ac:dyDescent="0.2">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row>
    <row r="689" spans="1:24" ht="12.75" customHeight="1" x14ac:dyDescent="0.2">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row>
    <row r="690" spans="1:24" ht="12.75" customHeight="1" x14ac:dyDescent="0.2">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row>
    <row r="691" spans="1:24" ht="12.75" customHeight="1" x14ac:dyDescent="0.2">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row>
    <row r="692" spans="1:24" ht="12.75" customHeight="1" x14ac:dyDescent="0.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row>
    <row r="693" spans="1:24" ht="12.75" customHeight="1" x14ac:dyDescent="0.2">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row>
    <row r="694" spans="1:24" ht="12.75" customHeight="1" x14ac:dyDescent="0.2">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row>
    <row r="695" spans="1:24" ht="12.75" customHeight="1" x14ac:dyDescent="0.2">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row>
    <row r="696" spans="1:24" ht="12.75" customHeight="1" x14ac:dyDescent="0.2">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row>
    <row r="697" spans="1:24" ht="12.75" customHeight="1" x14ac:dyDescent="0.2">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row>
    <row r="698" spans="1:24" ht="12.75" customHeight="1" x14ac:dyDescent="0.2">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row>
    <row r="699" spans="1:24" ht="12.75" customHeight="1" x14ac:dyDescent="0.2">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row>
    <row r="700" spans="1:24" ht="12.75" customHeight="1" x14ac:dyDescent="0.2">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row>
    <row r="701" spans="1:24" ht="12.75" customHeight="1" x14ac:dyDescent="0.2">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row>
    <row r="702" spans="1:24" ht="12.75" customHeight="1" x14ac:dyDescent="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row>
    <row r="703" spans="1:24" ht="12.75" customHeight="1" x14ac:dyDescent="0.2">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row>
    <row r="704" spans="1:24" ht="12.75" customHeight="1" x14ac:dyDescent="0.2">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row>
    <row r="705" spans="1:24" ht="12.75" customHeight="1" x14ac:dyDescent="0.2">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row>
    <row r="706" spans="1:24" ht="12.75" customHeight="1" x14ac:dyDescent="0.2">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row>
    <row r="707" spans="1:24" ht="12.75" customHeight="1" x14ac:dyDescent="0.2">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row>
    <row r="708" spans="1:24" ht="12.75" customHeight="1" x14ac:dyDescent="0.2">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row>
    <row r="709" spans="1:24" ht="12.75" customHeight="1" x14ac:dyDescent="0.2">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row>
    <row r="710" spans="1:24" ht="12.75" customHeight="1" x14ac:dyDescent="0.2">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row>
    <row r="711" spans="1:24" ht="12.75" customHeight="1" x14ac:dyDescent="0.2">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row>
    <row r="712" spans="1:24" ht="12.75" customHeight="1" x14ac:dyDescent="0.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row>
    <row r="713" spans="1:24" ht="12.75" customHeight="1" x14ac:dyDescent="0.2">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row>
    <row r="714" spans="1:24" ht="12.75" customHeight="1" x14ac:dyDescent="0.2">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row>
    <row r="715" spans="1:24" ht="12.75" customHeight="1" x14ac:dyDescent="0.2">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row>
    <row r="716" spans="1:24" ht="12.75" customHeight="1" x14ac:dyDescent="0.2">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row>
    <row r="717" spans="1:24" ht="12.75" customHeight="1" x14ac:dyDescent="0.2">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row>
    <row r="718" spans="1:24" ht="12.75" customHeight="1" x14ac:dyDescent="0.2">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row>
    <row r="719" spans="1:24" ht="12.75" customHeight="1" x14ac:dyDescent="0.2">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row>
    <row r="720" spans="1:24" ht="12.75" customHeight="1" x14ac:dyDescent="0.2">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row>
    <row r="721" spans="1:24" ht="12.75" customHeight="1" x14ac:dyDescent="0.2">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row>
    <row r="722" spans="1:24" ht="12.75" customHeight="1" x14ac:dyDescent="0.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row>
    <row r="723" spans="1:24" ht="12.75" customHeight="1" x14ac:dyDescent="0.2">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row>
    <row r="724" spans="1:24" ht="12.75" customHeight="1" x14ac:dyDescent="0.2">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row>
    <row r="725" spans="1:24" ht="12.75" customHeight="1" x14ac:dyDescent="0.2">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row>
    <row r="726" spans="1:24" ht="12.75" customHeight="1" x14ac:dyDescent="0.2">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row>
    <row r="727" spans="1:24" ht="12.75" customHeight="1" x14ac:dyDescent="0.2">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row>
    <row r="728" spans="1:24" ht="12.75" customHeight="1" x14ac:dyDescent="0.2">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row>
    <row r="729" spans="1:24" ht="12.75" customHeight="1" x14ac:dyDescent="0.2">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row>
    <row r="730" spans="1:24" ht="12.75" customHeight="1" x14ac:dyDescent="0.2">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row>
    <row r="731" spans="1:24" ht="12.75" customHeight="1" x14ac:dyDescent="0.2">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row>
    <row r="732" spans="1:24" ht="12.75" customHeight="1" x14ac:dyDescent="0.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row>
    <row r="733" spans="1:24" ht="12.75" customHeight="1" x14ac:dyDescent="0.2">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row>
    <row r="734" spans="1:24" ht="12.75" customHeight="1" x14ac:dyDescent="0.2">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row>
    <row r="735" spans="1:24" ht="12.75" customHeight="1" x14ac:dyDescent="0.2">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row>
    <row r="736" spans="1:24" ht="12.75" customHeight="1" x14ac:dyDescent="0.2">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row>
    <row r="737" spans="1:24" ht="12.75" customHeight="1" x14ac:dyDescent="0.2">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row>
    <row r="738" spans="1:24" ht="12.75" customHeight="1" x14ac:dyDescent="0.2">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row>
    <row r="739" spans="1:24" ht="12.75" customHeight="1" x14ac:dyDescent="0.2">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row>
    <row r="740" spans="1:24" ht="12.75" customHeight="1" x14ac:dyDescent="0.2">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row>
    <row r="741" spans="1:24" ht="12.75" customHeight="1" x14ac:dyDescent="0.2">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row>
    <row r="742" spans="1:24" ht="12.75" customHeight="1" x14ac:dyDescent="0.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row>
    <row r="743" spans="1:24" ht="12.75" customHeight="1" x14ac:dyDescent="0.2">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row>
    <row r="744" spans="1:24" ht="12.75" customHeight="1" x14ac:dyDescent="0.2">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row>
    <row r="745" spans="1:24" ht="12.75" customHeight="1" x14ac:dyDescent="0.2">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row>
    <row r="746" spans="1:24" ht="12.75" customHeight="1" x14ac:dyDescent="0.2">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row>
    <row r="747" spans="1:24" ht="12.75" customHeight="1" x14ac:dyDescent="0.2">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row>
    <row r="748" spans="1:24" ht="12.75" customHeight="1" x14ac:dyDescent="0.2">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row>
    <row r="749" spans="1:24" ht="12.75" customHeight="1" x14ac:dyDescent="0.2">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row>
    <row r="750" spans="1:24" ht="12.75" customHeight="1" x14ac:dyDescent="0.2">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row>
    <row r="751" spans="1:24" ht="12.75" customHeight="1" x14ac:dyDescent="0.2">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row>
    <row r="752" spans="1:24" ht="12.75" customHeight="1" x14ac:dyDescent="0.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row>
    <row r="753" spans="1:24" ht="12.75" customHeight="1" x14ac:dyDescent="0.2">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row>
    <row r="754" spans="1:24" ht="12.75" customHeight="1" x14ac:dyDescent="0.2">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row>
    <row r="755" spans="1:24" ht="12.75" customHeight="1" x14ac:dyDescent="0.2">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row>
    <row r="756" spans="1:24" ht="12.75" customHeight="1" x14ac:dyDescent="0.2">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row>
    <row r="757" spans="1:24" ht="12.75" customHeight="1" x14ac:dyDescent="0.2">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row>
    <row r="758" spans="1:24" ht="12.75" customHeight="1" x14ac:dyDescent="0.2">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row>
    <row r="759" spans="1:24" ht="12.75" customHeight="1" x14ac:dyDescent="0.2">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row>
    <row r="760" spans="1:24" ht="12.75" customHeight="1" x14ac:dyDescent="0.2">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row>
    <row r="761" spans="1:24" ht="12.75" customHeight="1" x14ac:dyDescent="0.2">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row>
    <row r="762" spans="1:24" ht="12.75" customHeight="1" x14ac:dyDescent="0.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row>
    <row r="763" spans="1:24" ht="12.75" customHeight="1" x14ac:dyDescent="0.2">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row>
    <row r="764" spans="1:24" ht="12.75" customHeight="1" x14ac:dyDescent="0.2">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row>
    <row r="765" spans="1:24" ht="12.75" customHeight="1" x14ac:dyDescent="0.2">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row>
    <row r="766" spans="1:24" ht="12.75" customHeight="1" x14ac:dyDescent="0.2">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row>
    <row r="767" spans="1:24" ht="12.75" customHeight="1" x14ac:dyDescent="0.2">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row>
    <row r="768" spans="1:24" ht="12.75" customHeight="1" x14ac:dyDescent="0.2">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row>
    <row r="769" spans="1:24" ht="12.75" customHeight="1" x14ac:dyDescent="0.2">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row>
    <row r="770" spans="1:24" ht="12.75" customHeight="1" x14ac:dyDescent="0.2">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row>
    <row r="771" spans="1:24" ht="12.75" customHeight="1" x14ac:dyDescent="0.2">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row>
    <row r="772" spans="1:24" ht="12.75" customHeight="1" x14ac:dyDescent="0.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row>
    <row r="773" spans="1:24" ht="12.75" customHeight="1" x14ac:dyDescent="0.2">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row>
    <row r="774" spans="1:24" ht="12.75" customHeight="1" x14ac:dyDescent="0.2">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row>
    <row r="775" spans="1:24" ht="12.75" customHeight="1" x14ac:dyDescent="0.2">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row>
    <row r="776" spans="1:24" ht="12.75" customHeight="1" x14ac:dyDescent="0.2">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row>
    <row r="777" spans="1:24" ht="12.75" customHeight="1" x14ac:dyDescent="0.2">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row>
    <row r="778" spans="1:24" ht="12.75" customHeight="1" x14ac:dyDescent="0.2">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row>
    <row r="779" spans="1:24" ht="12.75" customHeight="1" x14ac:dyDescent="0.2">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row>
    <row r="780" spans="1:24" ht="12.75" customHeight="1" x14ac:dyDescent="0.2">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row>
    <row r="781" spans="1:24" ht="12.75" customHeight="1" x14ac:dyDescent="0.2">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row>
    <row r="782" spans="1:24" ht="12.75" customHeight="1" x14ac:dyDescent="0.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row>
    <row r="783" spans="1:24" ht="12.75" customHeight="1" x14ac:dyDescent="0.2">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row>
    <row r="784" spans="1:24" ht="12.75" customHeight="1" x14ac:dyDescent="0.2">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row>
    <row r="785" spans="1:24" ht="12.75" customHeight="1" x14ac:dyDescent="0.2">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row>
    <row r="786" spans="1:24" ht="12.75" customHeight="1" x14ac:dyDescent="0.2">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row>
    <row r="787" spans="1:24" ht="12.75" customHeight="1" x14ac:dyDescent="0.2">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row>
    <row r="788" spans="1:24" ht="12.75" customHeight="1" x14ac:dyDescent="0.2">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row>
    <row r="789" spans="1:24" ht="12.75" customHeight="1" x14ac:dyDescent="0.2">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row>
    <row r="790" spans="1:24" ht="12.75" customHeight="1" x14ac:dyDescent="0.2">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row>
    <row r="791" spans="1:24" ht="12.75" customHeight="1" x14ac:dyDescent="0.2">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row>
    <row r="792" spans="1:24" ht="12.75" customHeight="1" x14ac:dyDescent="0.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row>
    <row r="793" spans="1:24" ht="12.75" customHeight="1" x14ac:dyDescent="0.2">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row>
    <row r="794" spans="1:24" ht="12.75" customHeight="1" x14ac:dyDescent="0.2">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row>
    <row r="795" spans="1:24" ht="12.75" customHeight="1" x14ac:dyDescent="0.2">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row>
    <row r="796" spans="1:24" ht="12.75" customHeight="1" x14ac:dyDescent="0.2">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row>
    <row r="797" spans="1:24" ht="12.75" customHeight="1" x14ac:dyDescent="0.2">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row>
    <row r="798" spans="1:24" ht="12.75" customHeight="1" x14ac:dyDescent="0.2">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row>
    <row r="799" spans="1:24" ht="12.75" customHeight="1" x14ac:dyDescent="0.2">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row>
    <row r="800" spans="1:24" ht="12.75" customHeight="1" x14ac:dyDescent="0.2">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row>
    <row r="801" spans="1:24" ht="12.75" customHeight="1" x14ac:dyDescent="0.2">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row>
    <row r="802" spans="1:24" ht="12.75" customHeight="1" x14ac:dyDescent="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row>
    <row r="803" spans="1:24" ht="12.75" customHeight="1" x14ac:dyDescent="0.2">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row>
    <row r="804" spans="1:24" ht="12.75" customHeight="1" x14ac:dyDescent="0.2">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row>
    <row r="805" spans="1:24" ht="12.75" customHeight="1" x14ac:dyDescent="0.2">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row>
    <row r="806" spans="1:24" ht="12.75" customHeight="1" x14ac:dyDescent="0.2">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row>
    <row r="807" spans="1:24" ht="12.75" customHeight="1" x14ac:dyDescent="0.2">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row>
    <row r="808" spans="1:24" ht="12.75" customHeight="1" x14ac:dyDescent="0.2">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row>
    <row r="809" spans="1:24" ht="12.75" customHeight="1" x14ac:dyDescent="0.2">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row>
    <row r="810" spans="1:24" ht="12.75" customHeight="1" x14ac:dyDescent="0.2">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row>
    <row r="811" spans="1:24" ht="12.75" customHeight="1" x14ac:dyDescent="0.2">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row>
    <row r="812" spans="1:24" ht="12.75" customHeight="1" x14ac:dyDescent="0.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row>
    <row r="813" spans="1:24" ht="12.75" customHeight="1" x14ac:dyDescent="0.2">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row>
    <row r="814" spans="1:24" ht="12.75" customHeight="1" x14ac:dyDescent="0.2">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row>
    <row r="815" spans="1:24" ht="12.75" customHeight="1" x14ac:dyDescent="0.2">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row>
    <row r="816" spans="1:24" ht="12.75" customHeight="1" x14ac:dyDescent="0.2">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row>
    <row r="817" spans="1:24" ht="12.75" customHeight="1" x14ac:dyDescent="0.2">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row>
    <row r="818" spans="1:24" ht="12.75" customHeight="1" x14ac:dyDescent="0.2">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row>
    <row r="819" spans="1:24" ht="12.75" customHeight="1" x14ac:dyDescent="0.2">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row>
    <row r="820" spans="1:24" ht="12.75" customHeight="1" x14ac:dyDescent="0.2">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row>
    <row r="821" spans="1:24" ht="12.75" customHeight="1" x14ac:dyDescent="0.2">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row>
    <row r="822" spans="1:24" ht="12.75" customHeight="1" x14ac:dyDescent="0.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row>
    <row r="823" spans="1:24" ht="12.75" customHeight="1" x14ac:dyDescent="0.2">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row>
    <row r="824" spans="1:24" ht="12.75" customHeight="1" x14ac:dyDescent="0.2">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row>
    <row r="825" spans="1:24" ht="12.75" customHeight="1" x14ac:dyDescent="0.2">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row>
    <row r="826" spans="1:24" ht="12.75" customHeight="1" x14ac:dyDescent="0.2">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row>
    <row r="827" spans="1:24" ht="12.75" customHeight="1" x14ac:dyDescent="0.2">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row>
    <row r="828" spans="1:24" ht="12.75" customHeight="1" x14ac:dyDescent="0.2">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row>
    <row r="829" spans="1:24" ht="12.75" customHeight="1" x14ac:dyDescent="0.2">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row>
    <row r="830" spans="1:24" ht="12.75" customHeight="1" x14ac:dyDescent="0.2">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row>
    <row r="831" spans="1:24" ht="12.75" customHeight="1" x14ac:dyDescent="0.2">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row>
    <row r="832" spans="1:24" ht="12.75" customHeight="1" x14ac:dyDescent="0.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row>
    <row r="833" spans="1:24" ht="12.75" customHeight="1" x14ac:dyDescent="0.2">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row>
    <row r="834" spans="1:24" ht="12.75" customHeight="1" x14ac:dyDescent="0.2">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row>
    <row r="835" spans="1:24" ht="12.75" customHeight="1" x14ac:dyDescent="0.2">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row>
    <row r="836" spans="1:24" ht="12.75" customHeight="1" x14ac:dyDescent="0.2">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row>
    <row r="837" spans="1:24" ht="12.75" customHeight="1" x14ac:dyDescent="0.2">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row>
    <row r="838" spans="1:24" ht="12.75" customHeight="1" x14ac:dyDescent="0.2">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row>
    <row r="839" spans="1:24" ht="12.75" customHeight="1" x14ac:dyDescent="0.2">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row>
    <row r="840" spans="1:24" ht="12.75" customHeight="1" x14ac:dyDescent="0.2">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row>
    <row r="841" spans="1:24" ht="12.75" customHeight="1" x14ac:dyDescent="0.2">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row>
    <row r="842" spans="1:24" ht="12.75" customHeight="1" x14ac:dyDescent="0.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row>
    <row r="843" spans="1:24" ht="12.75" customHeight="1" x14ac:dyDescent="0.2">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row>
    <row r="844" spans="1:24" ht="12.75" customHeight="1" x14ac:dyDescent="0.2">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row>
    <row r="845" spans="1:24" ht="12.75" customHeight="1" x14ac:dyDescent="0.2">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row>
    <row r="846" spans="1:24" ht="12.75" customHeight="1" x14ac:dyDescent="0.2">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row>
    <row r="847" spans="1:24" ht="12.75" customHeight="1" x14ac:dyDescent="0.2">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row>
    <row r="848" spans="1:24" ht="12.75" customHeight="1" x14ac:dyDescent="0.2">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row>
    <row r="849" spans="1:24" ht="12.75" customHeight="1" x14ac:dyDescent="0.2">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row>
    <row r="850" spans="1:24" ht="12.75" customHeight="1" x14ac:dyDescent="0.2">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row>
    <row r="851" spans="1:24" ht="12.75" customHeight="1" x14ac:dyDescent="0.2">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row>
    <row r="852" spans="1:24" ht="12.75" customHeight="1" x14ac:dyDescent="0.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row>
    <row r="853" spans="1:24" ht="12.75" customHeight="1" x14ac:dyDescent="0.2">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row>
    <row r="854" spans="1:24" ht="12.75" customHeight="1" x14ac:dyDescent="0.2">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row>
    <row r="855" spans="1:24" ht="12.75" customHeight="1" x14ac:dyDescent="0.2">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row>
    <row r="856" spans="1:24" ht="12.75" customHeight="1" x14ac:dyDescent="0.2">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row>
    <row r="857" spans="1:24" ht="12.75" customHeight="1" x14ac:dyDescent="0.2">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row>
    <row r="858" spans="1:24" ht="12.75" customHeight="1" x14ac:dyDescent="0.2">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row>
    <row r="859" spans="1:24" ht="12.75" customHeight="1" x14ac:dyDescent="0.2">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row>
    <row r="860" spans="1:24" ht="12.75" customHeight="1" x14ac:dyDescent="0.2">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row>
    <row r="861" spans="1:24" ht="12.75" customHeight="1" x14ac:dyDescent="0.2">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row>
    <row r="862" spans="1:24" ht="12.75" customHeight="1" x14ac:dyDescent="0.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row>
    <row r="863" spans="1:24" ht="12.75" customHeight="1" x14ac:dyDescent="0.2">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row>
    <row r="864" spans="1:24" ht="12.75" customHeight="1" x14ac:dyDescent="0.2">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row>
    <row r="865" spans="1:24" ht="12.75" customHeight="1" x14ac:dyDescent="0.2">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row>
    <row r="866" spans="1:24" ht="12.75" customHeight="1" x14ac:dyDescent="0.2">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row>
    <row r="867" spans="1:24" ht="12.75" customHeight="1" x14ac:dyDescent="0.2">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row>
    <row r="868" spans="1:24" ht="12.75" customHeight="1" x14ac:dyDescent="0.2">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row>
    <row r="869" spans="1:24" ht="12.75" customHeight="1" x14ac:dyDescent="0.2">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row>
    <row r="870" spans="1:24" ht="12.75" customHeight="1" x14ac:dyDescent="0.2">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row>
    <row r="871" spans="1:24" ht="12.75" customHeight="1" x14ac:dyDescent="0.2">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row>
    <row r="872" spans="1:24" ht="12.75" customHeight="1" x14ac:dyDescent="0.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row>
    <row r="873" spans="1:24" ht="12.75" customHeight="1" x14ac:dyDescent="0.2">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row>
    <row r="874" spans="1:24" ht="12.75" customHeight="1" x14ac:dyDescent="0.2">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row>
    <row r="875" spans="1:24" ht="12.75" customHeight="1" x14ac:dyDescent="0.2">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row>
    <row r="876" spans="1:24" ht="12.75" customHeight="1" x14ac:dyDescent="0.2">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row>
    <row r="877" spans="1:24" ht="12.75" customHeight="1" x14ac:dyDescent="0.2">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row>
    <row r="878" spans="1:24" ht="12.75" customHeight="1" x14ac:dyDescent="0.2">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row>
    <row r="879" spans="1:24" ht="12.75" customHeight="1" x14ac:dyDescent="0.2">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row>
    <row r="880" spans="1:24" ht="12.75" customHeight="1" x14ac:dyDescent="0.2">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row>
    <row r="881" spans="1:24" ht="12.75" customHeight="1" x14ac:dyDescent="0.2">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row>
    <row r="882" spans="1:24" ht="12.75" customHeight="1" x14ac:dyDescent="0.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row>
    <row r="883" spans="1:24" ht="12.75" customHeight="1" x14ac:dyDescent="0.2">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row>
    <row r="884" spans="1:24" ht="12.75" customHeight="1" x14ac:dyDescent="0.2">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row>
    <row r="885" spans="1:24" ht="12.75" customHeight="1" x14ac:dyDescent="0.2">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row>
    <row r="886" spans="1:24" ht="12.75" customHeight="1" x14ac:dyDescent="0.2">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row>
    <row r="887" spans="1:24" ht="12.75" customHeight="1" x14ac:dyDescent="0.2">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row>
    <row r="888" spans="1:24" ht="12.75" customHeight="1" x14ac:dyDescent="0.2">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row>
    <row r="889" spans="1:24" ht="12.75" customHeight="1" x14ac:dyDescent="0.2">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row>
    <row r="890" spans="1:24" ht="12.75" customHeight="1" x14ac:dyDescent="0.2">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row>
    <row r="891" spans="1:24" ht="12.75" customHeight="1" x14ac:dyDescent="0.2">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row>
    <row r="892" spans="1:24" ht="12.75" customHeight="1" x14ac:dyDescent="0.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row>
    <row r="893" spans="1:24" ht="12.75" customHeight="1" x14ac:dyDescent="0.2">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row>
    <row r="894" spans="1:24" ht="12.75" customHeight="1" x14ac:dyDescent="0.2">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row>
    <row r="895" spans="1:24" ht="12.75" customHeight="1" x14ac:dyDescent="0.2">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row>
    <row r="896" spans="1:24" ht="12.75" customHeight="1" x14ac:dyDescent="0.2">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row>
    <row r="897" spans="1:24" ht="12.75" customHeight="1" x14ac:dyDescent="0.2">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row>
    <row r="898" spans="1:24" ht="12.75" customHeight="1" x14ac:dyDescent="0.2">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row>
    <row r="899" spans="1:24" ht="12.75" customHeight="1" x14ac:dyDescent="0.2">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row>
    <row r="900" spans="1:24" ht="12.75" customHeight="1" x14ac:dyDescent="0.2">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row>
    <row r="901" spans="1:24" ht="12.75" customHeight="1" x14ac:dyDescent="0.2">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row>
    <row r="902" spans="1:24" ht="12.75" customHeight="1" x14ac:dyDescent="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row>
    <row r="903" spans="1:24" ht="12.75" customHeight="1" x14ac:dyDescent="0.2">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row>
    <row r="904" spans="1:24" ht="12.75" customHeight="1" x14ac:dyDescent="0.2">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row>
    <row r="905" spans="1:24" ht="12.75" customHeight="1"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row>
    <row r="906" spans="1:24" ht="12.75" customHeight="1" x14ac:dyDescent="0.2">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row>
    <row r="907" spans="1:24" ht="12.75" customHeight="1" x14ac:dyDescent="0.2">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row>
    <row r="908" spans="1:24" ht="12.75" customHeight="1" x14ac:dyDescent="0.2">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row>
    <row r="909" spans="1:24" ht="12.75" customHeight="1" x14ac:dyDescent="0.2">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row>
    <row r="910" spans="1:24" ht="12.75" customHeight="1" x14ac:dyDescent="0.2">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row>
    <row r="911" spans="1:24" ht="12.75" customHeight="1" x14ac:dyDescent="0.2">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row>
    <row r="912" spans="1:24" ht="12.75" customHeight="1" x14ac:dyDescent="0.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row>
    <row r="913" spans="1:24" ht="12.75" customHeight="1" x14ac:dyDescent="0.2">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row>
    <row r="914" spans="1:24" ht="12.75" customHeight="1" x14ac:dyDescent="0.2">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row>
    <row r="915" spans="1:24" ht="12.75" customHeight="1" x14ac:dyDescent="0.2">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row>
    <row r="916" spans="1:24" ht="12.75" customHeight="1" x14ac:dyDescent="0.2">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row>
    <row r="917" spans="1:24" ht="12.75" customHeight="1" x14ac:dyDescent="0.2">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row>
    <row r="918" spans="1:24" ht="12.75" customHeight="1" x14ac:dyDescent="0.2">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row>
    <row r="919" spans="1:24" ht="12.75" customHeight="1" x14ac:dyDescent="0.2">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row>
    <row r="920" spans="1:24" ht="12.75" customHeight="1" x14ac:dyDescent="0.2">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row>
    <row r="921" spans="1:24" ht="12.75" customHeight="1" x14ac:dyDescent="0.2">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row>
    <row r="922" spans="1:24" ht="12.75" customHeight="1" x14ac:dyDescent="0.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row>
    <row r="923" spans="1:24" ht="12.75" customHeight="1" x14ac:dyDescent="0.2">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row>
    <row r="924" spans="1:24" ht="12.75" customHeight="1" x14ac:dyDescent="0.2">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row>
    <row r="925" spans="1:24" ht="12.75" customHeight="1" x14ac:dyDescent="0.2">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row>
    <row r="926" spans="1:24" ht="12.75" customHeight="1" x14ac:dyDescent="0.2">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row>
    <row r="927" spans="1:24" ht="12.75" customHeight="1" x14ac:dyDescent="0.2">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row>
    <row r="928" spans="1:24" ht="12.75" customHeight="1" x14ac:dyDescent="0.2">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row>
    <row r="929" spans="1:24" ht="12.75" customHeight="1" x14ac:dyDescent="0.2">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row>
    <row r="930" spans="1:24" ht="12.75" customHeight="1" x14ac:dyDescent="0.2">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row>
    <row r="931" spans="1:24" ht="12.75" customHeight="1" x14ac:dyDescent="0.2">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row>
    <row r="932" spans="1:24" ht="12.75" customHeight="1" x14ac:dyDescent="0.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row>
    <row r="933" spans="1:24" ht="12.75" customHeight="1" x14ac:dyDescent="0.2">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row>
    <row r="934" spans="1:24" ht="12.75" customHeight="1" x14ac:dyDescent="0.2">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row>
    <row r="935" spans="1:24" ht="12.75" customHeight="1" x14ac:dyDescent="0.2">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row>
    <row r="936" spans="1:24" ht="12.75" customHeight="1" x14ac:dyDescent="0.2">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row>
    <row r="937" spans="1:24" ht="12.75" customHeight="1" x14ac:dyDescent="0.2">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row>
    <row r="938" spans="1:24" ht="12.75" customHeight="1" x14ac:dyDescent="0.2">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row>
    <row r="939" spans="1:24" ht="12.75" customHeight="1" x14ac:dyDescent="0.2">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row>
    <row r="940" spans="1:24" ht="12.75" customHeight="1" x14ac:dyDescent="0.2">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row>
    <row r="941" spans="1:24" ht="12.75" customHeight="1" x14ac:dyDescent="0.2">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row>
    <row r="942" spans="1:24" ht="12.75" customHeight="1" x14ac:dyDescent="0.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row>
    <row r="943" spans="1:24" ht="12.75" customHeight="1" x14ac:dyDescent="0.2">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row>
    <row r="944" spans="1:24" ht="12.75" customHeight="1" x14ac:dyDescent="0.2">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row>
    <row r="945" spans="1:24" ht="12.75" customHeight="1" x14ac:dyDescent="0.2">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row>
    <row r="946" spans="1:24" ht="12.75" customHeight="1" x14ac:dyDescent="0.2">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row>
    <row r="947" spans="1:24" ht="12.75" customHeight="1" x14ac:dyDescent="0.2">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row>
    <row r="948" spans="1:24" ht="12.75" customHeight="1" x14ac:dyDescent="0.2">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row>
    <row r="949" spans="1:24" ht="12.75" customHeight="1" x14ac:dyDescent="0.2">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row>
    <row r="950" spans="1:24" ht="12.75" customHeight="1" x14ac:dyDescent="0.2">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row>
    <row r="951" spans="1:24" ht="12.75" customHeight="1" x14ac:dyDescent="0.2">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row>
    <row r="952" spans="1:24" ht="12.75" customHeight="1" x14ac:dyDescent="0.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row>
    <row r="953" spans="1:24" ht="12.75" customHeight="1" x14ac:dyDescent="0.2">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row>
    <row r="954" spans="1:24" ht="12.75" customHeight="1" x14ac:dyDescent="0.2">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row>
    <row r="955" spans="1:24" ht="12.75" customHeight="1" x14ac:dyDescent="0.2">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row>
    <row r="956" spans="1:24" ht="12.75" customHeight="1" x14ac:dyDescent="0.2">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row>
    <row r="957" spans="1:24" ht="12.75" customHeight="1" x14ac:dyDescent="0.2">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row>
    <row r="958" spans="1:24" ht="12.75" customHeight="1" x14ac:dyDescent="0.2">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row>
    <row r="959" spans="1:24" ht="12.75" customHeight="1" x14ac:dyDescent="0.2">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row>
    <row r="960" spans="1:24" ht="12.75" customHeight="1" x14ac:dyDescent="0.2">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row>
    <row r="961" spans="1:24" ht="12.75" customHeight="1" x14ac:dyDescent="0.2">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row>
    <row r="962" spans="1:24" ht="12.75" customHeight="1" x14ac:dyDescent="0.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row>
    <row r="963" spans="1:24" ht="12.75" customHeight="1" x14ac:dyDescent="0.2">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row>
    <row r="964" spans="1:24" ht="12.75" customHeight="1" x14ac:dyDescent="0.2">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row>
    <row r="965" spans="1:24" ht="12.75" customHeight="1" x14ac:dyDescent="0.2">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row>
    <row r="966" spans="1:24" ht="12.75" customHeight="1" x14ac:dyDescent="0.2">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row>
    <row r="967" spans="1:24" ht="12.75" customHeight="1" x14ac:dyDescent="0.2">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row>
    <row r="968" spans="1:24" ht="12.75" customHeight="1" x14ac:dyDescent="0.2">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row>
    <row r="969" spans="1:24" ht="12.75" customHeight="1" x14ac:dyDescent="0.2">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row>
    <row r="970" spans="1:24" ht="12.75" customHeight="1" x14ac:dyDescent="0.2">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row>
    <row r="971" spans="1:24" ht="12.75" customHeight="1" x14ac:dyDescent="0.2">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row>
    <row r="972" spans="1:24" ht="12.75" customHeight="1" x14ac:dyDescent="0.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row>
    <row r="973" spans="1:24" ht="12.75" customHeight="1" x14ac:dyDescent="0.2">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row>
    <row r="974" spans="1:24" ht="12.75" customHeight="1" x14ac:dyDescent="0.2">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row>
    <row r="975" spans="1:24" ht="12.75" customHeight="1" x14ac:dyDescent="0.2">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row>
    <row r="976" spans="1:24" ht="12.75" customHeight="1" x14ac:dyDescent="0.2">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row>
    <row r="977" spans="1:24" ht="12.75" customHeight="1" x14ac:dyDescent="0.2">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row>
    <row r="978" spans="1:24" ht="12.75" customHeight="1" x14ac:dyDescent="0.2">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row>
    <row r="979" spans="1:24" ht="12.75" customHeight="1" x14ac:dyDescent="0.2">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row>
    <row r="980" spans="1:24" ht="12.75" customHeight="1" x14ac:dyDescent="0.2">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row>
    <row r="981" spans="1:24" ht="12.75" customHeight="1" x14ac:dyDescent="0.2">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row>
    <row r="982" spans="1:24" ht="12.75" customHeight="1" x14ac:dyDescent="0.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row>
    <row r="983" spans="1:24" ht="12.75" customHeight="1" x14ac:dyDescent="0.2">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row>
    <row r="984" spans="1:24" ht="12.75" customHeight="1" x14ac:dyDescent="0.2">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row>
    <row r="985" spans="1:24" ht="12.75" customHeight="1" x14ac:dyDescent="0.2">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row>
    <row r="986" spans="1:24" ht="12.75" customHeight="1" x14ac:dyDescent="0.2">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row>
    <row r="987" spans="1:24" ht="12.75" customHeight="1" x14ac:dyDescent="0.2">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row>
    <row r="988" spans="1:24" ht="12.75" customHeight="1" x14ac:dyDescent="0.2">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row>
    <row r="989" spans="1:24" ht="12.75" customHeight="1" x14ac:dyDescent="0.2">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row>
    <row r="990" spans="1:24" ht="12.75" customHeight="1" x14ac:dyDescent="0.2">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row>
    <row r="991" spans="1:24" ht="12.75" customHeight="1" x14ac:dyDescent="0.2">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row>
    <row r="992" spans="1:24" ht="12.75" customHeight="1" x14ac:dyDescent="0.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row>
    <row r="993" spans="1:24" ht="12.75" customHeight="1" x14ac:dyDescent="0.2">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row>
    <row r="994" spans="1:24" ht="12.75" customHeight="1" x14ac:dyDescent="0.2">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row>
    <row r="995" spans="1:24" ht="12.75" customHeight="1" x14ac:dyDescent="0.2">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row>
    <row r="996" spans="1:24" ht="12.75" customHeight="1" x14ac:dyDescent="0.2">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row>
    <row r="997" spans="1:24" ht="12.75" customHeight="1" x14ac:dyDescent="0.2">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row>
    <row r="998" spans="1:24" ht="12.75" customHeight="1" x14ac:dyDescent="0.2">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row>
    <row r="999" spans="1:24" ht="12.75" customHeight="1" x14ac:dyDescent="0.2">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row>
  </sheetData>
  <mergeCells count="6">
    <mergeCell ref="F4:I11"/>
    <mergeCell ref="A41:D44"/>
    <mergeCell ref="A1:D1"/>
    <mergeCell ref="A2:D2"/>
    <mergeCell ref="A3:D3"/>
    <mergeCell ref="A4:D7"/>
  </mergeCells>
  <printOptions horizontalCentered="1" verticalCentered="1"/>
  <pageMargins left="0.75" right="0.75" top="1" bottom="1" header="0" footer="0"/>
  <pageSetup scale="7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V1720"/>
  <sheetViews>
    <sheetView showGridLines="0" view="pageBreakPreview" zoomScale="136" zoomScaleNormal="97" zoomScaleSheetLayoutView="136" workbookViewId="0">
      <pane xSplit="3" ySplit="12" topLeftCell="H787" activePane="bottomRight" state="frozen"/>
      <selection pane="topRight" activeCell="D1" sqref="D1"/>
      <selection pane="bottomLeft" activeCell="A13" sqref="A13"/>
      <selection pane="bottomRight" activeCell="L803" sqref="L803"/>
    </sheetView>
  </sheetViews>
  <sheetFormatPr baseColWidth="10" defaultColWidth="14.42578125" defaultRowHeight="15" customHeight="1" x14ac:dyDescent="0.2"/>
  <cols>
    <col min="1" max="1" width="20.5703125" customWidth="1"/>
    <col min="2" max="2" width="39.140625" customWidth="1"/>
    <col min="3" max="3" width="48.5703125" hidden="1" customWidth="1"/>
    <col min="4" max="4" width="16.7109375" customWidth="1"/>
    <col min="5" max="5" width="17.28515625" customWidth="1"/>
    <col min="6" max="6" width="17.140625" customWidth="1"/>
    <col min="7" max="7" width="52.42578125" style="109" bestFit="1" customWidth="1"/>
    <col min="8" max="8" width="36.140625" customWidth="1"/>
    <col min="9" max="9" width="18.5703125" customWidth="1"/>
    <col min="10" max="10" width="17.42578125" bestFit="1" customWidth="1"/>
    <col min="11" max="12" width="17.28515625" bestFit="1" customWidth="1"/>
    <col min="13" max="13" width="12.42578125" customWidth="1"/>
    <col min="14" max="14" width="18.28515625" style="83" bestFit="1" customWidth="1"/>
    <col min="15" max="15" width="18.42578125" bestFit="1" customWidth="1"/>
    <col min="16" max="16" width="4.5703125" style="113" customWidth="1"/>
    <col min="17" max="17" width="21.7109375" style="83" bestFit="1" customWidth="1"/>
    <col min="18" max="18" width="28.85546875" style="83" bestFit="1" customWidth="1"/>
    <col min="19" max="19" width="21.7109375" bestFit="1" customWidth="1"/>
    <col min="20" max="20" width="17.85546875" bestFit="1" customWidth="1"/>
    <col min="21" max="21" width="18.28515625" bestFit="1" customWidth="1"/>
    <col min="22" max="23" width="16" bestFit="1" customWidth="1"/>
  </cols>
  <sheetData>
    <row r="1" spans="1:22" ht="12.75" x14ac:dyDescent="0.2">
      <c r="A1" s="52"/>
      <c r="B1" s="52"/>
      <c r="C1" s="53"/>
      <c r="D1" s="53"/>
      <c r="E1" s="53"/>
      <c r="F1" s="53"/>
      <c r="G1" s="108"/>
      <c r="H1" s="52"/>
      <c r="I1" s="52"/>
      <c r="J1" s="53"/>
      <c r="K1" s="53"/>
      <c r="L1" s="53"/>
      <c r="M1" s="53"/>
      <c r="U1" s="87"/>
    </row>
    <row r="2" spans="1:22" ht="15.75" x14ac:dyDescent="0.25">
      <c r="A2" s="397" t="s">
        <v>627</v>
      </c>
      <c r="B2" s="397"/>
      <c r="C2" s="397"/>
      <c r="D2" s="397"/>
      <c r="E2" s="397"/>
      <c r="F2" s="397"/>
      <c r="G2" s="397"/>
      <c r="H2" s="397"/>
      <c r="I2" s="397"/>
      <c r="J2" s="397"/>
      <c r="K2" s="397"/>
      <c r="L2" s="397"/>
      <c r="M2" s="397"/>
      <c r="O2" s="338"/>
      <c r="S2" s="87"/>
      <c r="T2" s="338"/>
      <c r="U2" s="87"/>
      <c r="V2" s="338"/>
    </row>
    <row r="3" spans="1:22" ht="16.5" customHeight="1" x14ac:dyDescent="0.25">
      <c r="A3" s="398" t="s">
        <v>39</v>
      </c>
      <c r="B3" s="377"/>
      <c r="C3" s="377"/>
      <c r="D3" s="377"/>
      <c r="E3" s="377"/>
      <c r="F3" s="377"/>
      <c r="G3" s="377"/>
      <c r="H3" s="377"/>
      <c r="I3" s="377"/>
      <c r="J3" s="377"/>
      <c r="K3" s="377"/>
      <c r="L3" s="377"/>
      <c r="M3" s="377"/>
      <c r="O3" s="85"/>
      <c r="R3" s="99"/>
      <c r="S3" s="87"/>
      <c r="T3" s="116"/>
      <c r="U3" s="87"/>
    </row>
    <row r="4" spans="1:22" s="338" customFormat="1" ht="16.5" customHeight="1" x14ac:dyDescent="0.25">
      <c r="A4" s="404">
        <v>2021</v>
      </c>
      <c r="B4" s="405"/>
      <c r="C4" s="405"/>
      <c r="D4" s="405"/>
      <c r="E4" s="405">
        <f>+E11*0.71+E514+N288+'[1]hoja de trabajo '!$G$462</f>
        <v>16728257571.575735</v>
      </c>
      <c r="F4" s="405"/>
      <c r="G4" s="405"/>
      <c r="H4" s="405"/>
      <c r="I4" s="405"/>
      <c r="J4" s="405"/>
      <c r="K4" s="405"/>
      <c r="L4" s="405"/>
      <c r="M4" s="405"/>
      <c r="N4" s="83"/>
      <c r="O4" s="85"/>
      <c r="P4" s="113"/>
      <c r="Q4" s="83"/>
      <c r="R4" s="99"/>
      <c r="S4" s="87"/>
      <c r="U4" s="87"/>
    </row>
    <row r="5" spans="1:22" ht="12.75" hidden="1" x14ac:dyDescent="0.2">
      <c r="A5" s="389" t="s">
        <v>40</v>
      </c>
      <c r="B5" s="390"/>
      <c r="C5" s="390"/>
      <c r="D5" s="390"/>
      <c r="E5" s="390"/>
      <c r="F5" s="390"/>
      <c r="G5" s="399"/>
      <c r="H5" s="390"/>
      <c r="I5" s="390"/>
      <c r="J5" s="54"/>
      <c r="K5" s="54"/>
      <c r="L5" s="54"/>
      <c r="M5" s="54"/>
      <c r="R5" s="99"/>
      <c r="S5" s="87"/>
      <c r="T5" s="116"/>
      <c r="U5" s="87"/>
      <c r="V5" s="87"/>
    </row>
    <row r="6" spans="1:22" ht="12.75" hidden="1" x14ac:dyDescent="0.2">
      <c r="A6" s="391"/>
      <c r="B6" s="377"/>
      <c r="C6" s="377"/>
      <c r="D6" s="377"/>
      <c r="E6" s="377"/>
      <c r="F6" s="377"/>
      <c r="G6" s="377"/>
      <c r="H6" s="377"/>
      <c r="I6" s="377"/>
      <c r="J6" s="55"/>
      <c r="K6" s="55"/>
      <c r="L6" s="55"/>
      <c r="M6" s="55"/>
      <c r="O6" s="85"/>
      <c r="P6" s="295"/>
      <c r="R6" s="99"/>
      <c r="S6" s="87"/>
      <c r="T6" s="116"/>
      <c r="U6" s="83"/>
    </row>
    <row r="7" spans="1:22" ht="12.75" hidden="1" x14ac:dyDescent="0.2">
      <c r="A7" s="400" t="s">
        <v>41</v>
      </c>
      <c r="B7" s="377"/>
      <c r="C7" s="377"/>
      <c r="D7" s="377"/>
      <c r="E7" s="377"/>
      <c r="F7" s="377"/>
      <c r="G7" s="377"/>
      <c r="H7" s="377"/>
      <c r="I7" s="56"/>
      <c r="J7" s="56"/>
      <c r="K7" s="56"/>
      <c r="L7" s="56"/>
      <c r="M7" s="56"/>
      <c r="S7" s="87"/>
      <c r="T7" s="116"/>
      <c r="U7" s="87"/>
    </row>
    <row r="8" spans="1:22" ht="15.75" x14ac:dyDescent="0.25">
      <c r="A8" s="401" t="s">
        <v>42</v>
      </c>
      <c r="B8" s="402"/>
      <c r="C8" s="402"/>
      <c r="D8" s="402"/>
      <c r="E8" s="402"/>
      <c r="F8" s="401" t="s">
        <v>43</v>
      </c>
      <c r="G8" s="403"/>
      <c r="H8" s="402"/>
      <c r="I8" s="402"/>
      <c r="J8" s="402"/>
      <c r="K8" s="402"/>
      <c r="L8" s="402"/>
      <c r="M8" s="402"/>
      <c r="N8" s="402"/>
      <c r="O8" s="375"/>
      <c r="P8" s="296"/>
      <c r="T8" s="116"/>
      <c r="U8" s="87"/>
    </row>
    <row r="9" spans="1:22" x14ac:dyDescent="0.25">
      <c r="A9" s="395" t="s">
        <v>44</v>
      </c>
      <c r="B9" s="396" t="s">
        <v>45</v>
      </c>
      <c r="C9" s="392" t="s">
        <v>46</v>
      </c>
      <c r="D9" s="392" t="s">
        <v>47</v>
      </c>
      <c r="E9" s="392" t="s">
        <v>48</v>
      </c>
      <c r="F9" s="394" t="s">
        <v>49</v>
      </c>
      <c r="G9" s="57"/>
      <c r="H9" s="406" t="s">
        <v>50</v>
      </c>
      <c r="I9" s="406" t="s">
        <v>51</v>
      </c>
      <c r="J9" s="406" t="s">
        <v>52</v>
      </c>
      <c r="K9" s="377"/>
      <c r="L9" s="377"/>
      <c r="M9" s="377"/>
      <c r="N9" s="407" t="s">
        <v>53</v>
      </c>
      <c r="O9" s="409" t="s">
        <v>54</v>
      </c>
      <c r="P9" s="297"/>
      <c r="S9" s="85"/>
      <c r="T9" s="116"/>
      <c r="U9" s="87"/>
    </row>
    <row r="10" spans="1:22" ht="30.75" thickBot="1" x14ac:dyDescent="0.3">
      <c r="A10" s="393"/>
      <c r="B10" s="393"/>
      <c r="C10" s="393"/>
      <c r="D10" s="393"/>
      <c r="E10" s="393"/>
      <c r="F10" s="393"/>
      <c r="G10" s="143"/>
      <c r="H10" s="393"/>
      <c r="I10" s="393"/>
      <c r="J10" s="144" t="s">
        <v>55</v>
      </c>
      <c r="K10" s="144" t="s">
        <v>56</v>
      </c>
      <c r="L10" s="145" t="s">
        <v>57</v>
      </c>
      <c r="M10" s="146" t="s">
        <v>58</v>
      </c>
      <c r="N10" s="408"/>
      <c r="O10" s="410"/>
      <c r="P10" s="296"/>
      <c r="S10" s="85"/>
      <c r="T10" s="116"/>
      <c r="U10" s="87"/>
    </row>
    <row r="11" spans="1:22" ht="12.75" x14ac:dyDescent="0.2">
      <c r="A11" s="253" t="str">
        <f>+[1]ingresos!$A$15</f>
        <v>1.1.2.1.00.00.0.0.000</v>
      </c>
      <c r="B11" s="254" t="s">
        <v>196</v>
      </c>
      <c r="C11" s="255"/>
      <c r="D11" s="256">
        <v>7800000000</v>
      </c>
      <c r="E11" s="257">
        <f>+[1]ingresos!$C$16</f>
        <v>10005215489.16</v>
      </c>
      <c r="F11" s="258"/>
      <c r="G11" s="258"/>
      <c r="H11" s="259"/>
      <c r="I11" s="260">
        <f>SUM(I12:I85)</f>
        <v>5845516710.4577999</v>
      </c>
      <c r="J11" s="260">
        <f>SUM(J12:J85)</f>
        <v>4703363927.4578009</v>
      </c>
      <c r="K11" s="260">
        <f>SUM(K12:K85)</f>
        <v>1142152783</v>
      </c>
      <c r="L11" s="260">
        <f>SUM(L12:L85)</f>
        <v>0</v>
      </c>
      <c r="M11" s="260">
        <f>SUM(M12:M85)</f>
        <v>0</v>
      </c>
      <c r="N11" s="260">
        <f>SUM(N12:N89)</f>
        <v>3815825414.3185997</v>
      </c>
      <c r="O11" s="261"/>
      <c r="P11" s="294"/>
      <c r="Q11" s="134"/>
      <c r="S11" s="85"/>
      <c r="T11" s="85"/>
      <c r="U11" s="85"/>
    </row>
    <row r="12" spans="1:22" ht="12.75" x14ac:dyDescent="0.2">
      <c r="A12" s="262"/>
      <c r="B12" s="155"/>
      <c r="C12" s="149"/>
      <c r="D12" s="149"/>
      <c r="E12" s="149"/>
      <c r="F12" s="152" t="s">
        <v>200</v>
      </c>
      <c r="G12" s="100" t="s">
        <v>383</v>
      </c>
      <c r="H12" s="153" t="s">
        <v>91</v>
      </c>
      <c r="I12" s="151">
        <f>+E11*0.17</f>
        <v>1700886633.1572001</v>
      </c>
      <c r="J12" s="151">
        <f>+I12</f>
        <v>1700886633.1572001</v>
      </c>
      <c r="K12" s="151"/>
      <c r="L12" s="151"/>
      <c r="M12" s="151"/>
      <c r="N12" s="150"/>
      <c r="O12" s="263"/>
      <c r="P12" s="294"/>
      <c r="Q12" s="134"/>
      <c r="S12" s="87"/>
      <c r="U12" s="85"/>
    </row>
    <row r="13" spans="1:22" s="86" customFormat="1" ht="12.75" x14ac:dyDescent="0.2">
      <c r="A13" s="262"/>
      <c r="B13" s="156"/>
      <c r="C13" s="149"/>
      <c r="D13" s="149"/>
      <c r="E13" s="149"/>
      <c r="F13" s="152"/>
      <c r="G13" s="152"/>
      <c r="H13" s="153"/>
      <c r="I13" s="151"/>
      <c r="J13" s="151"/>
      <c r="K13" s="151"/>
      <c r="L13" s="151"/>
      <c r="M13" s="151"/>
      <c r="N13" s="150"/>
      <c r="O13" s="263"/>
      <c r="P13" s="294"/>
      <c r="Q13" s="134"/>
      <c r="R13" s="83"/>
      <c r="U13" s="85"/>
    </row>
    <row r="14" spans="1:22" s="86" customFormat="1" ht="12.75" x14ac:dyDescent="0.2">
      <c r="A14" s="262"/>
      <c r="B14" s="156"/>
      <c r="C14" s="149"/>
      <c r="D14" s="149"/>
      <c r="E14" s="149"/>
      <c r="F14" s="157" t="s">
        <v>101</v>
      </c>
      <c r="G14" s="100" t="s">
        <v>213</v>
      </c>
      <c r="H14" s="153" t="s">
        <v>95</v>
      </c>
      <c r="I14" s="151">
        <f>117000000</f>
        <v>117000000</v>
      </c>
      <c r="J14" s="151">
        <f>+I14</f>
        <v>117000000</v>
      </c>
      <c r="K14" s="151"/>
      <c r="L14" s="151"/>
      <c r="M14" s="151"/>
      <c r="N14" s="150"/>
      <c r="O14" s="263"/>
      <c r="P14" s="294"/>
      <c r="Q14" s="134"/>
      <c r="R14" s="83"/>
      <c r="T14" s="87"/>
      <c r="U14" s="85"/>
    </row>
    <row r="15" spans="1:22" s="86" customFormat="1" ht="12.75" x14ac:dyDescent="0.2">
      <c r="A15" s="262"/>
      <c r="B15" s="156"/>
      <c r="C15" s="149"/>
      <c r="D15" s="149"/>
      <c r="E15" s="149"/>
      <c r="F15" s="157" t="s">
        <v>101</v>
      </c>
      <c r="G15" s="100" t="s">
        <v>214</v>
      </c>
      <c r="H15" s="153" t="s">
        <v>95</v>
      </c>
      <c r="I15" s="151">
        <v>0</v>
      </c>
      <c r="J15" s="151">
        <v>0</v>
      </c>
      <c r="K15" s="151"/>
      <c r="L15" s="151"/>
      <c r="M15" s="151"/>
      <c r="N15" s="162">
        <f>780000000</f>
        <v>780000000</v>
      </c>
      <c r="O15" s="264"/>
      <c r="P15" s="298"/>
      <c r="Q15" s="134"/>
      <c r="R15" s="83"/>
      <c r="T15" s="87"/>
      <c r="U15" s="85"/>
    </row>
    <row r="16" spans="1:22" s="86" customFormat="1" ht="12.75" x14ac:dyDescent="0.2">
      <c r="A16" s="262"/>
      <c r="B16" s="156"/>
      <c r="C16" s="149"/>
      <c r="D16" s="149"/>
      <c r="E16" s="149"/>
      <c r="F16" s="157" t="s">
        <v>101</v>
      </c>
      <c r="G16" s="100" t="s">
        <v>215</v>
      </c>
      <c r="H16" s="153" t="s">
        <v>95</v>
      </c>
      <c r="I16" s="151">
        <f>39000000</f>
        <v>39000000</v>
      </c>
      <c r="J16" s="151">
        <f>+I16</f>
        <v>39000000</v>
      </c>
      <c r="K16" s="151"/>
      <c r="L16" s="151"/>
      <c r="M16" s="151"/>
      <c r="N16" s="150"/>
      <c r="O16" s="263"/>
      <c r="P16" s="294"/>
      <c r="Q16" s="134"/>
      <c r="R16" s="83"/>
      <c r="U16" s="85"/>
    </row>
    <row r="17" spans="1:21" s="86" customFormat="1" ht="12.75" x14ac:dyDescent="0.2">
      <c r="A17" s="262"/>
      <c r="B17" s="155"/>
      <c r="C17" s="149"/>
      <c r="D17" s="149"/>
      <c r="E17" s="149"/>
      <c r="F17" s="157" t="s">
        <v>101</v>
      </c>
      <c r="G17" s="100" t="s">
        <v>235</v>
      </c>
      <c r="H17" s="153" t="s">
        <v>95</v>
      </c>
      <c r="I17" s="151">
        <f>115000000</f>
        <v>115000000</v>
      </c>
      <c r="J17" s="151">
        <f>+I17</f>
        <v>115000000</v>
      </c>
      <c r="K17" s="151"/>
      <c r="L17" s="151"/>
      <c r="M17" s="151"/>
      <c r="N17" s="328"/>
      <c r="O17" s="263"/>
      <c r="P17" s="294"/>
      <c r="Q17" s="134"/>
      <c r="R17" s="83"/>
      <c r="T17" s="87"/>
      <c r="U17" s="85"/>
    </row>
    <row r="18" spans="1:21" s="86" customFormat="1" ht="12.75" x14ac:dyDescent="0.2">
      <c r="A18" s="262"/>
      <c r="B18" s="155"/>
      <c r="C18" s="149"/>
      <c r="D18" s="149"/>
      <c r="E18" s="149"/>
      <c r="F18" s="157" t="s">
        <v>101</v>
      </c>
      <c r="G18" s="100" t="s">
        <v>216</v>
      </c>
      <c r="H18" s="153" t="s">
        <v>95</v>
      </c>
      <c r="I18" s="151">
        <f>20000000</f>
        <v>20000000</v>
      </c>
      <c r="J18" s="151">
        <f>+I18</f>
        <v>20000000</v>
      </c>
      <c r="K18" s="151"/>
      <c r="L18" s="151"/>
      <c r="M18" s="151"/>
      <c r="N18" s="328"/>
      <c r="O18" s="263"/>
      <c r="P18" s="294"/>
      <c r="Q18" s="134"/>
      <c r="R18" s="83"/>
      <c r="T18" s="87"/>
      <c r="U18" s="85"/>
    </row>
    <row r="19" spans="1:21" s="86" customFormat="1" ht="12.75" x14ac:dyDescent="0.2">
      <c r="A19" s="262"/>
      <c r="B19" s="155"/>
      <c r="C19" s="149"/>
      <c r="D19" s="149"/>
      <c r="E19" s="149"/>
      <c r="F19" s="157" t="s">
        <v>101</v>
      </c>
      <c r="G19" s="100" t="s">
        <v>234</v>
      </c>
      <c r="H19" s="153" t="s">
        <v>95</v>
      </c>
      <c r="I19" s="151">
        <v>63000000</v>
      </c>
      <c r="J19" s="151">
        <f>+I19</f>
        <v>63000000</v>
      </c>
      <c r="K19" s="151"/>
      <c r="L19" s="151"/>
      <c r="M19" s="151"/>
      <c r="N19" s="328"/>
      <c r="O19" s="263"/>
      <c r="P19" s="294"/>
      <c r="Q19" s="134"/>
      <c r="R19" s="83"/>
      <c r="T19" s="87"/>
      <c r="U19" s="85"/>
    </row>
    <row r="20" spans="1:21" s="86" customFormat="1" ht="12.75" x14ac:dyDescent="0.2">
      <c r="A20" s="262"/>
      <c r="B20" s="155"/>
      <c r="C20" s="149"/>
      <c r="D20" s="149"/>
      <c r="E20" s="149"/>
      <c r="F20" s="157"/>
      <c r="G20" s="158"/>
      <c r="H20" s="153"/>
      <c r="I20" s="151"/>
      <c r="J20" s="159"/>
      <c r="K20" s="151"/>
      <c r="L20" s="151"/>
      <c r="M20" s="151"/>
      <c r="N20" s="328"/>
      <c r="O20" s="263"/>
      <c r="P20" s="294"/>
      <c r="Q20" s="134"/>
      <c r="R20" s="83"/>
      <c r="U20" s="85"/>
    </row>
    <row r="21" spans="1:21" ht="12.75" x14ac:dyDescent="0.2">
      <c r="A21" s="262"/>
      <c r="B21" s="155"/>
      <c r="C21" s="149"/>
      <c r="D21" s="149"/>
      <c r="E21" s="149"/>
      <c r="F21" s="160" t="s">
        <v>218</v>
      </c>
      <c r="G21" s="161" t="s">
        <v>217</v>
      </c>
      <c r="H21" s="175" t="s">
        <v>90</v>
      </c>
      <c r="I21" s="176">
        <f>154221829.75*0.18-I276-I176</f>
        <v>21560782.3506</v>
      </c>
      <c r="J21" s="151">
        <f>+I21</f>
        <v>21560782.3506</v>
      </c>
      <c r="K21" s="149"/>
      <c r="L21" s="149"/>
      <c r="M21" s="149"/>
      <c r="N21" s="328">
        <f>25492761.99-J21</f>
        <v>3931979.6393999979</v>
      </c>
      <c r="O21" s="263"/>
      <c r="P21" s="294"/>
      <c r="Q21" s="134"/>
      <c r="T21" s="87"/>
      <c r="U21" s="85"/>
    </row>
    <row r="22" spans="1:21" ht="12.75" x14ac:dyDescent="0.2">
      <c r="A22" s="265"/>
      <c r="B22" s="163"/>
      <c r="C22" s="149"/>
      <c r="D22" s="149"/>
      <c r="E22" s="149"/>
      <c r="F22" s="164"/>
      <c r="G22" s="165"/>
      <c r="H22" s="175" t="s">
        <v>91</v>
      </c>
      <c r="I22" s="176">
        <f>3649803.13+1216028.48-600000</f>
        <v>4265831.6099999994</v>
      </c>
      <c r="J22" s="151">
        <f>+I22</f>
        <v>4265831.6099999994</v>
      </c>
      <c r="K22" s="149"/>
      <c r="L22" s="151"/>
      <c r="M22" s="149"/>
      <c r="N22" s="328">
        <f>8363567.11-J22-536358.33</f>
        <v>3561377.1700000009</v>
      </c>
      <c r="O22" s="263"/>
      <c r="P22" s="294"/>
      <c r="Q22" s="134"/>
    </row>
    <row r="23" spans="1:21" ht="12.75" x14ac:dyDescent="0.2">
      <c r="A23" s="265"/>
      <c r="B23" s="163"/>
      <c r="C23" s="149"/>
      <c r="D23" s="149"/>
      <c r="E23" s="149"/>
      <c r="F23" s="164"/>
      <c r="G23" s="165"/>
      <c r="H23" s="175" t="s">
        <v>92</v>
      </c>
      <c r="I23" s="176">
        <v>768600</v>
      </c>
      <c r="J23" s="151">
        <f>+I23</f>
        <v>768600</v>
      </c>
      <c r="K23" s="151"/>
      <c r="L23" s="151"/>
      <c r="M23" s="151"/>
      <c r="N23" s="328">
        <f>950000-J23</f>
        <v>181400</v>
      </c>
      <c r="O23" s="263"/>
      <c r="P23" s="294"/>
      <c r="Q23" s="134"/>
    </row>
    <row r="24" spans="1:21" ht="12.75" x14ac:dyDescent="0.2">
      <c r="A24" s="265"/>
      <c r="B24" s="163"/>
      <c r="C24" s="149"/>
      <c r="D24" s="149"/>
      <c r="E24" s="149"/>
      <c r="F24" s="164"/>
      <c r="G24" s="165"/>
      <c r="H24" s="175" t="s">
        <v>95</v>
      </c>
      <c r="I24" s="176">
        <v>0</v>
      </c>
      <c r="J24" s="151">
        <f>+I24</f>
        <v>0</v>
      </c>
      <c r="K24" s="151"/>
      <c r="L24" s="151"/>
      <c r="M24" s="151"/>
      <c r="N24" s="328">
        <v>2500000</v>
      </c>
      <c r="O24" s="263"/>
      <c r="P24" s="294"/>
      <c r="Q24" s="134"/>
    </row>
    <row r="25" spans="1:21" s="80" customFormat="1" ht="12.75" x14ac:dyDescent="0.2">
      <c r="A25" s="265"/>
      <c r="B25" s="163"/>
      <c r="C25" s="149"/>
      <c r="D25" s="149"/>
      <c r="E25" s="149"/>
      <c r="F25" s="166"/>
      <c r="G25" s="110"/>
      <c r="H25" s="175"/>
      <c r="I25" s="176"/>
      <c r="J25" s="151"/>
      <c r="K25" s="151"/>
      <c r="L25" s="151"/>
      <c r="M25" s="151"/>
      <c r="N25" s="328"/>
      <c r="O25" s="263"/>
      <c r="P25" s="294"/>
      <c r="Q25" s="134"/>
      <c r="R25" s="83"/>
    </row>
    <row r="26" spans="1:21" ht="12.75" x14ac:dyDescent="0.2">
      <c r="A26" s="265"/>
      <c r="B26" s="163"/>
      <c r="C26" s="149"/>
      <c r="D26" s="149"/>
      <c r="E26" s="149"/>
      <c r="F26" s="167" t="s">
        <v>102</v>
      </c>
      <c r="G26" s="161" t="s">
        <v>219</v>
      </c>
      <c r="H26" s="175" t="s">
        <v>90</v>
      </c>
      <c r="I26" s="176">
        <v>44673479.289999999</v>
      </c>
      <c r="J26" s="151">
        <f>+I26</f>
        <v>44673479.289999999</v>
      </c>
      <c r="K26" s="151"/>
      <c r="L26" s="151"/>
      <c r="M26" s="151"/>
      <c r="N26" s="328">
        <f>+Q26-Q28+536358.33</f>
        <v>536358.32999999996</v>
      </c>
      <c r="O26" s="263"/>
      <c r="P26" s="294"/>
      <c r="Q26" s="134"/>
    </row>
    <row r="27" spans="1:21" s="80" customFormat="1" ht="12.75" x14ac:dyDescent="0.2">
      <c r="A27" s="265"/>
      <c r="B27" s="163"/>
      <c r="C27" s="149"/>
      <c r="D27" s="149"/>
      <c r="E27" s="149"/>
      <c r="F27" s="164"/>
      <c r="G27" s="165"/>
      <c r="H27" s="175" t="s">
        <v>91</v>
      </c>
      <c r="I27" s="176">
        <v>155918590.99000001</v>
      </c>
      <c r="J27" s="151">
        <f>+I27</f>
        <v>155918590.99000001</v>
      </c>
      <c r="K27" s="151"/>
      <c r="L27" s="151"/>
      <c r="M27" s="151"/>
      <c r="N27" s="328"/>
      <c r="O27" s="263"/>
      <c r="P27" s="294"/>
      <c r="Q27" s="134"/>
      <c r="R27" s="83"/>
    </row>
    <row r="28" spans="1:21" s="80" customFormat="1" ht="12.75" x14ac:dyDescent="0.2">
      <c r="A28" s="265"/>
      <c r="B28" s="163"/>
      <c r="C28" s="149"/>
      <c r="D28" s="149"/>
      <c r="E28" s="149"/>
      <c r="F28" s="164"/>
      <c r="G28" s="165"/>
      <c r="H28" s="175" t="s">
        <v>92</v>
      </c>
      <c r="I28" s="176">
        <v>4961200</v>
      </c>
      <c r="J28" s="151">
        <f>+I28</f>
        <v>4961200</v>
      </c>
      <c r="K28" s="151"/>
      <c r="L28" s="151"/>
      <c r="M28" s="151"/>
      <c r="N28" s="328"/>
      <c r="O28" s="263"/>
      <c r="P28" s="294"/>
      <c r="Q28" s="134"/>
      <c r="R28" s="83"/>
    </row>
    <row r="29" spans="1:21" s="80" customFormat="1" ht="12.75" x14ac:dyDescent="0.2">
      <c r="A29" s="265"/>
      <c r="B29" s="163"/>
      <c r="C29" s="149"/>
      <c r="D29" s="149"/>
      <c r="E29" s="149"/>
      <c r="F29" s="164"/>
      <c r="G29" s="165"/>
      <c r="H29" s="175" t="s">
        <v>95</v>
      </c>
      <c r="I29" s="176">
        <v>0</v>
      </c>
      <c r="J29" s="151">
        <f>+I29</f>
        <v>0</v>
      </c>
      <c r="K29" s="151"/>
      <c r="L29" s="151"/>
      <c r="M29" s="151"/>
      <c r="N29" s="328"/>
      <c r="O29" s="263"/>
      <c r="P29" s="294"/>
      <c r="Q29" s="134"/>
      <c r="R29" s="83"/>
    </row>
    <row r="30" spans="1:21" s="80" customFormat="1" ht="12.75" x14ac:dyDescent="0.2">
      <c r="A30" s="265"/>
      <c r="B30" s="163"/>
      <c r="C30" s="149"/>
      <c r="D30" s="149"/>
      <c r="E30" s="149"/>
      <c r="F30" s="166"/>
      <c r="G30" s="110"/>
      <c r="H30" s="175"/>
      <c r="I30" s="176"/>
      <c r="J30" s="151"/>
      <c r="K30" s="151"/>
      <c r="L30" s="151"/>
      <c r="M30" s="151"/>
      <c r="N30" s="328"/>
      <c r="O30" s="263"/>
      <c r="P30" s="294"/>
      <c r="Q30" s="134"/>
      <c r="R30" s="83"/>
    </row>
    <row r="31" spans="1:21" s="80" customFormat="1" ht="12" customHeight="1" x14ac:dyDescent="0.2">
      <c r="A31" s="265"/>
      <c r="B31" s="163"/>
      <c r="C31" s="149"/>
      <c r="D31" s="149"/>
      <c r="E31" s="149"/>
      <c r="F31" s="160" t="s">
        <v>103</v>
      </c>
      <c r="G31" s="161" t="s">
        <v>220</v>
      </c>
      <c r="H31" s="175" t="s">
        <v>90</v>
      </c>
      <c r="I31" s="176">
        <v>221455023.66999999</v>
      </c>
      <c r="J31" s="151">
        <f>+I31</f>
        <v>221455023.66999999</v>
      </c>
      <c r="K31" s="151"/>
      <c r="L31" s="151"/>
      <c r="M31" s="151"/>
      <c r="N31" s="328"/>
      <c r="O31" s="263"/>
      <c r="P31" s="294"/>
      <c r="Q31" s="134"/>
      <c r="R31" s="83"/>
    </row>
    <row r="32" spans="1:21" s="80" customFormat="1" ht="12.75" x14ac:dyDescent="0.2">
      <c r="A32" s="265"/>
      <c r="B32" s="163"/>
      <c r="C32" s="149"/>
      <c r="D32" s="149"/>
      <c r="E32" s="149"/>
      <c r="F32" s="164"/>
      <c r="G32" s="165"/>
      <c r="H32" s="175" t="s">
        <v>91</v>
      </c>
      <c r="I32" s="176">
        <v>163167105.06</v>
      </c>
      <c r="J32" s="151">
        <f>+I32</f>
        <v>163167105.06</v>
      </c>
      <c r="K32" s="151"/>
      <c r="L32" s="151"/>
      <c r="M32" s="151"/>
      <c r="N32" s="328">
        <f>+Q32-Q34-14720000</f>
        <v>-14720000</v>
      </c>
      <c r="O32" s="263"/>
      <c r="P32" s="294"/>
      <c r="Q32" s="134"/>
      <c r="R32" s="83"/>
    </row>
    <row r="33" spans="1:18" s="80" customFormat="1" ht="12.75" x14ac:dyDescent="0.2">
      <c r="A33" s="265"/>
      <c r="B33" s="163"/>
      <c r="C33" s="149"/>
      <c r="D33" s="149"/>
      <c r="E33" s="149"/>
      <c r="F33" s="164"/>
      <c r="G33" s="165"/>
      <c r="H33" s="175" t="s">
        <v>92</v>
      </c>
      <c r="I33" s="176">
        <v>1819182.94</v>
      </c>
      <c r="J33" s="151">
        <f>+I33</f>
        <v>1819182.94</v>
      </c>
      <c r="K33" s="151"/>
      <c r="L33" s="151"/>
      <c r="M33" s="151"/>
      <c r="N33" s="328"/>
      <c r="O33" s="263"/>
      <c r="P33" s="294"/>
      <c r="Q33" s="134"/>
      <c r="R33" s="83"/>
    </row>
    <row r="34" spans="1:18" s="80" customFormat="1" ht="12.75" x14ac:dyDescent="0.2">
      <c r="A34" s="265"/>
      <c r="B34" s="163"/>
      <c r="C34" s="149"/>
      <c r="D34" s="149"/>
      <c r="E34" s="149"/>
      <c r="F34" s="164"/>
      <c r="G34" s="165"/>
      <c r="H34" s="175" t="s">
        <v>94</v>
      </c>
      <c r="I34" s="176">
        <v>14995</v>
      </c>
      <c r="J34" s="151">
        <v>0</v>
      </c>
      <c r="K34" s="151">
        <f>+I34</f>
        <v>14995</v>
      </c>
      <c r="L34" s="151"/>
      <c r="M34" s="151"/>
      <c r="N34" s="328"/>
      <c r="O34" s="263"/>
      <c r="P34" s="294"/>
      <c r="Q34" s="134"/>
      <c r="R34" s="83"/>
    </row>
    <row r="35" spans="1:18" s="80" customFormat="1" ht="12.75" x14ac:dyDescent="0.2">
      <c r="A35" s="265"/>
      <c r="B35" s="163"/>
      <c r="C35" s="149"/>
      <c r="D35" s="149"/>
      <c r="E35" s="149"/>
      <c r="F35" s="164"/>
      <c r="G35" s="165"/>
      <c r="H35" s="175" t="s">
        <v>95</v>
      </c>
      <c r="I35" s="176">
        <v>4229983.5599999996</v>
      </c>
      <c r="J35" s="151">
        <f>+I35</f>
        <v>4229983.5599999996</v>
      </c>
      <c r="K35" s="151"/>
      <c r="L35" s="151"/>
      <c r="M35" s="151"/>
      <c r="N35" s="328"/>
      <c r="O35" s="263"/>
      <c r="P35" s="294"/>
      <c r="Q35" s="134"/>
      <c r="R35" s="83"/>
    </row>
    <row r="36" spans="1:18" s="80" customFormat="1" ht="12.75" x14ac:dyDescent="0.2">
      <c r="A36" s="265"/>
      <c r="B36" s="163"/>
      <c r="C36" s="149"/>
      <c r="D36" s="149"/>
      <c r="E36" s="149"/>
      <c r="F36" s="166"/>
      <c r="G36" s="110"/>
      <c r="H36" s="175"/>
      <c r="I36" s="176"/>
      <c r="J36" s="151">
        <f>+I36</f>
        <v>0</v>
      </c>
      <c r="K36" s="151"/>
      <c r="L36" s="151"/>
      <c r="M36" s="151"/>
      <c r="N36" s="328"/>
      <c r="O36" s="263"/>
      <c r="P36" s="294"/>
      <c r="Q36" s="134"/>
      <c r="R36" s="83"/>
    </row>
    <row r="37" spans="1:18" s="80" customFormat="1" ht="12.75" x14ac:dyDescent="0.2">
      <c r="A37" s="265"/>
      <c r="B37" s="163"/>
      <c r="C37" s="149"/>
      <c r="D37" s="149"/>
      <c r="E37" s="149"/>
      <c r="F37" s="160" t="s">
        <v>104</v>
      </c>
      <c r="G37" s="161" t="s">
        <v>221</v>
      </c>
      <c r="H37" s="175" t="s">
        <v>90</v>
      </c>
      <c r="I37" s="176">
        <v>41840615.600000001</v>
      </c>
      <c r="J37" s="151">
        <f>+I37</f>
        <v>41840615.600000001</v>
      </c>
      <c r="K37" s="151"/>
      <c r="L37" s="151"/>
      <c r="M37" s="151"/>
      <c r="N37" s="328">
        <f>166731281.23-41840615.6</f>
        <v>124890665.63</v>
      </c>
      <c r="O37" s="263"/>
      <c r="P37" s="294"/>
      <c r="Q37" s="134"/>
      <c r="R37" s="83"/>
    </row>
    <row r="38" spans="1:18" s="80" customFormat="1" ht="12.75" x14ac:dyDescent="0.2">
      <c r="A38" s="265"/>
      <c r="B38" s="163"/>
      <c r="C38" s="149"/>
      <c r="D38" s="149"/>
      <c r="E38" s="149"/>
      <c r="F38" s="157"/>
      <c r="G38" s="158"/>
      <c r="H38" s="175"/>
      <c r="I38" s="176"/>
      <c r="J38" s="151"/>
      <c r="K38" s="151"/>
      <c r="L38" s="151"/>
      <c r="M38" s="151"/>
      <c r="N38" s="328"/>
      <c r="O38" s="263"/>
      <c r="P38" s="294"/>
      <c r="Q38" s="134"/>
      <c r="R38" s="83"/>
    </row>
    <row r="39" spans="1:18" s="80" customFormat="1" ht="12.75" x14ac:dyDescent="0.2">
      <c r="A39" s="265"/>
      <c r="B39" s="163"/>
      <c r="C39" s="149"/>
      <c r="D39" s="149"/>
      <c r="E39" s="149"/>
      <c r="F39" s="160" t="s">
        <v>105</v>
      </c>
      <c r="G39" s="161" t="s">
        <v>222</v>
      </c>
      <c r="H39" s="175" t="s">
        <v>90</v>
      </c>
      <c r="I39" s="176">
        <v>38390750.840000004</v>
      </c>
      <c r="J39" s="151">
        <f>+I39</f>
        <v>38390750.840000004</v>
      </c>
      <c r="K39" s="151"/>
      <c r="L39" s="151"/>
      <c r="M39" s="151"/>
      <c r="N39" s="328">
        <f>+Q39-Q40</f>
        <v>0</v>
      </c>
      <c r="O39" s="263"/>
      <c r="P39" s="294"/>
      <c r="Q39" s="134"/>
      <c r="R39" s="83"/>
    </row>
    <row r="40" spans="1:18" s="80" customFormat="1" ht="12.75" x14ac:dyDescent="0.2">
      <c r="A40" s="265"/>
      <c r="B40" s="163"/>
      <c r="C40" s="149"/>
      <c r="D40" s="149"/>
      <c r="E40" s="149"/>
      <c r="F40" s="164"/>
      <c r="G40" s="165"/>
      <c r="H40" s="175" t="s">
        <v>91</v>
      </c>
      <c r="I40" s="176">
        <v>643844.04</v>
      </c>
      <c r="J40" s="151">
        <f>+I40</f>
        <v>643844.04</v>
      </c>
      <c r="K40" s="151"/>
      <c r="L40" s="151"/>
      <c r="M40" s="151"/>
      <c r="N40" s="328"/>
      <c r="O40" s="263"/>
      <c r="P40" s="294"/>
      <c r="Q40" s="134"/>
      <c r="R40" s="83"/>
    </row>
    <row r="41" spans="1:18" s="80" customFormat="1" ht="12.75" x14ac:dyDescent="0.2">
      <c r="A41" s="265"/>
      <c r="B41" s="163"/>
      <c r="C41" s="149"/>
      <c r="D41" s="149"/>
      <c r="E41" s="149"/>
      <c r="F41" s="164"/>
      <c r="G41" s="165"/>
      <c r="H41" s="175" t="s">
        <v>95</v>
      </c>
      <c r="I41" s="176">
        <v>7150024.8499999996</v>
      </c>
      <c r="J41" s="151">
        <f>+I41</f>
        <v>7150024.8499999996</v>
      </c>
      <c r="K41" s="151"/>
      <c r="L41" s="151"/>
      <c r="M41" s="151"/>
      <c r="N41" s="328"/>
      <c r="O41" s="263"/>
      <c r="P41" s="294"/>
      <c r="Q41" s="134"/>
      <c r="R41" s="83"/>
    </row>
    <row r="42" spans="1:18" s="80" customFormat="1" ht="12.75" x14ac:dyDescent="0.2">
      <c r="A42" s="265"/>
      <c r="B42" s="163"/>
      <c r="C42" s="149"/>
      <c r="D42" s="149"/>
      <c r="E42" s="149"/>
      <c r="F42" s="166"/>
      <c r="G42" s="110"/>
      <c r="H42" s="175"/>
      <c r="I42" s="176"/>
      <c r="J42" s="151">
        <f>+I42</f>
        <v>0</v>
      </c>
      <c r="K42" s="151"/>
      <c r="L42" s="151"/>
      <c r="M42" s="151"/>
      <c r="N42" s="328"/>
      <c r="O42" s="263"/>
      <c r="P42" s="294"/>
      <c r="Q42" s="134"/>
      <c r="R42" s="83"/>
    </row>
    <row r="43" spans="1:18" s="80" customFormat="1" ht="12.75" x14ac:dyDescent="0.2">
      <c r="A43" s="265"/>
      <c r="B43" s="163"/>
      <c r="C43" s="149"/>
      <c r="D43" s="149"/>
      <c r="E43" s="149"/>
      <c r="F43" s="157" t="s">
        <v>106</v>
      </c>
      <c r="G43" s="168" t="s">
        <v>223</v>
      </c>
      <c r="H43" s="175" t="s">
        <v>90</v>
      </c>
      <c r="I43" s="176">
        <v>161833100.83000001</v>
      </c>
      <c r="J43" s="151">
        <f>+I43</f>
        <v>161833100.83000001</v>
      </c>
      <c r="K43" s="151"/>
      <c r="L43" s="151"/>
      <c r="M43" s="151"/>
      <c r="N43" s="328">
        <f>+Q43-I43</f>
        <v>-161833100.83000001</v>
      </c>
      <c r="O43" s="263"/>
      <c r="P43" s="294"/>
      <c r="Q43" s="135"/>
      <c r="R43" s="83"/>
    </row>
    <row r="44" spans="1:18" s="80" customFormat="1" ht="12.75" x14ac:dyDescent="0.2">
      <c r="A44" s="265"/>
      <c r="B44" s="163"/>
      <c r="C44" s="149"/>
      <c r="D44" s="149"/>
      <c r="E44" s="149"/>
      <c r="F44" s="157"/>
      <c r="G44" s="158"/>
      <c r="H44" s="175"/>
      <c r="I44" s="176"/>
      <c r="J44" s="151"/>
      <c r="K44" s="151"/>
      <c r="L44" s="151"/>
      <c r="M44" s="151"/>
      <c r="N44" s="328"/>
      <c r="O44" s="263"/>
      <c r="P44" s="294"/>
      <c r="Q44" s="135"/>
      <c r="R44" s="83"/>
    </row>
    <row r="45" spans="1:18" s="80" customFormat="1" ht="12.75" x14ac:dyDescent="0.2">
      <c r="A45" s="265"/>
      <c r="B45" s="163"/>
      <c r="C45" s="149"/>
      <c r="D45" s="149"/>
      <c r="E45" s="149"/>
      <c r="F45" s="160" t="s">
        <v>107</v>
      </c>
      <c r="G45" s="161" t="s">
        <v>224</v>
      </c>
      <c r="H45" s="175" t="s">
        <v>90</v>
      </c>
      <c r="I45" s="176">
        <v>290063878.61000001</v>
      </c>
      <c r="J45" s="151">
        <f>+I45</f>
        <v>290063878.61000001</v>
      </c>
      <c r="K45" s="151"/>
      <c r="L45" s="151"/>
      <c r="M45" s="151"/>
      <c r="N45" s="328">
        <v>0</v>
      </c>
      <c r="O45" s="263"/>
      <c r="P45" s="294"/>
      <c r="Q45" s="135"/>
      <c r="R45" s="83"/>
    </row>
    <row r="46" spans="1:18" s="80" customFormat="1" ht="12.75" x14ac:dyDescent="0.2">
      <c r="A46" s="265"/>
      <c r="B46" s="163"/>
      <c r="C46" s="149"/>
      <c r="D46" s="149"/>
      <c r="E46" s="149"/>
      <c r="F46" s="160"/>
      <c r="G46" s="169"/>
      <c r="H46" s="175" t="s">
        <v>91</v>
      </c>
      <c r="I46" s="176">
        <f>54927427.33-I524</f>
        <v>48086948.530000001</v>
      </c>
      <c r="J46" s="151">
        <f>+I46</f>
        <v>48086948.530000001</v>
      </c>
      <c r="K46" s="151"/>
      <c r="L46" s="151"/>
      <c r="M46" s="151"/>
      <c r="N46" s="328">
        <v>5000000</v>
      </c>
      <c r="O46" s="263"/>
      <c r="P46" s="294"/>
      <c r="Q46" s="84"/>
      <c r="R46" s="83"/>
    </row>
    <row r="47" spans="1:18" s="80" customFormat="1" ht="12.75" x14ac:dyDescent="0.2">
      <c r="A47" s="265"/>
      <c r="B47" s="163"/>
      <c r="C47" s="149"/>
      <c r="D47" s="149"/>
      <c r="E47" s="149"/>
      <c r="F47" s="160"/>
      <c r="G47" s="169"/>
      <c r="H47" s="175" t="s">
        <v>92</v>
      </c>
      <c r="I47" s="176">
        <f>17337658-I525</f>
        <v>17299850</v>
      </c>
      <c r="J47" s="151">
        <f>+I47</f>
        <v>17299850</v>
      </c>
      <c r="K47" s="151"/>
      <c r="L47" s="151"/>
      <c r="M47" s="151"/>
      <c r="N47" s="328"/>
      <c r="O47" s="263"/>
      <c r="P47" s="294"/>
      <c r="Q47" s="84"/>
      <c r="R47" s="83"/>
    </row>
    <row r="48" spans="1:18" s="80" customFormat="1" ht="12.75" x14ac:dyDescent="0.2">
      <c r="A48" s="265"/>
      <c r="B48" s="163"/>
      <c r="C48" s="149"/>
      <c r="D48" s="149"/>
      <c r="E48" s="149"/>
      <c r="F48" s="160"/>
      <c r="G48" s="169"/>
      <c r="H48" s="175" t="s">
        <v>94</v>
      </c>
      <c r="I48" s="176">
        <f>16621176.2-I526</f>
        <v>0</v>
      </c>
      <c r="J48" s="151">
        <f>+I48</f>
        <v>0</v>
      </c>
      <c r="K48" s="151"/>
      <c r="L48" s="151"/>
      <c r="M48" s="151"/>
      <c r="N48" s="328"/>
      <c r="O48" s="263"/>
      <c r="P48" s="294"/>
      <c r="Q48" s="84"/>
      <c r="R48" s="83"/>
    </row>
    <row r="49" spans="1:18" s="80" customFormat="1" ht="12.75" x14ac:dyDescent="0.2">
      <c r="A49" s="265"/>
      <c r="B49" s="163"/>
      <c r="C49" s="149"/>
      <c r="D49" s="149"/>
      <c r="E49" s="149"/>
      <c r="F49" s="160"/>
      <c r="G49" s="169"/>
      <c r="H49" s="175" t="s">
        <v>95</v>
      </c>
      <c r="I49" s="176">
        <f>25706492.8-I527</f>
        <v>23327669</v>
      </c>
      <c r="J49" s="151">
        <f>+I49</f>
        <v>23327669</v>
      </c>
      <c r="K49" s="151"/>
      <c r="L49" s="151"/>
      <c r="M49" s="151"/>
      <c r="N49" s="328"/>
      <c r="O49" s="263"/>
      <c r="P49" s="294"/>
      <c r="Q49" s="84"/>
      <c r="R49" s="83"/>
    </row>
    <row r="50" spans="1:18" s="80" customFormat="1" ht="12.75" x14ac:dyDescent="0.2">
      <c r="A50" s="265"/>
      <c r="B50" s="163"/>
      <c r="C50" s="149"/>
      <c r="D50" s="149"/>
      <c r="E50" s="149"/>
      <c r="F50" s="157"/>
      <c r="G50" s="158"/>
      <c r="H50" s="175"/>
      <c r="I50" s="176"/>
      <c r="J50" s="151"/>
      <c r="K50" s="151"/>
      <c r="L50" s="151"/>
      <c r="M50" s="151"/>
      <c r="N50" s="337"/>
      <c r="O50" s="263"/>
      <c r="P50" s="294"/>
      <c r="Q50" s="84"/>
      <c r="R50" s="83"/>
    </row>
    <row r="51" spans="1:18" s="80" customFormat="1" ht="12.75" x14ac:dyDescent="0.2">
      <c r="A51" s="265"/>
      <c r="B51" s="163"/>
      <c r="C51" s="149"/>
      <c r="D51" s="149"/>
      <c r="E51" s="149"/>
      <c r="F51" s="157" t="s">
        <v>108</v>
      </c>
      <c r="G51" s="152" t="s">
        <v>225</v>
      </c>
      <c r="H51" s="175" t="s">
        <v>90</v>
      </c>
      <c r="I51" s="176">
        <f>100828569.49+24503959.86</f>
        <v>125332529.34999999</v>
      </c>
      <c r="J51" s="151">
        <f>+I51</f>
        <v>125332529.34999999</v>
      </c>
      <c r="K51" s="151"/>
      <c r="L51" s="151"/>
      <c r="M51" s="151"/>
      <c r="N51" s="328">
        <f>+Q50-Q51</f>
        <v>0</v>
      </c>
      <c r="O51" s="263"/>
      <c r="P51" s="294"/>
      <c r="Q51" s="134"/>
      <c r="R51" s="83"/>
    </row>
    <row r="52" spans="1:18" s="80" customFormat="1" ht="12.75" x14ac:dyDescent="0.2">
      <c r="A52" s="265"/>
      <c r="B52" s="163"/>
      <c r="C52" s="149"/>
      <c r="D52" s="149"/>
      <c r="E52" s="149"/>
      <c r="F52" s="166"/>
      <c r="G52" s="152"/>
      <c r="H52" s="175" t="s">
        <v>91</v>
      </c>
      <c r="I52" s="176">
        <v>13779691.66</v>
      </c>
      <c r="J52" s="151">
        <f>+I52</f>
        <v>13779691.66</v>
      </c>
      <c r="K52" s="151"/>
      <c r="L52" s="151"/>
      <c r="M52" s="151"/>
      <c r="N52" s="328"/>
      <c r="O52" s="263"/>
      <c r="P52" s="294"/>
      <c r="Q52" s="134"/>
      <c r="R52" s="83"/>
    </row>
    <row r="53" spans="1:18" s="80" customFormat="1" ht="12.75" x14ac:dyDescent="0.2">
      <c r="A53" s="265"/>
      <c r="B53" s="163"/>
      <c r="C53" s="149"/>
      <c r="D53" s="149"/>
      <c r="E53" s="149"/>
      <c r="F53" s="166"/>
      <c r="G53" s="152"/>
      <c r="H53" s="175" t="s">
        <v>92</v>
      </c>
      <c r="I53" s="176">
        <v>252663</v>
      </c>
      <c r="J53" s="151">
        <f>+I53</f>
        <v>252663</v>
      </c>
      <c r="K53" s="151"/>
      <c r="L53" s="151"/>
      <c r="M53" s="151"/>
      <c r="N53" s="328"/>
      <c r="O53" s="263"/>
      <c r="P53" s="294"/>
      <c r="Q53" s="134"/>
      <c r="R53" s="83"/>
    </row>
    <row r="54" spans="1:18" s="80" customFormat="1" ht="12.75" x14ac:dyDescent="0.2">
      <c r="A54" s="265"/>
      <c r="B54" s="163"/>
      <c r="C54" s="149"/>
      <c r="D54" s="149"/>
      <c r="E54" s="149"/>
      <c r="F54" s="166"/>
      <c r="G54" s="152"/>
      <c r="H54" s="175" t="s">
        <v>95</v>
      </c>
      <c r="I54" s="176">
        <v>0</v>
      </c>
      <c r="J54" s="151">
        <f>+I54</f>
        <v>0</v>
      </c>
      <c r="K54" s="151"/>
      <c r="L54" s="151"/>
      <c r="M54" s="151"/>
      <c r="N54" s="328"/>
      <c r="O54" s="263"/>
      <c r="P54" s="294"/>
      <c r="Q54" s="134"/>
      <c r="R54" s="83"/>
    </row>
    <row r="55" spans="1:18" s="80" customFormat="1" ht="12.75" x14ac:dyDescent="0.2">
      <c r="A55" s="265"/>
      <c r="B55" s="163"/>
      <c r="C55" s="149"/>
      <c r="D55" s="149"/>
      <c r="E55" s="149"/>
      <c r="F55" s="166"/>
      <c r="G55" s="152"/>
      <c r="H55" s="175"/>
      <c r="I55" s="176"/>
      <c r="J55" s="151"/>
      <c r="K55" s="151"/>
      <c r="L55" s="151"/>
      <c r="M55" s="151"/>
      <c r="N55" s="328"/>
      <c r="O55" s="263"/>
      <c r="P55" s="294"/>
      <c r="Q55" s="134"/>
      <c r="R55" s="83"/>
    </row>
    <row r="56" spans="1:18" s="80" customFormat="1" ht="12.75" x14ac:dyDescent="0.2">
      <c r="A56" s="265"/>
      <c r="B56" s="163"/>
      <c r="C56" s="149"/>
      <c r="D56" s="149"/>
      <c r="E56" s="149"/>
      <c r="F56" s="157" t="s">
        <v>109</v>
      </c>
      <c r="G56" s="152" t="s">
        <v>226</v>
      </c>
      <c r="H56" s="175" t="s">
        <v>90</v>
      </c>
      <c r="I56" s="176">
        <v>24381459.890000001</v>
      </c>
      <c r="J56" s="151">
        <f>+I56</f>
        <v>24381459.890000001</v>
      </c>
      <c r="K56" s="151"/>
      <c r="L56" s="151"/>
      <c r="M56" s="151"/>
      <c r="N56" s="328">
        <f>+Q56-Q57</f>
        <v>0</v>
      </c>
      <c r="O56" s="263"/>
      <c r="P56" s="294"/>
      <c r="Q56" s="134"/>
      <c r="R56" s="83"/>
    </row>
    <row r="57" spans="1:18" s="80" customFormat="1" ht="12.75" x14ac:dyDescent="0.2">
      <c r="A57" s="265"/>
      <c r="B57" s="163"/>
      <c r="C57" s="149"/>
      <c r="D57" s="149"/>
      <c r="E57" s="149"/>
      <c r="F57" s="166"/>
      <c r="G57" s="110"/>
      <c r="H57" s="175" t="s">
        <v>91</v>
      </c>
      <c r="I57" s="176"/>
      <c r="J57" s="151">
        <f>+I57</f>
        <v>0</v>
      </c>
      <c r="K57" s="151"/>
      <c r="L57" s="151"/>
      <c r="M57" s="151"/>
      <c r="N57" s="328"/>
      <c r="O57" s="263"/>
      <c r="P57" s="294"/>
      <c r="Q57" s="134"/>
      <c r="R57" s="83"/>
    </row>
    <row r="58" spans="1:18" s="80" customFormat="1" ht="12.75" x14ac:dyDescent="0.2">
      <c r="A58" s="265"/>
      <c r="B58" s="163"/>
      <c r="C58" s="149"/>
      <c r="D58" s="149"/>
      <c r="E58" s="149"/>
      <c r="F58" s="166"/>
      <c r="G58" s="110"/>
      <c r="H58" s="175" t="s">
        <v>92</v>
      </c>
      <c r="I58" s="176"/>
      <c r="J58" s="151">
        <f>+I58</f>
        <v>0</v>
      </c>
      <c r="K58" s="151"/>
      <c r="L58" s="151"/>
      <c r="M58" s="151"/>
      <c r="N58" s="328"/>
      <c r="O58" s="263"/>
      <c r="P58" s="294"/>
      <c r="Q58" s="134"/>
      <c r="R58" s="83"/>
    </row>
    <row r="59" spans="1:18" s="80" customFormat="1" ht="12.75" x14ac:dyDescent="0.2">
      <c r="A59" s="265"/>
      <c r="B59" s="163"/>
      <c r="C59" s="149"/>
      <c r="D59" s="149"/>
      <c r="E59" s="149"/>
      <c r="F59" s="166"/>
      <c r="G59" s="110"/>
      <c r="H59" s="175" t="s">
        <v>95</v>
      </c>
      <c r="I59" s="176">
        <v>114416.44</v>
      </c>
      <c r="J59" s="151">
        <f>+I59</f>
        <v>114416.44</v>
      </c>
      <c r="K59" s="151"/>
      <c r="L59" s="151"/>
      <c r="M59" s="151"/>
      <c r="N59" s="328"/>
      <c r="O59" s="263"/>
      <c r="P59" s="294"/>
      <c r="Q59" s="134"/>
      <c r="R59" s="83"/>
    </row>
    <row r="60" spans="1:18" s="80" customFormat="1" ht="12.75" x14ac:dyDescent="0.2">
      <c r="A60" s="265"/>
      <c r="B60" s="163"/>
      <c r="C60" s="149"/>
      <c r="D60" s="149"/>
      <c r="E60" s="149"/>
      <c r="F60" s="166"/>
      <c r="G60" s="110"/>
      <c r="H60" s="175"/>
      <c r="I60" s="176"/>
      <c r="J60" s="151"/>
      <c r="K60" s="151"/>
      <c r="L60" s="151"/>
      <c r="M60" s="151"/>
      <c r="N60" s="328"/>
      <c r="O60" s="263"/>
      <c r="P60" s="294"/>
      <c r="Q60" s="134"/>
      <c r="R60" s="83"/>
    </row>
    <row r="61" spans="1:18" s="80" customFormat="1" ht="12.75" x14ac:dyDescent="0.2">
      <c r="A61" s="265"/>
      <c r="B61" s="163"/>
      <c r="C61" s="149"/>
      <c r="D61" s="149"/>
      <c r="E61" s="149"/>
      <c r="F61" s="157" t="s">
        <v>110</v>
      </c>
      <c r="G61" s="152" t="s">
        <v>227</v>
      </c>
      <c r="H61" s="175" t="s">
        <v>90</v>
      </c>
      <c r="I61" s="176">
        <v>0</v>
      </c>
      <c r="J61" s="151">
        <f>+I61</f>
        <v>0</v>
      </c>
      <c r="K61" s="151"/>
      <c r="L61" s="151"/>
      <c r="M61" s="151"/>
      <c r="N61" s="328">
        <v>17331645.09</v>
      </c>
      <c r="O61" s="263"/>
      <c r="P61" s="294"/>
      <c r="Q61" s="134"/>
      <c r="R61" s="83"/>
    </row>
    <row r="62" spans="1:18" s="80" customFormat="1" ht="12.75" x14ac:dyDescent="0.2">
      <c r="A62" s="265"/>
      <c r="B62" s="163"/>
      <c r="C62" s="149"/>
      <c r="D62" s="149"/>
      <c r="E62" s="149"/>
      <c r="F62" s="157"/>
      <c r="G62" s="158"/>
      <c r="H62" s="175"/>
      <c r="I62" s="176"/>
      <c r="J62" s="151"/>
      <c r="K62" s="151"/>
      <c r="L62" s="151"/>
      <c r="M62" s="151"/>
      <c r="N62" s="328"/>
      <c r="O62" s="263"/>
      <c r="P62" s="294"/>
      <c r="Q62" s="134"/>
      <c r="R62" s="83"/>
    </row>
    <row r="63" spans="1:18" s="80" customFormat="1" ht="12.75" x14ac:dyDescent="0.2">
      <c r="A63" s="265"/>
      <c r="B63" s="163"/>
      <c r="C63" s="149"/>
      <c r="D63" s="149"/>
      <c r="E63" s="149"/>
      <c r="F63" s="249" t="s">
        <v>111</v>
      </c>
      <c r="G63" s="152" t="s">
        <v>228</v>
      </c>
      <c r="H63" s="175" t="s">
        <v>90</v>
      </c>
      <c r="I63" s="176">
        <v>356219873.93000001</v>
      </c>
      <c r="J63" s="151"/>
      <c r="K63" s="151">
        <f>+I63</f>
        <v>356219873.93000001</v>
      </c>
      <c r="L63" s="151"/>
      <c r="M63" s="151"/>
      <c r="N63" s="328"/>
      <c r="O63" s="263"/>
      <c r="P63" s="294"/>
      <c r="Q63" s="134"/>
      <c r="R63" s="83"/>
    </row>
    <row r="64" spans="1:18" s="80" customFormat="1" ht="12.75" x14ac:dyDescent="0.2">
      <c r="A64" s="265"/>
      <c r="B64" s="163"/>
      <c r="C64" s="149"/>
      <c r="D64" s="149"/>
      <c r="E64" s="149"/>
      <c r="F64" s="173"/>
      <c r="G64" s="174"/>
      <c r="H64" s="175" t="s">
        <v>91</v>
      </c>
      <c r="I64" s="176">
        <v>142782750.52000001</v>
      </c>
      <c r="J64" s="151"/>
      <c r="K64" s="151">
        <f>+I64</f>
        <v>142782750.52000001</v>
      </c>
      <c r="L64" s="151"/>
      <c r="M64" s="151"/>
      <c r="N64" s="328"/>
      <c r="O64" s="263"/>
      <c r="P64" s="294"/>
      <c r="Q64" s="134"/>
      <c r="R64" s="83"/>
    </row>
    <row r="65" spans="1:18" s="80" customFormat="1" ht="12.75" x14ac:dyDescent="0.2">
      <c r="A65" s="265"/>
      <c r="B65" s="163"/>
      <c r="C65" s="149"/>
      <c r="D65" s="149"/>
      <c r="E65" s="149"/>
      <c r="F65" s="173"/>
      <c r="G65" s="174"/>
      <c r="H65" s="175" t="s">
        <v>92</v>
      </c>
      <c r="I65" s="176">
        <v>323815069.06</v>
      </c>
      <c r="J65" s="151"/>
      <c r="K65" s="151">
        <f>+I65</f>
        <v>323815069.06</v>
      </c>
      <c r="L65" s="151"/>
      <c r="M65" s="151"/>
      <c r="N65" s="328"/>
      <c r="O65" s="263"/>
      <c r="P65" s="294"/>
      <c r="Q65" s="134"/>
      <c r="R65" s="83"/>
    </row>
    <row r="66" spans="1:18" s="80" customFormat="1" ht="12.75" x14ac:dyDescent="0.2">
      <c r="A66" s="265"/>
      <c r="B66" s="163"/>
      <c r="C66" s="149"/>
      <c r="D66" s="149"/>
      <c r="E66" s="149"/>
      <c r="F66" s="173"/>
      <c r="G66" s="174"/>
      <c r="H66" s="175" t="s">
        <v>94</v>
      </c>
      <c r="I66" s="176">
        <f>113300000-23979905.51</f>
        <v>89320094.489999995</v>
      </c>
      <c r="J66" s="151"/>
      <c r="K66" s="151">
        <f>+I66</f>
        <v>89320094.489999995</v>
      </c>
      <c r="L66" s="151"/>
      <c r="M66" s="151"/>
      <c r="N66" s="328"/>
      <c r="O66" s="263"/>
      <c r="P66" s="294"/>
      <c r="Q66" s="134"/>
      <c r="R66" s="83"/>
    </row>
    <row r="67" spans="1:18" s="80" customFormat="1" ht="12.75" x14ac:dyDescent="0.2">
      <c r="A67" s="265"/>
      <c r="B67" s="163"/>
      <c r="C67" s="149"/>
      <c r="D67" s="149"/>
      <c r="E67" s="149"/>
      <c r="F67" s="173"/>
      <c r="G67" s="174"/>
      <c r="H67" s="175" t="s">
        <v>95</v>
      </c>
      <c r="I67" s="176"/>
      <c r="J67" s="151"/>
      <c r="K67" s="151"/>
      <c r="L67" s="151"/>
      <c r="M67" s="151"/>
      <c r="N67" s="328">
        <v>21460218.18</v>
      </c>
      <c r="O67" s="263"/>
      <c r="P67" s="294"/>
      <c r="Q67" s="134"/>
      <c r="R67" s="83"/>
    </row>
    <row r="68" spans="1:18" s="80" customFormat="1" ht="12.75" x14ac:dyDescent="0.2">
      <c r="A68" s="265"/>
      <c r="B68" s="163"/>
      <c r="C68" s="149"/>
      <c r="D68" s="149"/>
      <c r="E68" s="149"/>
      <c r="F68" s="173"/>
      <c r="G68" s="174"/>
      <c r="H68" s="175"/>
      <c r="I68" s="176"/>
      <c r="J68" s="151"/>
      <c r="K68" s="151"/>
      <c r="L68" s="151"/>
      <c r="M68" s="151"/>
      <c r="N68" s="328"/>
      <c r="O68" s="263"/>
      <c r="P68" s="294"/>
      <c r="Q68" s="134"/>
      <c r="R68" s="83"/>
    </row>
    <row r="69" spans="1:18" s="80" customFormat="1" ht="12.75" x14ac:dyDescent="0.2">
      <c r="A69" s="265"/>
      <c r="B69" s="163"/>
      <c r="C69" s="149"/>
      <c r="D69" s="149"/>
      <c r="E69" s="149"/>
      <c r="F69" s="249" t="s">
        <v>133</v>
      </c>
      <c r="G69" s="251" t="s">
        <v>367</v>
      </c>
      <c r="H69" s="175" t="s">
        <v>94</v>
      </c>
      <c r="I69" s="176">
        <v>230000000</v>
      </c>
      <c r="J69" s="151">
        <v>0</v>
      </c>
      <c r="K69" s="151">
        <f>+I69</f>
        <v>230000000</v>
      </c>
      <c r="L69" s="151"/>
      <c r="M69" s="151"/>
      <c r="N69" s="328">
        <v>139720000</v>
      </c>
      <c r="O69" s="263"/>
      <c r="P69" s="294"/>
      <c r="Q69" s="134"/>
      <c r="R69" s="83"/>
    </row>
    <row r="70" spans="1:18" s="80" customFormat="1" ht="12.75" x14ac:dyDescent="0.2">
      <c r="A70" s="265"/>
      <c r="B70" s="163"/>
      <c r="C70" s="149"/>
      <c r="D70" s="149"/>
      <c r="E70" s="149"/>
      <c r="F70" s="249"/>
      <c r="G70" s="250"/>
      <c r="H70" s="175"/>
      <c r="I70" s="176"/>
      <c r="J70" s="151"/>
      <c r="K70" s="151"/>
      <c r="L70" s="151"/>
      <c r="M70" s="151"/>
      <c r="N70" s="328"/>
      <c r="O70" s="263"/>
      <c r="P70" s="294"/>
      <c r="Q70" s="134"/>
      <c r="R70" s="83"/>
    </row>
    <row r="71" spans="1:18" s="80" customFormat="1" ht="12.75" x14ac:dyDescent="0.2">
      <c r="A71" s="265"/>
      <c r="B71" s="163"/>
      <c r="C71" s="149"/>
      <c r="D71" s="149"/>
      <c r="E71" s="149"/>
      <c r="F71" s="249" t="s">
        <v>112</v>
      </c>
      <c r="G71" s="250"/>
      <c r="H71" s="175" t="s">
        <v>94</v>
      </c>
      <c r="I71" s="176">
        <v>0</v>
      </c>
      <c r="J71" s="151">
        <f>+I71</f>
        <v>0</v>
      </c>
      <c r="K71" s="151"/>
      <c r="L71" s="151"/>
      <c r="M71" s="151"/>
      <c r="N71" s="176">
        <v>320656250</v>
      </c>
      <c r="O71" s="263"/>
      <c r="P71" s="294"/>
      <c r="Q71" s="134"/>
      <c r="R71" s="83"/>
    </row>
    <row r="72" spans="1:18" s="80" customFormat="1" ht="12.75" x14ac:dyDescent="0.2">
      <c r="A72" s="265"/>
      <c r="B72" s="163"/>
      <c r="C72" s="149"/>
      <c r="D72" s="149"/>
      <c r="E72" s="149"/>
      <c r="F72" s="249"/>
      <c r="G72" s="250"/>
      <c r="H72" s="175"/>
      <c r="I72" s="176"/>
      <c r="J72" s="151"/>
      <c r="K72" s="151"/>
      <c r="L72" s="151"/>
      <c r="M72" s="151"/>
      <c r="N72" s="176"/>
      <c r="O72" s="263"/>
      <c r="P72" s="294"/>
      <c r="Q72" s="134"/>
      <c r="R72" s="83"/>
    </row>
    <row r="73" spans="1:18" s="80" customFormat="1" ht="12.75" x14ac:dyDescent="0.2">
      <c r="A73" s="265"/>
      <c r="B73" s="163"/>
      <c r="C73" s="149"/>
      <c r="D73" s="149"/>
      <c r="E73" s="149"/>
      <c r="F73" s="249" t="s">
        <v>113</v>
      </c>
      <c r="G73" s="251" t="s">
        <v>229</v>
      </c>
      <c r="H73" s="175" t="s">
        <v>90</v>
      </c>
      <c r="I73" s="176">
        <v>936702257.90999997</v>
      </c>
      <c r="J73" s="151">
        <f t="shared" ref="J73:J83" si="0">+I73</f>
        <v>936702257.90999997</v>
      </c>
      <c r="K73" s="151"/>
      <c r="L73" s="151"/>
      <c r="M73" s="151"/>
      <c r="N73" s="328"/>
      <c r="O73" s="263"/>
      <c r="P73" s="294"/>
      <c r="Q73" s="136"/>
      <c r="R73" s="83"/>
    </row>
    <row r="74" spans="1:18" s="80" customFormat="1" ht="12.75" x14ac:dyDescent="0.2">
      <c r="A74" s="265"/>
      <c r="B74" s="163"/>
      <c r="C74" s="149"/>
      <c r="D74" s="149"/>
      <c r="E74" s="149"/>
      <c r="F74" s="173"/>
      <c r="G74" s="174"/>
      <c r="H74" s="175" t="s">
        <v>91</v>
      </c>
      <c r="I74" s="176">
        <v>0</v>
      </c>
      <c r="J74" s="151">
        <f t="shared" si="0"/>
        <v>0</v>
      </c>
      <c r="K74" s="151"/>
      <c r="L74" s="151"/>
      <c r="M74" s="151"/>
      <c r="N74" s="176">
        <f>182621642.33-I74-100000000+25000000+30000000</f>
        <v>137621642.33000001</v>
      </c>
      <c r="O74" s="263"/>
      <c r="P74" s="294"/>
      <c r="Q74" s="134"/>
      <c r="R74" s="83"/>
    </row>
    <row r="75" spans="1:18" s="80" customFormat="1" ht="12.75" x14ac:dyDescent="0.2">
      <c r="A75" s="265"/>
      <c r="B75" s="163"/>
      <c r="C75" s="149"/>
      <c r="D75" s="149"/>
      <c r="E75" s="149"/>
      <c r="F75" s="173"/>
      <c r="G75" s="174"/>
      <c r="H75" s="175" t="s">
        <v>92</v>
      </c>
      <c r="I75" s="176">
        <f>178959665.83-I634</f>
        <v>178953315.83000001</v>
      </c>
      <c r="J75" s="151">
        <f t="shared" si="0"/>
        <v>178953315.83000001</v>
      </c>
      <c r="K75" s="151"/>
      <c r="L75" s="151"/>
      <c r="M75" s="151"/>
      <c r="N75" s="176"/>
      <c r="O75" s="263"/>
      <c r="P75" s="294"/>
      <c r="Q75" s="136"/>
      <c r="R75" s="83"/>
    </row>
    <row r="76" spans="1:18" s="80" customFormat="1" ht="12.75" x14ac:dyDescent="0.2">
      <c r="A76" s="265"/>
      <c r="B76" s="163"/>
      <c r="C76" s="149"/>
      <c r="D76" s="149"/>
      <c r="E76" s="149"/>
      <c r="F76" s="173"/>
      <c r="G76" s="174"/>
      <c r="H76" s="175" t="s">
        <v>94</v>
      </c>
      <c r="I76" s="176">
        <v>0</v>
      </c>
      <c r="J76" s="151">
        <f t="shared" si="0"/>
        <v>0</v>
      </c>
      <c r="K76" s="151"/>
      <c r="L76" s="151"/>
      <c r="M76" s="151"/>
      <c r="N76" s="176">
        <f>728570266.92+7195134.87-I76-31172710.82-5000000-25000000-25000000+6350-30000000</f>
        <v>619599040.96999991</v>
      </c>
      <c r="O76" s="263"/>
      <c r="P76" s="294"/>
      <c r="Q76" s="134"/>
      <c r="R76" s="83"/>
    </row>
    <row r="77" spans="1:18" s="80" customFormat="1" ht="12.75" x14ac:dyDescent="0.2">
      <c r="A77" s="265"/>
      <c r="B77" s="163"/>
      <c r="C77" s="149"/>
      <c r="D77" s="149"/>
      <c r="E77" s="149"/>
      <c r="F77" s="173"/>
      <c r="G77" s="174"/>
      <c r="H77" s="175" t="s">
        <v>95</v>
      </c>
      <c r="I77" s="176">
        <f>22176797.9-8296263.13</f>
        <v>13880534.77</v>
      </c>
      <c r="J77" s="151">
        <f t="shared" si="0"/>
        <v>13880534.77</v>
      </c>
      <c r="K77" s="151"/>
      <c r="L77" s="151"/>
      <c r="M77" s="151"/>
      <c r="N77" s="176">
        <f>22176797.9-I77</f>
        <v>8296263.129999999</v>
      </c>
      <c r="O77" s="263"/>
      <c r="P77" s="294"/>
      <c r="Q77" s="134"/>
      <c r="R77" s="83"/>
    </row>
    <row r="78" spans="1:18" s="80" customFormat="1" ht="12.75" x14ac:dyDescent="0.2">
      <c r="A78" s="265"/>
      <c r="B78" s="163"/>
      <c r="C78" s="149"/>
      <c r="D78" s="149"/>
      <c r="E78" s="149"/>
      <c r="F78" s="173"/>
      <c r="G78" s="174"/>
      <c r="H78" s="175"/>
      <c r="I78" s="176"/>
      <c r="J78" s="151">
        <f t="shared" si="0"/>
        <v>0</v>
      </c>
      <c r="K78" s="151"/>
      <c r="L78" s="151"/>
      <c r="M78" s="151"/>
      <c r="N78" s="328"/>
      <c r="O78" s="263"/>
      <c r="P78" s="294"/>
      <c r="Q78" s="134"/>
      <c r="R78" s="83"/>
    </row>
    <row r="79" spans="1:18" s="80" customFormat="1" ht="12.75" x14ac:dyDescent="0.2">
      <c r="A79" s="265"/>
      <c r="B79" s="163"/>
      <c r="C79" s="149"/>
      <c r="D79" s="149"/>
      <c r="E79" s="149"/>
      <c r="F79" s="249" t="s">
        <v>114</v>
      </c>
      <c r="G79" s="251" t="s">
        <v>230</v>
      </c>
      <c r="H79" s="175" t="s">
        <v>90</v>
      </c>
      <c r="I79" s="176">
        <v>101054482.26000001</v>
      </c>
      <c r="J79" s="151">
        <f t="shared" si="0"/>
        <v>101054482.26000001</v>
      </c>
      <c r="K79" s="151"/>
      <c r="L79" s="151"/>
      <c r="M79" s="151"/>
      <c r="N79" s="328">
        <f>+Q80-Q79</f>
        <v>0</v>
      </c>
      <c r="O79" s="263"/>
      <c r="P79" s="294"/>
      <c r="Q79" s="136"/>
      <c r="R79" s="83"/>
    </row>
    <row r="80" spans="1:18" s="80" customFormat="1" ht="12.75" x14ac:dyDescent="0.2">
      <c r="A80" s="265"/>
      <c r="B80" s="163"/>
      <c r="C80" s="149"/>
      <c r="D80" s="149"/>
      <c r="E80" s="149"/>
      <c r="F80" s="173"/>
      <c r="G80" s="174"/>
      <c r="H80" s="175" t="s">
        <v>91</v>
      </c>
      <c r="I80" s="176">
        <v>2056186.11</v>
      </c>
      <c r="J80" s="151">
        <f t="shared" si="0"/>
        <v>2056186.11</v>
      </c>
      <c r="K80" s="151"/>
      <c r="L80" s="151"/>
      <c r="M80" s="151"/>
      <c r="N80" s="328"/>
      <c r="O80" s="263"/>
      <c r="P80" s="294"/>
      <c r="Q80" s="134"/>
      <c r="R80" s="83"/>
    </row>
    <row r="81" spans="1:21" s="80" customFormat="1" ht="12.75" x14ac:dyDescent="0.2">
      <c r="A81" s="265"/>
      <c r="B81" s="163"/>
      <c r="C81" s="149"/>
      <c r="D81" s="149"/>
      <c r="E81" s="149"/>
      <c r="F81" s="173"/>
      <c r="G81" s="174"/>
      <c r="H81" s="175" t="s">
        <v>92</v>
      </c>
      <c r="I81" s="176">
        <v>204334</v>
      </c>
      <c r="J81" s="151">
        <f t="shared" si="0"/>
        <v>204334</v>
      </c>
      <c r="K81" s="151"/>
      <c r="L81" s="151"/>
      <c r="M81" s="151"/>
      <c r="N81" s="328"/>
      <c r="O81" s="263"/>
      <c r="P81" s="294"/>
      <c r="Q81" s="134"/>
      <c r="R81" s="83"/>
    </row>
    <row r="82" spans="1:21" s="80" customFormat="1" ht="12.75" x14ac:dyDescent="0.2">
      <c r="A82" s="265"/>
      <c r="B82" s="163"/>
      <c r="C82" s="149"/>
      <c r="D82" s="149"/>
      <c r="E82" s="149"/>
      <c r="F82" s="173"/>
      <c r="G82" s="174"/>
      <c r="H82" s="175" t="s">
        <v>94</v>
      </c>
      <c r="I82" s="176">
        <v>0</v>
      </c>
      <c r="J82" s="151">
        <f t="shared" si="0"/>
        <v>0</v>
      </c>
      <c r="K82" s="151">
        <f>+I82</f>
        <v>0</v>
      </c>
      <c r="L82" s="151"/>
      <c r="M82" s="151"/>
      <c r="N82" s="328"/>
      <c r="O82" s="263"/>
      <c r="P82" s="294"/>
      <c r="Q82" s="134"/>
      <c r="R82" s="83"/>
    </row>
    <row r="83" spans="1:21" s="80" customFormat="1" ht="12.75" x14ac:dyDescent="0.2">
      <c r="A83" s="265"/>
      <c r="B83" s="163"/>
      <c r="C83" s="149"/>
      <c r="D83" s="149"/>
      <c r="E83" s="149"/>
      <c r="F83" s="173"/>
      <c r="G83" s="174"/>
      <c r="H83" s="175" t="s">
        <v>95</v>
      </c>
      <c r="I83" s="176">
        <v>308961.31</v>
      </c>
      <c r="J83" s="151">
        <f t="shared" si="0"/>
        <v>308961.31</v>
      </c>
      <c r="K83" s="151"/>
      <c r="L83" s="151"/>
      <c r="M83" s="151"/>
      <c r="N83" s="328"/>
      <c r="O83" s="263"/>
      <c r="P83" s="294"/>
      <c r="Q83" s="134"/>
      <c r="R83" s="83"/>
    </row>
    <row r="84" spans="1:21" s="113" customFormat="1" ht="12.75" x14ac:dyDescent="0.2">
      <c r="A84" s="266"/>
      <c r="B84" s="171"/>
      <c r="C84" s="172"/>
      <c r="D84" s="172"/>
      <c r="E84" s="172"/>
      <c r="F84" s="173"/>
      <c r="G84" s="174"/>
      <c r="H84" s="175"/>
      <c r="I84" s="176"/>
      <c r="J84" s="176"/>
      <c r="K84" s="176"/>
      <c r="L84" s="176"/>
      <c r="M84" s="176"/>
      <c r="N84" s="328"/>
      <c r="O84" s="267"/>
      <c r="P84" s="294"/>
      <c r="Q84" s="137"/>
      <c r="R84" s="316"/>
    </row>
    <row r="85" spans="1:21" s="80" customFormat="1" ht="12.75" x14ac:dyDescent="0.2">
      <c r="A85" s="265"/>
      <c r="B85" s="163"/>
      <c r="C85" s="149"/>
      <c r="D85" s="149"/>
      <c r="E85" s="149"/>
      <c r="F85" s="157" t="s">
        <v>115</v>
      </c>
      <c r="G85" s="100" t="s">
        <v>231</v>
      </c>
      <c r="H85" s="175" t="s">
        <v>98</v>
      </c>
      <c r="I85" s="176">
        <v>0</v>
      </c>
      <c r="J85" s="151">
        <f>+I85</f>
        <v>0</v>
      </c>
      <c r="K85" s="151"/>
      <c r="L85" s="151"/>
      <c r="M85" s="151"/>
      <c r="N85" s="328">
        <v>162818.68</v>
      </c>
      <c r="O85" s="263"/>
      <c r="P85" s="294"/>
      <c r="Q85" s="134"/>
      <c r="R85" s="83"/>
    </row>
    <row r="86" spans="1:21" s="113" customFormat="1" ht="12.75" x14ac:dyDescent="0.2">
      <c r="A86" s="266"/>
      <c r="B86" s="171"/>
      <c r="C86" s="172"/>
      <c r="D86" s="172"/>
      <c r="E86" s="172"/>
      <c r="F86" s="173" t="s">
        <v>201</v>
      </c>
      <c r="G86" s="100" t="s">
        <v>213</v>
      </c>
      <c r="H86" s="175" t="s">
        <v>95</v>
      </c>
      <c r="I86" s="176"/>
      <c r="J86" s="176"/>
      <c r="K86" s="176"/>
      <c r="L86" s="176"/>
      <c r="M86" s="176"/>
      <c r="N86" s="328">
        <f>+(E11-D11)*0.015</f>
        <v>33078232.337399997</v>
      </c>
      <c r="O86" s="267"/>
      <c r="P86" s="294"/>
      <c r="Q86" s="137"/>
      <c r="R86" s="316"/>
    </row>
    <row r="87" spans="1:21" s="113" customFormat="1" ht="12.75" x14ac:dyDescent="0.2">
      <c r="A87" s="266"/>
      <c r="B87" s="171"/>
      <c r="C87" s="172"/>
      <c r="D87" s="172"/>
      <c r="E87" s="172"/>
      <c r="F87" s="173" t="s">
        <v>201</v>
      </c>
      <c r="G87" s="100" t="s">
        <v>214</v>
      </c>
      <c r="H87" s="175" t="s">
        <v>95</v>
      </c>
      <c r="I87" s="176"/>
      <c r="J87" s="176"/>
      <c r="K87" s="176"/>
      <c r="L87" s="176"/>
      <c r="M87" s="176"/>
      <c r="N87" s="328">
        <f>+(E11-D11)*0.1</f>
        <v>220521548.91600001</v>
      </c>
      <c r="O87" s="267"/>
      <c r="P87" s="294"/>
      <c r="Q87" s="137"/>
      <c r="R87" s="316"/>
    </row>
    <row r="88" spans="1:21" s="80" customFormat="1" ht="12.75" x14ac:dyDescent="0.2">
      <c r="A88" s="265"/>
      <c r="B88" s="163"/>
      <c r="C88" s="149"/>
      <c r="D88" s="149"/>
      <c r="E88" s="149"/>
      <c r="F88" s="173" t="s">
        <v>201</v>
      </c>
      <c r="G88" s="100" t="s">
        <v>215</v>
      </c>
      <c r="H88" s="153" t="s">
        <v>95</v>
      </c>
      <c r="I88" s="151"/>
      <c r="J88" s="151"/>
      <c r="K88" s="151"/>
      <c r="L88" s="151"/>
      <c r="M88" s="151"/>
      <c r="N88" s="328">
        <f>+(E11-D11)*0.005</f>
        <v>11026077.445799999</v>
      </c>
      <c r="O88" s="263"/>
      <c r="P88" s="294"/>
      <c r="Q88" s="134"/>
      <c r="R88" s="83"/>
    </row>
    <row r="89" spans="1:21" s="80" customFormat="1" ht="12.75" x14ac:dyDescent="0.2">
      <c r="A89" s="265"/>
      <c r="B89" s="163"/>
      <c r="C89" s="149"/>
      <c r="D89" s="149"/>
      <c r="E89" s="149"/>
      <c r="F89" s="157" t="s">
        <v>118</v>
      </c>
      <c r="G89" s="158"/>
      <c r="H89" s="153"/>
      <c r="I89" s="151"/>
      <c r="J89" s="151"/>
      <c r="K89" s="151"/>
      <c r="L89" s="151"/>
      <c r="M89" s="151"/>
      <c r="N89" s="328">
        <f>+E11-D11-264625858.7-398286633.16</f>
        <v>1542302997.2999997</v>
      </c>
      <c r="O89" s="263"/>
      <c r="P89" s="294"/>
      <c r="Q89" s="134"/>
      <c r="R89" s="83"/>
    </row>
    <row r="90" spans="1:21" s="80" customFormat="1" ht="12.75" x14ac:dyDescent="0.2">
      <c r="A90" s="268"/>
      <c r="B90" s="177"/>
      <c r="C90" s="178"/>
      <c r="D90" s="178"/>
      <c r="E90" s="178"/>
      <c r="F90" s="179"/>
      <c r="G90" s="180"/>
      <c r="H90" s="181"/>
      <c r="I90" s="182"/>
      <c r="J90" s="182"/>
      <c r="K90" s="182"/>
      <c r="L90" s="182"/>
      <c r="M90" s="182"/>
      <c r="N90" s="183"/>
      <c r="O90" s="269"/>
      <c r="P90" s="294"/>
      <c r="Q90" s="134"/>
      <c r="R90" s="83"/>
    </row>
    <row r="91" spans="1:21" s="80" customFormat="1" ht="12.75" x14ac:dyDescent="0.2">
      <c r="A91" s="89" t="s">
        <v>194</v>
      </c>
      <c r="B91" s="90" t="s">
        <v>195</v>
      </c>
      <c r="C91" s="91"/>
      <c r="D91" s="91">
        <v>0</v>
      </c>
      <c r="E91" s="91">
        <v>38487.1</v>
      </c>
      <c r="F91" s="184"/>
      <c r="G91" s="185"/>
      <c r="H91" s="186"/>
      <c r="I91" s="187">
        <f t="shared" ref="I91:N91" si="1">SUM(I92:I96)</f>
        <v>0</v>
      </c>
      <c r="J91" s="187">
        <f t="shared" si="1"/>
        <v>0</v>
      </c>
      <c r="K91" s="187">
        <f t="shared" si="1"/>
        <v>0</v>
      </c>
      <c r="L91" s="187">
        <f t="shared" si="1"/>
        <v>0</v>
      </c>
      <c r="M91" s="187">
        <f t="shared" si="1"/>
        <v>0</v>
      </c>
      <c r="N91" s="187">
        <f t="shared" si="1"/>
        <v>38487.097500000003</v>
      </c>
      <c r="O91" s="263"/>
      <c r="P91" s="294"/>
      <c r="Q91" s="134"/>
      <c r="R91" s="83"/>
      <c r="S91" s="87"/>
      <c r="T91" s="87"/>
      <c r="U91" s="87"/>
    </row>
    <row r="92" spans="1:21" s="80" customFormat="1" ht="12.75" x14ac:dyDescent="0.2">
      <c r="A92" s="265"/>
      <c r="B92" s="163"/>
      <c r="C92" s="149"/>
      <c r="D92" s="149"/>
      <c r="E92" s="149"/>
      <c r="F92" s="157" t="s">
        <v>201</v>
      </c>
      <c r="G92" s="153" t="s">
        <v>247</v>
      </c>
      <c r="H92" s="153" t="s">
        <v>96</v>
      </c>
      <c r="I92" s="151">
        <v>0</v>
      </c>
      <c r="J92" s="151">
        <f>+I92</f>
        <v>0</v>
      </c>
      <c r="K92" s="151"/>
      <c r="L92" s="151"/>
      <c r="M92" s="151"/>
      <c r="N92" s="328">
        <f>+E91*0.08</f>
        <v>3078.9679999999998</v>
      </c>
      <c r="O92" s="270"/>
      <c r="P92" s="299"/>
      <c r="Q92" s="134"/>
      <c r="R92" s="83"/>
      <c r="T92" s="102"/>
    </row>
    <row r="93" spans="1:21" s="88" customFormat="1" ht="12.75" x14ac:dyDescent="0.2">
      <c r="A93" s="265"/>
      <c r="B93" s="163"/>
      <c r="C93" s="149"/>
      <c r="D93" s="149"/>
      <c r="E93" s="149"/>
      <c r="F93" s="157" t="s">
        <v>201</v>
      </c>
      <c r="G93" s="158" t="s">
        <v>246</v>
      </c>
      <c r="H93" s="153" t="s">
        <v>95</v>
      </c>
      <c r="I93" s="151">
        <v>0</v>
      </c>
      <c r="J93" s="151">
        <f>+I93</f>
        <v>0</v>
      </c>
      <c r="K93" s="151"/>
      <c r="L93" s="151"/>
      <c r="M93" s="151"/>
      <c r="N93" s="328">
        <f>+E91*0.03</f>
        <v>1154.6129999999998</v>
      </c>
      <c r="O93" s="263"/>
      <c r="P93" s="294"/>
      <c r="Q93" s="134"/>
      <c r="R93" s="83"/>
      <c r="T93" s="102"/>
    </row>
    <row r="94" spans="1:21" s="88" customFormat="1" ht="12.75" x14ac:dyDescent="0.2">
      <c r="A94" s="265"/>
      <c r="B94" s="163"/>
      <c r="C94" s="149"/>
      <c r="D94" s="149"/>
      <c r="E94" s="149"/>
      <c r="F94" s="157" t="s">
        <v>201</v>
      </c>
      <c r="G94" s="100" t="s">
        <v>213</v>
      </c>
      <c r="H94" s="153" t="s">
        <v>95</v>
      </c>
      <c r="I94" s="151">
        <v>0</v>
      </c>
      <c r="J94" s="151">
        <f>+I94</f>
        <v>0</v>
      </c>
      <c r="K94" s="151"/>
      <c r="L94" s="151"/>
      <c r="M94" s="151"/>
      <c r="N94" s="328">
        <f>+E91*0.015</f>
        <v>577.30649999999991</v>
      </c>
      <c r="O94" s="263"/>
      <c r="P94" s="294"/>
      <c r="Q94" s="134"/>
      <c r="R94" s="83"/>
      <c r="T94" s="102"/>
    </row>
    <row r="95" spans="1:21" s="88" customFormat="1" ht="12.75" x14ac:dyDescent="0.2">
      <c r="A95" s="265"/>
      <c r="B95" s="163"/>
      <c r="C95" s="149"/>
      <c r="D95" s="149"/>
      <c r="E95" s="149"/>
      <c r="F95" s="157" t="s">
        <v>201</v>
      </c>
      <c r="G95" s="100" t="s">
        <v>214</v>
      </c>
      <c r="H95" s="153" t="s">
        <v>95</v>
      </c>
      <c r="I95" s="151">
        <v>0</v>
      </c>
      <c r="J95" s="151">
        <f>+I95</f>
        <v>0</v>
      </c>
      <c r="K95" s="151"/>
      <c r="L95" s="151"/>
      <c r="M95" s="151"/>
      <c r="N95" s="328">
        <f>+E91*0.1</f>
        <v>3848.71</v>
      </c>
      <c r="O95" s="263"/>
      <c r="P95" s="294"/>
      <c r="Q95" s="134"/>
      <c r="R95" s="83"/>
      <c r="T95" s="102"/>
    </row>
    <row r="96" spans="1:21" s="88" customFormat="1" ht="12.75" x14ac:dyDescent="0.2">
      <c r="A96" s="265"/>
      <c r="B96" s="163"/>
      <c r="C96" s="149"/>
      <c r="D96" s="149"/>
      <c r="E96" s="149"/>
      <c r="F96" s="157" t="s">
        <v>118</v>
      </c>
      <c r="G96" s="158"/>
      <c r="H96" s="153"/>
      <c r="I96" s="151"/>
      <c r="J96" s="151"/>
      <c r="K96" s="151"/>
      <c r="L96" s="151"/>
      <c r="M96" s="151"/>
      <c r="N96" s="188">
        <f>+E91-8659.6</f>
        <v>29827.5</v>
      </c>
      <c r="O96" s="263"/>
      <c r="P96" s="294"/>
      <c r="Q96" s="134"/>
      <c r="R96" s="83"/>
      <c r="T96" s="102"/>
    </row>
    <row r="97" spans="1:21" s="86" customFormat="1" ht="12.75" x14ac:dyDescent="0.2">
      <c r="A97" s="268"/>
      <c r="B97" s="177"/>
      <c r="C97" s="178"/>
      <c r="D97" s="178"/>
      <c r="E97" s="178"/>
      <c r="F97" s="179"/>
      <c r="G97" s="180"/>
      <c r="H97" s="181"/>
      <c r="I97" s="182"/>
      <c r="J97" s="182"/>
      <c r="K97" s="182"/>
      <c r="L97" s="182"/>
      <c r="M97" s="182"/>
      <c r="N97" s="183"/>
      <c r="O97" s="269"/>
      <c r="P97" s="294"/>
      <c r="Q97" s="134"/>
      <c r="R97" s="83"/>
      <c r="T97" s="102"/>
    </row>
    <row r="98" spans="1:21" s="80" customFormat="1" ht="25.5" x14ac:dyDescent="0.2">
      <c r="A98" s="92" t="s">
        <v>198</v>
      </c>
      <c r="B98" s="93" t="s">
        <v>199</v>
      </c>
      <c r="C98" s="189"/>
      <c r="D98" s="189">
        <v>81244000</v>
      </c>
      <c r="E98" s="94">
        <v>120393209.7</v>
      </c>
      <c r="F98" s="190"/>
      <c r="G98" s="191"/>
      <c r="H98" s="192"/>
      <c r="I98" s="193">
        <f>SUM(I99:I100)</f>
        <v>81244000</v>
      </c>
      <c r="J98" s="193">
        <f>SUM(J99:J100)</f>
        <v>81244000</v>
      </c>
      <c r="K98" s="193">
        <f>SUM(K99:K100)</f>
        <v>0</v>
      </c>
      <c r="L98" s="193">
        <f>SUM(L99:L100)</f>
        <v>0</v>
      </c>
      <c r="M98" s="193">
        <f>SUM(M99:M100)</f>
        <v>0</v>
      </c>
      <c r="N98" s="193">
        <f>SUM(N99:N101)</f>
        <v>39149209.700000003</v>
      </c>
      <c r="O98" s="271"/>
      <c r="P98" s="300"/>
      <c r="Q98" s="134"/>
      <c r="R98" s="83"/>
      <c r="S98" s="87"/>
      <c r="T98" s="87"/>
      <c r="U98" s="87"/>
    </row>
    <row r="99" spans="1:21" s="80" customFormat="1" ht="12.75" x14ac:dyDescent="0.2">
      <c r="A99" s="92"/>
      <c r="B99" s="95"/>
      <c r="C99" s="189"/>
      <c r="D99" s="189"/>
      <c r="E99" s="189"/>
      <c r="F99" s="194" t="s">
        <v>200</v>
      </c>
      <c r="G99" s="195" t="s">
        <v>241</v>
      </c>
      <c r="H99" s="196" t="s">
        <v>91</v>
      </c>
      <c r="I99" s="197">
        <v>3606892.41</v>
      </c>
      <c r="J99" s="197">
        <f>+I99</f>
        <v>3606892.41</v>
      </c>
      <c r="K99" s="197"/>
      <c r="L99" s="197"/>
      <c r="M99" s="197"/>
      <c r="N99" s="198"/>
      <c r="O99" s="272"/>
      <c r="P99" s="294"/>
      <c r="Q99" s="134"/>
      <c r="R99" s="83"/>
    </row>
    <row r="100" spans="1:21" s="80" customFormat="1" ht="12.75" x14ac:dyDescent="0.2">
      <c r="A100" s="92"/>
      <c r="B100" s="93"/>
      <c r="C100" s="189"/>
      <c r="D100" s="189"/>
      <c r="E100" s="189"/>
      <c r="F100" s="194" t="s">
        <v>201</v>
      </c>
      <c r="G100" s="195" t="s">
        <v>232</v>
      </c>
      <c r="H100" s="196" t="s">
        <v>95</v>
      </c>
      <c r="I100" s="197">
        <v>77637107.590000004</v>
      </c>
      <c r="J100" s="197">
        <f>+I100</f>
        <v>77637107.590000004</v>
      </c>
      <c r="K100" s="197"/>
      <c r="L100" s="197"/>
      <c r="M100" s="197"/>
      <c r="N100" s="198"/>
      <c r="O100" s="272"/>
      <c r="P100" s="294"/>
      <c r="Q100" s="134"/>
      <c r="R100" s="83"/>
    </row>
    <row r="101" spans="1:21" s="80" customFormat="1" ht="12.75" x14ac:dyDescent="0.2">
      <c r="A101" s="273"/>
      <c r="B101" s="199"/>
      <c r="C101" s="189"/>
      <c r="D101" s="189"/>
      <c r="E101" s="189"/>
      <c r="F101" s="200" t="s">
        <v>197</v>
      </c>
      <c r="G101" s="201"/>
      <c r="H101" s="196"/>
      <c r="I101" s="197"/>
      <c r="J101" s="197"/>
      <c r="K101" s="197"/>
      <c r="L101" s="197"/>
      <c r="M101" s="197"/>
      <c r="N101" s="198">
        <f>+E98-D98</f>
        <v>39149209.700000003</v>
      </c>
      <c r="O101" s="272"/>
      <c r="P101" s="294"/>
      <c r="Q101" s="134"/>
      <c r="R101" s="83"/>
    </row>
    <row r="102" spans="1:21" s="86" customFormat="1" ht="12.75" x14ac:dyDescent="0.2">
      <c r="A102" s="268"/>
      <c r="B102" s="177"/>
      <c r="C102" s="178"/>
      <c r="D102" s="178"/>
      <c r="E102" s="178"/>
      <c r="F102" s="179"/>
      <c r="G102" s="180"/>
      <c r="H102" s="181"/>
      <c r="I102" s="182"/>
      <c r="J102" s="182"/>
      <c r="K102" s="182"/>
      <c r="L102" s="182"/>
      <c r="M102" s="182"/>
      <c r="N102" s="183"/>
      <c r="O102" s="269"/>
      <c r="P102" s="294"/>
      <c r="Q102" s="134"/>
      <c r="R102" s="83"/>
    </row>
    <row r="103" spans="1:21" s="80" customFormat="1" ht="12.75" x14ac:dyDescent="0.2">
      <c r="A103" s="89" t="s">
        <v>202</v>
      </c>
      <c r="B103" s="90" t="s">
        <v>203</v>
      </c>
      <c r="C103" s="149"/>
      <c r="D103" s="149">
        <v>0</v>
      </c>
      <c r="E103" s="149">
        <v>194674.97</v>
      </c>
      <c r="F103" s="184"/>
      <c r="G103" s="185"/>
      <c r="H103" s="186"/>
      <c r="I103" s="187"/>
      <c r="J103" s="187"/>
      <c r="K103" s="187"/>
      <c r="L103" s="187"/>
      <c r="M103" s="187"/>
      <c r="N103" s="202">
        <f>SUM(N104)</f>
        <v>194674.97</v>
      </c>
      <c r="O103" s="263"/>
      <c r="P103" s="294"/>
      <c r="Q103" s="134"/>
      <c r="R103" s="83"/>
      <c r="S103" s="87"/>
      <c r="T103" s="87"/>
      <c r="U103" s="87"/>
    </row>
    <row r="104" spans="1:21" s="80" customFormat="1" ht="12.75" x14ac:dyDescent="0.2">
      <c r="A104" s="265"/>
      <c r="B104" s="163"/>
      <c r="C104" s="149"/>
      <c r="D104" s="149"/>
      <c r="E104" s="149"/>
      <c r="F104" s="157" t="s">
        <v>197</v>
      </c>
      <c r="G104" s="158"/>
      <c r="H104" s="153"/>
      <c r="I104" s="151"/>
      <c r="J104" s="151"/>
      <c r="K104" s="151"/>
      <c r="L104" s="151"/>
      <c r="M104" s="151"/>
      <c r="N104" s="328">
        <v>194674.97</v>
      </c>
      <c r="O104" s="263"/>
      <c r="P104" s="294"/>
      <c r="Q104" s="134"/>
      <c r="R104" s="83"/>
    </row>
    <row r="105" spans="1:21" s="96" customFormat="1" ht="12.75" x14ac:dyDescent="0.2">
      <c r="A105" s="268"/>
      <c r="B105" s="177"/>
      <c r="C105" s="178"/>
      <c r="D105" s="178"/>
      <c r="E105" s="178"/>
      <c r="F105" s="203"/>
      <c r="G105" s="204"/>
      <c r="H105" s="181"/>
      <c r="I105" s="182"/>
      <c r="J105" s="182"/>
      <c r="K105" s="182"/>
      <c r="L105" s="182"/>
      <c r="M105" s="182"/>
      <c r="N105" s="183"/>
      <c r="O105" s="269"/>
      <c r="P105" s="294"/>
      <c r="Q105" s="138"/>
      <c r="R105" s="317"/>
    </row>
    <row r="106" spans="1:21" s="80" customFormat="1" ht="12.75" x14ac:dyDescent="0.2">
      <c r="A106" s="92" t="s">
        <v>204</v>
      </c>
      <c r="B106" s="97" t="s">
        <v>205</v>
      </c>
      <c r="C106" s="189"/>
      <c r="D106" s="189">
        <v>800000000</v>
      </c>
      <c r="E106" s="205">
        <v>1077737573.4300001</v>
      </c>
      <c r="F106" s="205"/>
      <c r="G106" s="206"/>
      <c r="H106" s="196"/>
      <c r="I106" s="207">
        <f>SUM(I107:I108)</f>
        <v>334387705.49279982</v>
      </c>
      <c r="J106" s="207">
        <f>SUM(J107:J108)</f>
        <v>334387705.49279982</v>
      </c>
      <c r="K106" s="207">
        <f>SUM(K107:K108)</f>
        <v>0</v>
      </c>
      <c r="L106" s="207">
        <f>SUM(L107:L108)</f>
        <v>0</v>
      </c>
      <c r="M106" s="207">
        <f>SUM(M107:M108)</f>
        <v>0</v>
      </c>
      <c r="N106" s="207">
        <f>SUM(N107:N109)</f>
        <v>743349867.93720019</v>
      </c>
      <c r="O106" s="274"/>
      <c r="P106" s="298"/>
      <c r="Q106" s="134"/>
      <c r="R106" s="83"/>
      <c r="S106" s="87"/>
      <c r="T106" s="87"/>
      <c r="U106" s="87"/>
    </row>
    <row r="107" spans="1:21" s="80" customFormat="1" ht="12.75" x14ac:dyDescent="0.2">
      <c r="A107" s="273"/>
      <c r="B107" s="199"/>
      <c r="C107" s="189"/>
      <c r="D107" s="189"/>
      <c r="E107" s="189"/>
      <c r="F107" s="200" t="s">
        <v>200</v>
      </c>
      <c r="G107" s="195" t="s">
        <v>241</v>
      </c>
      <c r="H107" s="196" t="s">
        <v>90</v>
      </c>
      <c r="I107" s="208">
        <f>262257651.09-15400286.18+15882565.64</f>
        <v>262739930.55000001</v>
      </c>
      <c r="J107" s="208">
        <f>+I107</f>
        <v>262739930.55000001</v>
      </c>
      <c r="K107" s="197"/>
      <c r="L107" s="197"/>
      <c r="M107" s="197"/>
      <c r="N107" s="198"/>
      <c r="O107" s="272"/>
      <c r="P107" s="294"/>
      <c r="Q107" s="134"/>
      <c r="R107" s="83"/>
    </row>
    <row r="108" spans="1:21" s="80" customFormat="1" ht="12.75" x14ac:dyDescent="0.2">
      <c r="A108" s="273"/>
      <c r="B108" s="199"/>
      <c r="C108" s="189"/>
      <c r="D108" s="189"/>
      <c r="E108" s="189"/>
      <c r="F108" s="200"/>
      <c r="G108" s="209"/>
      <c r="H108" s="196" t="s">
        <v>91</v>
      </c>
      <c r="I108" s="208">
        <f>1776141300.51-I99-I12</f>
        <v>71647774.942799807</v>
      </c>
      <c r="J108" s="208">
        <f>+I108</f>
        <v>71647774.942799807</v>
      </c>
      <c r="K108" s="197"/>
      <c r="L108" s="197"/>
      <c r="M108" s="197"/>
      <c r="N108" s="208">
        <f>537742348.91+15400286.18-15882565.64-I108</f>
        <v>465612294.50720012</v>
      </c>
      <c r="O108" s="272"/>
      <c r="P108" s="294"/>
      <c r="Q108" s="134"/>
      <c r="R108" s="83"/>
    </row>
    <row r="109" spans="1:21" s="86" customFormat="1" ht="12.75" x14ac:dyDescent="0.2">
      <c r="A109" s="273"/>
      <c r="B109" s="199"/>
      <c r="C109" s="189"/>
      <c r="D109" s="189"/>
      <c r="E109" s="189"/>
      <c r="F109" s="200" t="s">
        <v>197</v>
      </c>
      <c r="G109" s="209"/>
      <c r="H109" s="196"/>
      <c r="I109" s="208"/>
      <c r="J109" s="208"/>
      <c r="K109" s="197"/>
      <c r="L109" s="197"/>
      <c r="M109" s="197"/>
      <c r="N109" s="198">
        <f>+E106-D106</f>
        <v>277737573.43000007</v>
      </c>
      <c r="O109" s="272"/>
      <c r="P109" s="294"/>
      <c r="Q109" s="134"/>
      <c r="R109" s="83"/>
    </row>
    <row r="110" spans="1:21" s="96" customFormat="1" ht="12.75" x14ac:dyDescent="0.2">
      <c r="A110" s="268"/>
      <c r="B110" s="177"/>
      <c r="C110" s="178"/>
      <c r="D110" s="178"/>
      <c r="E110" s="178"/>
      <c r="F110" s="179"/>
      <c r="G110" s="180"/>
      <c r="H110" s="181"/>
      <c r="I110" s="182"/>
      <c r="J110" s="182"/>
      <c r="K110" s="182"/>
      <c r="L110" s="182"/>
      <c r="M110" s="182"/>
      <c r="N110" s="183"/>
      <c r="O110" s="269"/>
      <c r="P110" s="294"/>
      <c r="Q110" s="138"/>
      <c r="R110" s="317"/>
    </row>
    <row r="111" spans="1:21" s="80" customFormat="1" ht="25.5" x14ac:dyDescent="0.2">
      <c r="A111" s="92" t="s">
        <v>206</v>
      </c>
      <c r="B111" s="93" t="s">
        <v>207</v>
      </c>
      <c r="C111" s="189"/>
      <c r="D111" s="189">
        <v>12000000</v>
      </c>
      <c r="E111" s="94">
        <v>48936479.390000001</v>
      </c>
      <c r="F111" s="200"/>
      <c r="G111" s="209"/>
      <c r="H111" s="196"/>
      <c r="I111" s="207">
        <f t="shared" ref="I111:N111" si="2">SUM(I112:I113)</f>
        <v>12000000</v>
      </c>
      <c r="J111" s="207">
        <f t="shared" si="2"/>
        <v>12000000</v>
      </c>
      <c r="K111" s="207">
        <f t="shared" si="2"/>
        <v>0</v>
      </c>
      <c r="L111" s="207">
        <f t="shared" si="2"/>
        <v>0</v>
      </c>
      <c r="M111" s="207">
        <f t="shared" si="2"/>
        <v>0</v>
      </c>
      <c r="N111" s="207">
        <f t="shared" si="2"/>
        <v>36936479.390000001</v>
      </c>
      <c r="O111" s="272"/>
      <c r="P111" s="294"/>
      <c r="Q111" s="134"/>
      <c r="R111" s="83"/>
      <c r="S111" s="87"/>
      <c r="T111" s="87"/>
      <c r="U111" s="87"/>
    </row>
    <row r="112" spans="1:21" s="80" customFormat="1" ht="12.75" x14ac:dyDescent="0.2">
      <c r="A112" s="273"/>
      <c r="B112" s="199"/>
      <c r="C112" s="189"/>
      <c r="D112" s="189"/>
      <c r="E112" s="189"/>
      <c r="F112" s="200" t="s">
        <v>200</v>
      </c>
      <c r="G112" s="195" t="s">
        <v>241</v>
      </c>
      <c r="H112" s="196" t="s">
        <v>90</v>
      </c>
      <c r="I112" s="197">
        <v>12000000</v>
      </c>
      <c r="J112" s="197">
        <f>+I112</f>
        <v>12000000</v>
      </c>
      <c r="K112" s="197"/>
      <c r="L112" s="197"/>
      <c r="M112" s="197"/>
      <c r="N112" s="198"/>
      <c r="O112" s="272"/>
      <c r="P112" s="294"/>
      <c r="Q112" s="134"/>
      <c r="R112" s="83"/>
    </row>
    <row r="113" spans="1:21" s="80" customFormat="1" ht="12.75" x14ac:dyDescent="0.2">
      <c r="A113" s="273"/>
      <c r="B113" s="199"/>
      <c r="C113" s="189"/>
      <c r="D113" s="189"/>
      <c r="E113" s="189"/>
      <c r="F113" s="200" t="s">
        <v>197</v>
      </c>
      <c r="G113" s="209"/>
      <c r="H113" s="196"/>
      <c r="I113" s="197"/>
      <c r="J113" s="197"/>
      <c r="K113" s="197"/>
      <c r="L113" s="197"/>
      <c r="M113" s="197"/>
      <c r="N113" s="198">
        <f>+E111-D111</f>
        <v>36936479.390000001</v>
      </c>
      <c r="O113" s="272"/>
      <c r="P113" s="294"/>
      <c r="Q113" s="134"/>
      <c r="R113" s="83"/>
    </row>
    <row r="114" spans="1:21" s="96" customFormat="1" ht="12.75" x14ac:dyDescent="0.2">
      <c r="A114" s="268"/>
      <c r="B114" s="177"/>
      <c r="C114" s="178"/>
      <c r="D114" s="178"/>
      <c r="E114" s="178"/>
      <c r="F114" s="179"/>
      <c r="G114" s="180"/>
      <c r="H114" s="181"/>
      <c r="I114" s="182"/>
      <c r="J114" s="182"/>
      <c r="K114" s="182"/>
      <c r="L114" s="182"/>
      <c r="M114" s="182"/>
      <c r="N114" s="183"/>
      <c r="O114" s="269"/>
      <c r="P114" s="294"/>
      <c r="Q114" s="138"/>
      <c r="R114" s="317"/>
    </row>
    <row r="115" spans="1:21" s="86" customFormat="1" ht="12.75" x14ac:dyDescent="0.2">
      <c r="A115" s="92" t="s">
        <v>208</v>
      </c>
      <c r="B115" s="93" t="s">
        <v>209</v>
      </c>
      <c r="C115" s="189"/>
      <c r="D115" s="189">
        <v>250000</v>
      </c>
      <c r="E115" s="94">
        <v>1071375</v>
      </c>
      <c r="F115" s="200"/>
      <c r="G115" s="209"/>
      <c r="H115" s="196"/>
      <c r="I115" s="207">
        <f t="shared" ref="I115:N115" si="3">SUM(I116:I117)</f>
        <v>250000</v>
      </c>
      <c r="J115" s="207">
        <f t="shared" si="3"/>
        <v>250000</v>
      </c>
      <c r="K115" s="207">
        <f t="shared" si="3"/>
        <v>0</v>
      </c>
      <c r="L115" s="207">
        <f t="shared" si="3"/>
        <v>0</v>
      </c>
      <c r="M115" s="207">
        <f t="shared" si="3"/>
        <v>0</v>
      </c>
      <c r="N115" s="207">
        <f t="shared" si="3"/>
        <v>821375</v>
      </c>
      <c r="O115" s="272"/>
      <c r="P115" s="294"/>
      <c r="Q115" s="134"/>
      <c r="R115" s="83"/>
      <c r="S115" s="87"/>
      <c r="T115" s="87"/>
      <c r="U115" s="87"/>
    </row>
    <row r="116" spans="1:21" s="86" customFormat="1" ht="12.75" x14ac:dyDescent="0.2">
      <c r="A116" s="273"/>
      <c r="B116" s="199"/>
      <c r="C116" s="189"/>
      <c r="D116" s="189"/>
      <c r="E116" s="189"/>
      <c r="F116" s="200" t="s">
        <v>200</v>
      </c>
      <c r="G116" s="195" t="s">
        <v>241</v>
      </c>
      <c r="H116" s="196" t="s">
        <v>90</v>
      </c>
      <c r="I116" s="197">
        <v>250000</v>
      </c>
      <c r="J116" s="197">
        <f>+I116</f>
        <v>250000</v>
      </c>
      <c r="K116" s="197"/>
      <c r="L116" s="197"/>
      <c r="M116" s="197"/>
      <c r="N116" s="198"/>
      <c r="O116" s="272"/>
      <c r="P116" s="294"/>
      <c r="Q116" s="134"/>
      <c r="R116" s="83"/>
    </row>
    <row r="117" spans="1:21" s="86" customFormat="1" ht="12.75" x14ac:dyDescent="0.2">
      <c r="A117" s="273"/>
      <c r="B117" s="199"/>
      <c r="C117" s="189"/>
      <c r="D117" s="189"/>
      <c r="E117" s="189"/>
      <c r="F117" s="200" t="s">
        <v>197</v>
      </c>
      <c r="G117" s="209"/>
      <c r="H117" s="196"/>
      <c r="I117" s="197"/>
      <c r="J117" s="197"/>
      <c r="K117" s="197"/>
      <c r="L117" s="197"/>
      <c r="M117" s="197"/>
      <c r="N117" s="198">
        <f>+E115-D115</f>
        <v>821375</v>
      </c>
      <c r="O117" s="272"/>
      <c r="P117" s="294"/>
      <c r="Q117" s="134"/>
      <c r="R117" s="83"/>
    </row>
    <row r="118" spans="1:21" s="96" customFormat="1" ht="12.75" x14ac:dyDescent="0.2">
      <c r="A118" s="268"/>
      <c r="B118" s="177"/>
      <c r="C118" s="178"/>
      <c r="D118" s="178"/>
      <c r="E118" s="178"/>
      <c r="F118" s="179"/>
      <c r="G118" s="180"/>
      <c r="H118" s="181"/>
      <c r="I118" s="182"/>
      <c r="J118" s="182"/>
      <c r="K118" s="182"/>
      <c r="L118" s="182"/>
      <c r="M118" s="182"/>
      <c r="N118" s="183"/>
      <c r="O118" s="269"/>
      <c r="P118" s="294"/>
      <c r="Q118" s="138"/>
      <c r="R118" s="317"/>
    </row>
    <row r="119" spans="1:21" s="86" customFormat="1" ht="12.75" x14ac:dyDescent="0.2">
      <c r="A119" s="273" t="s">
        <v>210</v>
      </c>
      <c r="B119" s="199" t="s">
        <v>29</v>
      </c>
      <c r="C119" s="189"/>
      <c r="D119" s="189">
        <v>3800000000</v>
      </c>
      <c r="E119" s="189">
        <v>5934125063.3599997</v>
      </c>
      <c r="F119" s="200"/>
      <c r="G119" s="209"/>
      <c r="H119" s="207"/>
      <c r="I119" s="207">
        <f t="shared" ref="I119:N119" si="4">SUM(I120:I130)</f>
        <v>3108448332.7300005</v>
      </c>
      <c r="J119" s="207">
        <f t="shared" si="4"/>
        <v>2899388931.5200005</v>
      </c>
      <c r="K119" s="207">
        <f t="shared" si="4"/>
        <v>209059401.21000001</v>
      </c>
      <c r="L119" s="207">
        <f t="shared" si="4"/>
        <v>0</v>
      </c>
      <c r="M119" s="207">
        <f t="shared" si="4"/>
        <v>0</v>
      </c>
      <c r="N119" s="207">
        <f t="shared" si="4"/>
        <v>2825676730.6299992</v>
      </c>
      <c r="O119" s="272"/>
      <c r="P119" s="294"/>
      <c r="Q119" s="134"/>
      <c r="R119" s="83"/>
      <c r="S119" s="87"/>
      <c r="T119" s="87"/>
      <c r="U119" s="87"/>
    </row>
    <row r="120" spans="1:21" s="86" customFormat="1" ht="12.75" x14ac:dyDescent="0.2">
      <c r="A120" s="273"/>
      <c r="B120" s="199"/>
      <c r="C120" s="189"/>
      <c r="D120" s="189"/>
      <c r="E120" s="189"/>
      <c r="F120" s="200" t="s">
        <v>200</v>
      </c>
      <c r="G120" s="195" t="s">
        <v>241</v>
      </c>
      <c r="H120" s="196" t="s">
        <v>90</v>
      </c>
      <c r="I120" s="197">
        <f>3215692360.76-292542188.12-88284424.05-31800619.42-1032249.7-10000000-7786054.75-678200-99140449.04</f>
        <v>2684428175.6800003</v>
      </c>
      <c r="J120" s="197">
        <f>+I120</f>
        <v>2684428175.6800003</v>
      </c>
      <c r="K120" s="197"/>
      <c r="L120" s="197"/>
      <c r="M120" s="197"/>
      <c r="N120" s="197">
        <f>3215692360.76-I120+31259620.93-1747610.95</f>
        <v>560776195.05999982</v>
      </c>
      <c r="O120" s="272"/>
      <c r="P120" s="294"/>
      <c r="Q120" s="134"/>
      <c r="R120" s="83"/>
    </row>
    <row r="121" spans="1:21" s="88" customFormat="1" ht="12.75" x14ac:dyDescent="0.2">
      <c r="A121" s="273"/>
      <c r="B121" s="199"/>
      <c r="C121" s="189"/>
      <c r="D121" s="189"/>
      <c r="E121" s="189"/>
      <c r="F121" s="200"/>
      <c r="G121" s="195"/>
      <c r="H121" s="196"/>
      <c r="I121" s="197"/>
      <c r="J121" s="197"/>
      <c r="K121" s="197"/>
      <c r="L121" s="197"/>
      <c r="M121" s="197"/>
      <c r="N121" s="198"/>
      <c r="O121" s="272"/>
      <c r="P121" s="294"/>
      <c r="Q121" s="134"/>
      <c r="R121" s="83"/>
    </row>
    <row r="122" spans="1:21" s="86" customFormat="1" ht="12.75" x14ac:dyDescent="0.2">
      <c r="A122" s="273"/>
      <c r="B122" s="199"/>
      <c r="C122" s="189"/>
      <c r="D122" s="189"/>
      <c r="E122" s="189"/>
      <c r="F122" s="200" t="s">
        <v>211</v>
      </c>
      <c r="G122" s="195" t="s">
        <v>233</v>
      </c>
      <c r="H122" s="196" t="s">
        <v>94</v>
      </c>
      <c r="I122" s="197">
        <v>145698901.21000001</v>
      </c>
      <c r="J122" s="197">
        <v>0</v>
      </c>
      <c r="K122" s="197">
        <f>+I122</f>
        <v>145698901.21000001</v>
      </c>
      <c r="L122" s="197"/>
      <c r="M122" s="197"/>
      <c r="N122" s="197">
        <f>266725000-I122</f>
        <v>121026098.78999999</v>
      </c>
      <c r="O122" s="272"/>
      <c r="P122" s="294"/>
      <c r="Q122" s="134"/>
      <c r="R122" s="83"/>
    </row>
    <row r="123" spans="1:21" s="88" customFormat="1" ht="12.75" x14ac:dyDescent="0.2">
      <c r="A123" s="273"/>
      <c r="B123" s="199"/>
      <c r="C123" s="189"/>
      <c r="D123" s="189"/>
      <c r="E123" s="189"/>
      <c r="F123" s="200"/>
      <c r="G123" s="195"/>
      <c r="H123" s="196"/>
      <c r="I123" s="197"/>
      <c r="J123" s="197"/>
      <c r="K123" s="197"/>
      <c r="L123" s="197"/>
      <c r="M123" s="197"/>
      <c r="N123" s="197"/>
      <c r="O123" s="272"/>
      <c r="P123" s="294"/>
      <c r="Q123" s="134"/>
      <c r="R123" s="83"/>
    </row>
    <row r="124" spans="1:21" s="86" customFormat="1" ht="12.75" x14ac:dyDescent="0.2">
      <c r="A124" s="273"/>
      <c r="B124" s="199"/>
      <c r="C124" s="189"/>
      <c r="D124" s="189"/>
      <c r="E124" s="189"/>
      <c r="F124" s="200" t="s">
        <v>201</v>
      </c>
      <c r="G124" s="195" t="s">
        <v>234</v>
      </c>
      <c r="H124" s="196" t="s">
        <v>95</v>
      </c>
      <c r="I124" s="197">
        <v>21998237.510000002</v>
      </c>
      <c r="J124" s="197">
        <f>+I124</f>
        <v>21998237.510000002</v>
      </c>
      <c r="K124" s="197"/>
      <c r="L124" s="197"/>
      <c r="M124" s="197"/>
      <c r="N124" s="197">
        <f>30000000-I124</f>
        <v>8001762.4899999984</v>
      </c>
      <c r="O124" s="272"/>
      <c r="P124" s="294"/>
      <c r="Q124" s="134"/>
      <c r="R124" s="83"/>
    </row>
    <row r="125" spans="1:21" s="86" customFormat="1" ht="12.75" x14ac:dyDescent="0.2">
      <c r="A125" s="273"/>
      <c r="B125" s="199"/>
      <c r="C125" s="189"/>
      <c r="D125" s="189"/>
      <c r="E125" s="189"/>
      <c r="F125" s="200" t="s">
        <v>201</v>
      </c>
      <c r="G125" s="195" t="s">
        <v>235</v>
      </c>
      <c r="H125" s="196" t="s">
        <v>95</v>
      </c>
      <c r="I125" s="197">
        <f>159669188.12-2723.42-209.5</f>
        <v>159666255.20000002</v>
      </c>
      <c r="J125" s="197">
        <f>+I125</f>
        <v>159666255.20000002</v>
      </c>
      <c r="K125" s="197"/>
      <c r="L125" s="197"/>
      <c r="M125" s="197"/>
      <c r="N125" s="321">
        <v>254575736.97999999</v>
      </c>
      <c r="O125" s="272"/>
      <c r="P125" s="294"/>
      <c r="Q125" s="134"/>
      <c r="R125" s="83"/>
    </row>
    <row r="126" spans="1:21" s="86" customFormat="1" ht="25.5" x14ac:dyDescent="0.2">
      <c r="A126" s="273"/>
      <c r="B126" s="199"/>
      <c r="C126" s="189"/>
      <c r="D126" s="189"/>
      <c r="E126" s="189"/>
      <c r="F126" s="200" t="s">
        <v>201</v>
      </c>
      <c r="G126" s="195" t="s">
        <v>236</v>
      </c>
      <c r="H126" s="196" t="s">
        <v>95</v>
      </c>
      <c r="I126" s="197">
        <v>25000000</v>
      </c>
      <c r="J126" s="197">
        <f>+I126</f>
        <v>25000000</v>
      </c>
      <c r="K126" s="197"/>
      <c r="L126" s="197"/>
      <c r="M126" s="197"/>
      <c r="N126" s="197">
        <v>0</v>
      </c>
      <c r="O126" s="272"/>
      <c r="P126" s="294"/>
      <c r="Q126" s="134"/>
      <c r="R126" s="83"/>
    </row>
    <row r="127" spans="1:21" s="86" customFormat="1" ht="12.75" x14ac:dyDescent="0.2">
      <c r="A127" s="273"/>
      <c r="B127" s="199"/>
      <c r="C127" s="189"/>
      <c r="D127" s="189"/>
      <c r="E127" s="189"/>
      <c r="F127" s="200" t="s">
        <v>201</v>
      </c>
      <c r="G127" s="195" t="s">
        <v>585</v>
      </c>
      <c r="H127" s="196" t="s">
        <v>95</v>
      </c>
      <c r="I127" s="197">
        <v>0</v>
      </c>
      <c r="J127" s="197">
        <f>+I127</f>
        <v>0</v>
      </c>
      <c r="K127" s="197"/>
      <c r="L127" s="197"/>
      <c r="M127" s="197">
        <f>+I127</f>
        <v>0</v>
      </c>
      <c r="N127" s="197">
        <v>1747610.93</v>
      </c>
      <c r="O127" s="272"/>
      <c r="P127" s="294"/>
      <c r="Q127" s="134"/>
      <c r="R127" s="83"/>
    </row>
    <row r="128" spans="1:21" s="102" customFormat="1" ht="12.75" x14ac:dyDescent="0.2">
      <c r="A128" s="273"/>
      <c r="B128" s="199"/>
      <c r="C128" s="189"/>
      <c r="D128" s="189"/>
      <c r="E128" s="189"/>
      <c r="F128" s="200" t="s">
        <v>183</v>
      </c>
      <c r="G128" s="195" t="s">
        <v>344</v>
      </c>
      <c r="H128" s="196" t="s">
        <v>94</v>
      </c>
      <c r="I128" s="197">
        <v>63360500</v>
      </c>
      <c r="J128" s="197"/>
      <c r="K128" s="197">
        <f>+I128</f>
        <v>63360500</v>
      </c>
      <c r="L128" s="197"/>
      <c r="M128" s="197"/>
      <c r="N128" s="197"/>
      <c r="O128" s="272"/>
      <c r="P128" s="294"/>
      <c r="Q128" s="134"/>
      <c r="R128" s="83"/>
    </row>
    <row r="129" spans="1:21" s="86" customFormat="1" ht="12.75" x14ac:dyDescent="0.2">
      <c r="A129" s="273"/>
      <c r="B129" s="199"/>
      <c r="C129" s="189"/>
      <c r="D129" s="189"/>
      <c r="E129" s="189"/>
      <c r="F129" s="200" t="s">
        <v>160</v>
      </c>
      <c r="G129" s="195" t="s">
        <v>237</v>
      </c>
      <c r="H129" s="196" t="s">
        <v>95</v>
      </c>
      <c r="I129" s="197">
        <v>8296263.1299999999</v>
      </c>
      <c r="J129" s="197">
        <f>+I129</f>
        <v>8296263.1299999999</v>
      </c>
      <c r="K129" s="197"/>
      <c r="L129" s="197"/>
      <c r="M129" s="197"/>
      <c r="N129" s="197">
        <v>0</v>
      </c>
      <c r="O129" s="272"/>
      <c r="P129" s="294"/>
      <c r="Q129" s="134"/>
      <c r="R129" s="83"/>
    </row>
    <row r="130" spans="1:21" s="86" customFormat="1" ht="12.75" x14ac:dyDescent="0.2">
      <c r="A130" s="273"/>
      <c r="B130" s="199"/>
      <c r="C130" s="189"/>
      <c r="D130" s="189"/>
      <c r="E130" s="189"/>
      <c r="F130" s="200" t="s">
        <v>197</v>
      </c>
      <c r="G130" s="209"/>
      <c r="H130" s="196"/>
      <c r="I130" s="197"/>
      <c r="J130" s="197"/>
      <c r="K130" s="197"/>
      <c r="L130" s="197"/>
      <c r="M130" s="197"/>
      <c r="N130" s="198">
        <f>+E119-D119-N125</f>
        <v>1879549326.3799996</v>
      </c>
      <c r="O130" s="272"/>
      <c r="P130" s="294"/>
      <c r="Q130" s="134"/>
      <c r="R130" s="83"/>
    </row>
    <row r="131" spans="1:21" s="96" customFormat="1" ht="12.75" x14ac:dyDescent="0.2">
      <c r="A131" s="268"/>
      <c r="B131" s="177"/>
      <c r="C131" s="178"/>
      <c r="D131" s="178"/>
      <c r="E131" s="178"/>
      <c r="F131" s="179"/>
      <c r="G131" s="180"/>
      <c r="H131" s="181"/>
      <c r="I131" s="182"/>
      <c r="J131" s="182"/>
      <c r="K131" s="182"/>
      <c r="L131" s="182"/>
      <c r="M131" s="182"/>
      <c r="N131" s="183"/>
      <c r="O131" s="269"/>
      <c r="P131" s="294"/>
      <c r="Q131" s="138"/>
      <c r="R131" s="317"/>
    </row>
    <row r="132" spans="1:21" s="88" customFormat="1" ht="12.75" x14ac:dyDescent="0.2">
      <c r="A132" s="273" t="s">
        <v>238</v>
      </c>
      <c r="B132" s="199" t="s">
        <v>212</v>
      </c>
      <c r="C132" s="189"/>
      <c r="D132" s="189">
        <v>400000000</v>
      </c>
      <c r="E132" s="189">
        <v>682692120.30999994</v>
      </c>
      <c r="F132" s="200" t="s">
        <v>200</v>
      </c>
      <c r="G132" s="195"/>
      <c r="H132" s="207"/>
      <c r="I132" s="207">
        <f>SUM(I133:I139)</f>
        <v>334793354.92000002</v>
      </c>
      <c r="J132" s="207">
        <f>SUM(J133:J139)</f>
        <v>328625910.92000002</v>
      </c>
      <c r="K132" s="207">
        <f>SUM(K133:K139)</f>
        <v>6167444</v>
      </c>
      <c r="L132" s="207">
        <f>SUM(L133:L139)</f>
        <v>0</v>
      </c>
      <c r="M132" s="207">
        <f>SUM(M133:M139)</f>
        <v>0</v>
      </c>
      <c r="N132" s="207">
        <f>SUM(N133:N140)</f>
        <v>347898765.38999993</v>
      </c>
      <c r="O132" s="272"/>
      <c r="P132" s="294"/>
      <c r="Q132" s="134"/>
      <c r="R132" s="83"/>
      <c r="S132" s="87"/>
      <c r="T132" s="87"/>
      <c r="U132" s="87"/>
    </row>
    <row r="133" spans="1:21" s="88" customFormat="1" ht="12.75" x14ac:dyDescent="0.2">
      <c r="A133" s="273"/>
      <c r="B133" s="199"/>
      <c r="C133" s="189"/>
      <c r="D133" s="189"/>
      <c r="E133" s="189"/>
      <c r="F133" s="200" t="s">
        <v>239</v>
      </c>
      <c r="G133" s="195" t="s">
        <v>241</v>
      </c>
      <c r="H133" s="196" t="s">
        <v>90</v>
      </c>
      <c r="I133" s="197">
        <f>8540459.34+5219395.88</f>
        <v>13759855.219999999</v>
      </c>
      <c r="J133" s="197">
        <f>+I133</f>
        <v>13759855.219999999</v>
      </c>
      <c r="K133" s="197"/>
      <c r="L133" s="197"/>
      <c r="M133" s="197"/>
      <c r="N133" s="198"/>
      <c r="O133" s="272"/>
      <c r="P133" s="294"/>
      <c r="Q133" s="134"/>
      <c r="R133" s="83"/>
    </row>
    <row r="134" spans="1:21" s="88" customFormat="1" ht="12.75" x14ac:dyDescent="0.2">
      <c r="A134" s="273"/>
      <c r="B134" s="199"/>
      <c r="C134" s="189"/>
      <c r="D134" s="189"/>
      <c r="E134" s="189"/>
      <c r="F134" s="200"/>
      <c r="G134" s="195"/>
      <c r="H134" s="196"/>
      <c r="I134" s="197"/>
      <c r="J134" s="197"/>
      <c r="K134" s="197"/>
      <c r="L134" s="197"/>
      <c r="M134" s="197"/>
      <c r="N134" s="198"/>
      <c r="O134" s="272"/>
      <c r="P134" s="294"/>
      <c r="Q134" s="134"/>
      <c r="R134" s="83"/>
    </row>
    <row r="135" spans="1:21" s="88" customFormat="1" ht="12.75" x14ac:dyDescent="0.2">
      <c r="A135" s="273"/>
      <c r="B135" s="199"/>
      <c r="C135" s="189"/>
      <c r="D135" s="189"/>
      <c r="E135" s="189"/>
      <c r="F135" s="200"/>
      <c r="G135" s="195" t="s">
        <v>240</v>
      </c>
      <c r="H135" s="196" t="s">
        <v>90</v>
      </c>
      <c r="I135" s="197">
        <v>250594960.34999999</v>
      </c>
      <c r="J135" s="197">
        <f>+I135</f>
        <v>250594960.34999999</v>
      </c>
      <c r="K135" s="197"/>
      <c r="L135" s="197"/>
      <c r="M135" s="197"/>
      <c r="N135" s="197">
        <f>295889082.28-I135</f>
        <v>45294121.929999977</v>
      </c>
      <c r="O135" s="272"/>
      <c r="P135" s="294"/>
      <c r="Q135" s="134"/>
      <c r="R135" s="83"/>
    </row>
    <row r="136" spans="1:21" s="88" customFormat="1" ht="12.75" x14ac:dyDescent="0.2">
      <c r="A136" s="273"/>
      <c r="B136" s="199"/>
      <c r="C136" s="189"/>
      <c r="D136" s="189"/>
      <c r="E136" s="189"/>
      <c r="F136" s="200"/>
      <c r="G136" s="195"/>
      <c r="H136" s="196" t="s">
        <v>91</v>
      </c>
      <c r="I136" s="197">
        <v>10039529.42</v>
      </c>
      <c r="J136" s="197">
        <f>+I136</f>
        <v>10039529.42</v>
      </c>
      <c r="K136" s="197"/>
      <c r="L136" s="197"/>
      <c r="M136" s="197"/>
      <c r="N136" s="197">
        <f>15882565.64-I136</f>
        <v>5843036.2200000007</v>
      </c>
      <c r="O136" s="272"/>
      <c r="P136" s="294"/>
      <c r="Q136" s="134"/>
      <c r="R136" s="83"/>
    </row>
    <row r="137" spans="1:21" s="88" customFormat="1" ht="12.75" x14ac:dyDescent="0.2">
      <c r="A137" s="273"/>
      <c r="B137" s="199"/>
      <c r="C137" s="189"/>
      <c r="D137" s="189"/>
      <c r="E137" s="189"/>
      <c r="F137" s="200"/>
      <c r="G137" s="195"/>
      <c r="H137" s="196" t="s">
        <v>92</v>
      </c>
      <c r="I137" s="197">
        <v>139116</v>
      </c>
      <c r="J137" s="197">
        <f>+I137</f>
        <v>139116</v>
      </c>
      <c r="K137" s="197"/>
      <c r="L137" s="197"/>
      <c r="M137" s="197"/>
      <c r="N137" s="197">
        <f>2168000-I137</f>
        <v>2028884</v>
      </c>
      <c r="O137" s="272"/>
      <c r="P137" s="294"/>
      <c r="Q137" s="134"/>
      <c r="R137" s="83"/>
    </row>
    <row r="138" spans="1:21" s="88" customFormat="1" ht="12.75" x14ac:dyDescent="0.2">
      <c r="A138" s="273"/>
      <c r="B138" s="199"/>
      <c r="C138" s="189"/>
      <c r="D138" s="189"/>
      <c r="E138" s="189"/>
      <c r="F138" s="200"/>
      <c r="G138" s="195"/>
      <c r="H138" s="196" t="s">
        <v>94</v>
      </c>
      <c r="I138" s="197">
        <v>6167444</v>
      </c>
      <c r="J138" s="197">
        <v>0</v>
      </c>
      <c r="K138" s="197">
        <f>+I138</f>
        <v>6167444</v>
      </c>
      <c r="L138" s="197"/>
      <c r="M138" s="197"/>
      <c r="N138" s="197">
        <f>8000000-I138</f>
        <v>1832556</v>
      </c>
      <c r="O138" s="272"/>
      <c r="P138" s="294"/>
      <c r="Q138" s="134"/>
      <c r="R138" s="83"/>
    </row>
    <row r="139" spans="1:21" s="88" customFormat="1" ht="12.75" x14ac:dyDescent="0.2">
      <c r="A139" s="273"/>
      <c r="B139" s="199"/>
      <c r="C139" s="189"/>
      <c r="D139" s="189"/>
      <c r="E139" s="189"/>
      <c r="F139" s="200" t="s">
        <v>197</v>
      </c>
      <c r="G139" s="195"/>
      <c r="H139" s="196" t="s">
        <v>95</v>
      </c>
      <c r="I139" s="197">
        <v>54092449.93</v>
      </c>
      <c r="J139" s="197">
        <f>+I139</f>
        <v>54092449.93</v>
      </c>
      <c r="K139" s="197"/>
      <c r="L139" s="197"/>
      <c r="M139" s="197"/>
      <c r="N139" s="197">
        <f>64300496.86-I139</f>
        <v>10208046.93</v>
      </c>
      <c r="O139" s="272"/>
      <c r="P139" s="294"/>
      <c r="Q139" s="134"/>
      <c r="R139" s="83"/>
    </row>
    <row r="140" spans="1:21" s="88" customFormat="1" ht="12.75" x14ac:dyDescent="0.2">
      <c r="A140" s="273"/>
      <c r="B140" s="199"/>
      <c r="C140" s="189"/>
      <c r="D140" s="189"/>
      <c r="E140" s="189"/>
      <c r="F140" s="200"/>
      <c r="G140" s="195"/>
      <c r="H140" s="196"/>
      <c r="I140" s="197"/>
      <c r="J140" s="197"/>
      <c r="K140" s="197"/>
      <c r="L140" s="197"/>
      <c r="M140" s="197"/>
      <c r="N140" s="198">
        <f>+E132-D132</f>
        <v>282692120.30999994</v>
      </c>
      <c r="O140" s="272"/>
      <c r="P140" s="294"/>
      <c r="Q140" s="134"/>
      <c r="R140" s="83"/>
    </row>
    <row r="141" spans="1:21" s="96" customFormat="1" ht="12.75" x14ac:dyDescent="0.2">
      <c r="A141" s="268"/>
      <c r="B141" s="177"/>
      <c r="C141" s="178"/>
      <c r="D141" s="178"/>
      <c r="E141" s="178"/>
      <c r="F141" s="179"/>
      <c r="G141" s="180"/>
      <c r="H141" s="181"/>
      <c r="I141" s="182"/>
      <c r="J141" s="182"/>
      <c r="K141" s="182"/>
      <c r="L141" s="182"/>
      <c r="M141" s="182"/>
      <c r="N141" s="183"/>
      <c r="O141" s="269"/>
      <c r="P141" s="294"/>
      <c r="Q141" s="138"/>
      <c r="R141" s="317"/>
    </row>
    <row r="142" spans="1:21" s="80" customFormat="1" ht="12.75" x14ac:dyDescent="0.2">
      <c r="A142" s="265" t="s">
        <v>242</v>
      </c>
      <c r="B142" s="163" t="s">
        <v>243</v>
      </c>
      <c r="C142" s="149"/>
      <c r="D142" s="149">
        <v>98000000</v>
      </c>
      <c r="E142" s="149">
        <v>124782671.48999999</v>
      </c>
      <c r="F142" s="157"/>
      <c r="G142" s="110"/>
      <c r="H142" s="210"/>
      <c r="I142" s="154">
        <f>SUM(I143:I146)</f>
        <v>105231321.3</v>
      </c>
      <c r="J142" s="154">
        <f>SUM(J143:J146)</f>
        <v>105231321.3</v>
      </c>
      <c r="K142" s="154">
        <f>SUM(K143:K145)</f>
        <v>0</v>
      </c>
      <c r="L142" s="154">
        <f>SUM(L143:L145)</f>
        <v>0</v>
      </c>
      <c r="M142" s="154">
        <f>SUM(M143:M145)</f>
        <v>0</v>
      </c>
      <c r="N142" s="154">
        <f>SUM(N143:N145)</f>
        <v>19551350.1877</v>
      </c>
      <c r="O142" s="263"/>
      <c r="P142" s="294"/>
      <c r="Q142" s="134"/>
      <c r="R142" s="83"/>
      <c r="S142" s="87"/>
      <c r="T142" s="87"/>
      <c r="U142" s="87"/>
    </row>
    <row r="143" spans="1:21" s="80" customFormat="1" ht="12.75" x14ac:dyDescent="0.2">
      <c r="A143" s="265"/>
      <c r="B143" s="163"/>
      <c r="C143" s="149"/>
      <c r="D143" s="149"/>
      <c r="E143" s="149"/>
      <c r="F143" s="153" t="s">
        <v>101</v>
      </c>
      <c r="G143" s="211" t="s">
        <v>245</v>
      </c>
      <c r="H143" s="153" t="s">
        <v>95</v>
      </c>
      <c r="I143" s="210">
        <v>9800000</v>
      </c>
      <c r="J143" s="151">
        <f>+I143</f>
        <v>9800000</v>
      </c>
      <c r="K143" s="151"/>
      <c r="L143" s="151"/>
      <c r="M143" s="151"/>
      <c r="N143" s="328">
        <f>+E142*0.1-I143</f>
        <v>2678267.1490000002</v>
      </c>
      <c r="O143" s="263"/>
      <c r="P143" s="294"/>
      <c r="Q143" s="134"/>
      <c r="R143" s="83"/>
    </row>
    <row r="144" spans="1:21" s="80" customFormat="1" ht="12.75" x14ac:dyDescent="0.2">
      <c r="A144" s="265"/>
      <c r="B144" s="163"/>
      <c r="C144" s="149"/>
      <c r="D144" s="149"/>
      <c r="E144" s="149"/>
      <c r="F144" s="153" t="s">
        <v>101</v>
      </c>
      <c r="G144" s="211" t="s">
        <v>450</v>
      </c>
      <c r="H144" s="153" t="s">
        <v>95</v>
      </c>
      <c r="I144" s="210">
        <v>61740000</v>
      </c>
      <c r="J144" s="151">
        <f>+I144</f>
        <v>61740000</v>
      </c>
      <c r="K144" s="151"/>
      <c r="L144" s="151"/>
      <c r="M144" s="151"/>
      <c r="N144" s="328">
        <f>+E142*0.63-I144</f>
        <v>16873083.038699999</v>
      </c>
      <c r="O144" s="263"/>
      <c r="P144" s="294"/>
      <c r="Q144" s="134"/>
      <c r="R144" s="83"/>
    </row>
    <row r="145" spans="1:21" s="80" customFormat="1" ht="12.75" x14ac:dyDescent="0.2">
      <c r="A145" s="265"/>
      <c r="B145" s="163"/>
      <c r="C145" s="149"/>
      <c r="D145" s="149"/>
      <c r="E145" s="149"/>
      <c r="F145" s="166" t="s">
        <v>188</v>
      </c>
      <c r="G145" s="110" t="s">
        <v>225</v>
      </c>
      <c r="H145" s="153" t="s">
        <v>90</v>
      </c>
      <c r="I145" s="212">
        <f>134519890.79-125332529.35</f>
        <v>9187361.4399999976</v>
      </c>
      <c r="J145" s="151">
        <f>+I145</f>
        <v>9187361.4399999976</v>
      </c>
      <c r="K145" s="151"/>
      <c r="L145" s="151"/>
      <c r="M145" s="151"/>
      <c r="N145" s="150">
        <v>0</v>
      </c>
      <c r="O145" s="263"/>
      <c r="P145" s="294"/>
      <c r="Q145" s="134"/>
      <c r="R145" s="83"/>
    </row>
    <row r="146" spans="1:21" s="80" customFormat="1" ht="12.75" x14ac:dyDescent="0.2">
      <c r="A146" s="265"/>
      <c r="B146" s="163"/>
      <c r="C146" s="149"/>
      <c r="D146" s="149"/>
      <c r="E146" s="149"/>
      <c r="F146" s="166"/>
      <c r="G146" s="110"/>
      <c r="H146" s="153" t="s">
        <v>95</v>
      </c>
      <c r="I146" s="151">
        <v>24503959.859999999</v>
      </c>
      <c r="J146" s="151">
        <f>+I146</f>
        <v>24503959.859999999</v>
      </c>
      <c r="K146" s="151"/>
      <c r="L146" s="151"/>
      <c r="M146" s="213"/>
      <c r="N146" s="150">
        <v>0</v>
      </c>
      <c r="O146" s="263"/>
      <c r="P146" s="294"/>
      <c r="Q146" s="134"/>
      <c r="R146" s="83"/>
    </row>
    <row r="147" spans="1:21" s="96" customFormat="1" ht="12.75" x14ac:dyDescent="0.2">
      <c r="A147" s="268"/>
      <c r="B147" s="177"/>
      <c r="C147" s="178"/>
      <c r="D147" s="178"/>
      <c r="E147" s="178"/>
      <c r="F147" s="179"/>
      <c r="G147" s="180"/>
      <c r="H147" s="181"/>
      <c r="I147" s="182"/>
      <c r="J147" s="182"/>
      <c r="K147" s="182"/>
      <c r="L147" s="182"/>
      <c r="M147" s="182"/>
      <c r="N147" s="183"/>
      <c r="O147" s="269"/>
      <c r="P147" s="294"/>
      <c r="Q147" s="138"/>
      <c r="R147" s="317"/>
    </row>
    <row r="148" spans="1:21" s="80" customFormat="1" ht="12.75" x14ac:dyDescent="0.2">
      <c r="A148" s="265" t="s">
        <v>248</v>
      </c>
      <c r="B148" s="163" t="s">
        <v>249</v>
      </c>
      <c r="C148" s="149"/>
      <c r="D148" s="149">
        <v>3400000000</v>
      </c>
      <c r="E148" s="149">
        <v>3737775343.6900001</v>
      </c>
      <c r="F148" s="152"/>
      <c r="G148" s="100"/>
      <c r="H148" s="153"/>
      <c r="I148" s="154">
        <f t="shared" ref="I148:N148" si="5">SUM(I149:I161)</f>
        <v>2174172630.2689996</v>
      </c>
      <c r="J148" s="154">
        <f t="shared" si="5"/>
        <v>1872814185.2889998</v>
      </c>
      <c r="K148" s="154">
        <f t="shared" si="5"/>
        <v>301358444.98000002</v>
      </c>
      <c r="L148" s="154">
        <f t="shared" si="5"/>
        <v>0</v>
      </c>
      <c r="M148" s="154">
        <f t="shared" si="5"/>
        <v>0</v>
      </c>
      <c r="N148" s="154">
        <f t="shared" si="5"/>
        <v>1563602713.4200001</v>
      </c>
      <c r="O148" s="263"/>
      <c r="P148" s="294"/>
      <c r="Q148" s="134"/>
      <c r="R148" s="83"/>
      <c r="S148" s="87"/>
      <c r="T148" s="87"/>
      <c r="U148" s="87"/>
    </row>
    <row r="149" spans="1:21" s="80" customFormat="1" ht="12.75" x14ac:dyDescent="0.2">
      <c r="A149" s="265"/>
      <c r="B149" s="163"/>
      <c r="C149" s="149"/>
      <c r="D149" s="149"/>
      <c r="E149" s="149"/>
      <c r="F149" s="152" t="s">
        <v>200</v>
      </c>
      <c r="G149" s="100" t="s">
        <v>250</v>
      </c>
      <c r="H149" s="153" t="s">
        <v>90</v>
      </c>
      <c r="I149" s="151">
        <f>+E148*0.1</f>
        <v>373777534.36900002</v>
      </c>
      <c r="J149" s="151">
        <f>+I149</f>
        <v>373777534.36900002</v>
      </c>
      <c r="K149" s="151"/>
      <c r="L149" s="151"/>
      <c r="M149" s="151"/>
      <c r="N149" s="328"/>
      <c r="O149" s="263"/>
      <c r="P149" s="294"/>
      <c r="Q149" s="134"/>
      <c r="R149" s="83"/>
    </row>
    <row r="150" spans="1:21" s="80" customFormat="1" ht="12.75" x14ac:dyDescent="0.2">
      <c r="A150" s="265"/>
      <c r="B150" s="163"/>
      <c r="C150" s="149"/>
      <c r="D150" s="149"/>
      <c r="E150" s="149"/>
      <c r="F150" s="166"/>
      <c r="G150" s="110"/>
      <c r="H150" s="153"/>
      <c r="I150" s="151"/>
      <c r="J150" s="151"/>
      <c r="K150" s="151"/>
      <c r="L150" s="151"/>
      <c r="M150" s="151"/>
      <c r="N150" s="328"/>
      <c r="O150" s="263"/>
      <c r="P150" s="294"/>
      <c r="Q150" s="134"/>
      <c r="R150" s="83"/>
    </row>
    <row r="151" spans="1:21" s="80" customFormat="1" ht="12.75" x14ac:dyDescent="0.2">
      <c r="A151" s="265"/>
      <c r="B151" s="163"/>
      <c r="C151" s="149"/>
      <c r="D151" s="149"/>
      <c r="E151" s="149"/>
      <c r="F151" s="166" t="s">
        <v>251</v>
      </c>
      <c r="G151" s="100" t="s">
        <v>252</v>
      </c>
      <c r="H151" s="153" t="s">
        <v>90</v>
      </c>
      <c r="I151" s="151">
        <v>1109249269.72</v>
      </c>
      <c r="J151" s="151">
        <f>+I151</f>
        <v>1109249269.72</v>
      </c>
      <c r="K151" s="151"/>
      <c r="L151" s="151"/>
      <c r="M151" s="151"/>
      <c r="N151" s="176">
        <f>1247304464.41-I151</f>
        <v>138055194.69000006</v>
      </c>
      <c r="O151" s="263"/>
      <c r="P151" s="294"/>
      <c r="Q151" s="134"/>
      <c r="R151" s="83"/>
    </row>
    <row r="152" spans="1:21" s="80" customFormat="1" ht="12.75" x14ac:dyDescent="0.2">
      <c r="A152" s="265"/>
      <c r="B152" s="163"/>
      <c r="C152" s="149"/>
      <c r="D152" s="149"/>
      <c r="E152" s="149"/>
      <c r="F152" s="166"/>
      <c r="G152" s="100"/>
      <c r="H152" s="153" t="s">
        <v>91</v>
      </c>
      <c r="I152" s="151">
        <v>330757012.88</v>
      </c>
      <c r="J152" s="151">
        <f>+I152</f>
        <v>330757012.88</v>
      </c>
      <c r="K152" s="151"/>
      <c r="L152" s="151"/>
      <c r="M152" s="151"/>
      <c r="N152" s="176">
        <f>582419994.97-I152</f>
        <v>251662982.09000003</v>
      </c>
      <c r="O152" s="263"/>
      <c r="P152" s="294"/>
      <c r="Q152" s="134"/>
      <c r="R152" s="83"/>
    </row>
    <row r="153" spans="1:21" s="80" customFormat="1" ht="12.75" x14ac:dyDescent="0.2">
      <c r="A153" s="265"/>
      <c r="B153" s="163"/>
      <c r="C153" s="149"/>
      <c r="D153" s="149"/>
      <c r="E153" s="149"/>
      <c r="F153" s="166"/>
      <c r="G153" s="100"/>
      <c r="H153" s="153" t="s">
        <v>92</v>
      </c>
      <c r="I153" s="151">
        <v>35000000</v>
      </c>
      <c r="J153" s="151">
        <f>+I153</f>
        <v>35000000</v>
      </c>
      <c r="K153" s="151"/>
      <c r="L153" s="151"/>
      <c r="M153" s="151"/>
      <c r="N153" s="176">
        <f>35900000-I153</f>
        <v>900000</v>
      </c>
      <c r="O153" s="263"/>
      <c r="P153" s="294"/>
      <c r="Q153" s="134"/>
      <c r="R153" s="83"/>
    </row>
    <row r="154" spans="1:21" s="80" customFormat="1" ht="12.75" x14ac:dyDescent="0.2">
      <c r="A154" s="265"/>
      <c r="B154" s="163"/>
      <c r="C154" s="149"/>
      <c r="D154" s="149"/>
      <c r="E154" s="149"/>
      <c r="F154" s="166"/>
      <c r="G154" s="100"/>
      <c r="H154" s="153" t="s">
        <v>93</v>
      </c>
      <c r="I154" s="151">
        <v>24030368.32</v>
      </c>
      <c r="J154" s="151">
        <f>+I154</f>
        <v>24030368.32</v>
      </c>
      <c r="K154" s="151"/>
      <c r="L154" s="151"/>
      <c r="M154" s="151"/>
      <c r="N154" s="176">
        <f>31714703.86-I154</f>
        <v>7684335.5399999991</v>
      </c>
      <c r="O154" s="263"/>
      <c r="P154" s="294"/>
      <c r="Q154" s="134"/>
      <c r="R154" s="83"/>
    </row>
    <row r="155" spans="1:21" s="80" customFormat="1" ht="12.75" x14ac:dyDescent="0.2">
      <c r="A155" s="265"/>
      <c r="B155" s="163"/>
      <c r="C155" s="149"/>
      <c r="D155" s="149"/>
      <c r="E155" s="149"/>
      <c r="F155" s="166"/>
      <c r="G155" s="100"/>
      <c r="H155" s="153" t="s">
        <v>94</v>
      </c>
      <c r="I155" s="162">
        <f>445991097.78-I731</f>
        <v>2301223.6299999952</v>
      </c>
      <c r="J155" s="151">
        <v>0</v>
      </c>
      <c r="K155" s="151">
        <f>+I155</f>
        <v>2301223.6299999952</v>
      </c>
      <c r="L155" s="151"/>
      <c r="M155" s="151"/>
      <c r="N155" s="176">
        <f>363000000-85474822.76-I155</f>
        <v>275223953.61000001</v>
      </c>
      <c r="O155" s="263"/>
      <c r="P155" s="294"/>
      <c r="Q155" s="134"/>
      <c r="R155" s="83"/>
    </row>
    <row r="156" spans="1:21" s="80" customFormat="1" ht="12.75" x14ac:dyDescent="0.2">
      <c r="A156" s="265"/>
      <c r="B156" s="163"/>
      <c r="C156" s="149"/>
      <c r="D156" s="149"/>
      <c r="E156" s="149"/>
      <c r="F156" s="166"/>
      <c r="G156" s="100"/>
      <c r="H156" s="153" t="s">
        <v>98</v>
      </c>
      <c r="I156" s="151">
        <v>0</v>
      </c>
      <c r="J156" s="151">
        <f>+I156</f>
        <v>0</v>
      </c>
      <c r="K156" s="151"/>
      <c r="L156" s="151"/>
      <c r="M156" s="151"/>
      <c r="N156" s="176">
        <f>27237551.58-I156</f>
        <v>27237551.579999998</v>
      </c>
      <c r="O156" s="263"/>
      <c r="P156" s="294"/>
      <c r="Q156" s="134"/>
      <c r="R156" s="83"/>
    </row>
    <row r="157" spans="1:21" s="80" customFormat="1" ht="25.5" x14ac:dyDescent="0.2">
      <c r="A157" s="265"/>
      <c r="B157" s="163"/>
      <c r="C157" s="149"/>
      <c r="D157" s="149"/>
      <c r="E157" s="149"/>
      <c r="F157" s="166" t="s">
        <v>253</v>
      </c>
      <c r="G157" s="100" t="s">
        <v>254</v>
      </c>
      <c r="H157" s="153"/>
      <c r="I157" s="151"/>
      <c r="J157" s="151"/>
      <c r="K157" s="151"/>
      <c r="L157" s="151"/>
      <c r="M157" s="151"/>
      <c r="N157" s="337"/>
      <c r="O157" s="263"/>
      <c r="P157" s="294"/>
      <c r="Q157" s="134"/>
      <c r="R157" s="83"/>
    </row>
    <row r="158" spans="1:21" s="80" customFormat="1" ht="12.75" x14ac:dyDescent="0.2">
      <c r="A158" s="265"/>
      <c r="B158" s="163"/>
      <c r="C158" s="149"/>
      <c r="D158" s="149"/>
      <c r="E158" s="149"/>
      <c r="F158" s="166"/>
      <c r="G158" s="110"/>
      <c r="H158" s="153" t="s">
        <v>91</v>
      </c>
      <c r="I158" s="214">
        <f>402085179.13-I734</f>
        <v>115538787.35000002</v>
      </c>
      <c r="J158" s="151"/>
      <c r="K158" s="151">
        <f>+I158</f>
        <v>115538787.35000002</v>
      </c>
      <c r="L158" s="151"/>
      <c r="M158" s="151"/>
      <c r="N158" s="212">
        <f>335800000-I158-30670909-38000000</f>
        <v>151590303.64999998</v>
      </c>
      <c r="O158" s="263"/>
      <c r="P158" s="294"/>
      <c r="Q158" s="134"/>
      <c r="R158" s="83"/>
    </row>
    <row r="159" spans="1:21" s="80" customFormat="1" ht="12.75" x14ac:dyDescent="0.2">
      <c r="A159" s="265"/>
      <c r="B159" s="163"/>
      <c r="C159" s="149"/>
      <c r="D159" s="149"/>
      <c r="E159" s="149"/>
      <c r="F159" s="166"/>
      <c r="G159" s="110"/>
      <c r="H159" s="153" t="s">
        <v>92</v>
      </c>
      <c r="I159" s="214">
        <f>325180338.08-I735</f>
        <v>183518434</v>
      </c>
      <c r="J159" s="151"/>
      <c r="K159" s="151">
        <f>+I159</f>
        <v>183518434</v>
      </c>
      <c r="L159" s="151"/>
      <c r="M159" s="151"/>
      <c r="N159" s="212">
        <f>310598107.94-I159+2000000</f>
        <v>129079673.94</v>
      </c>
      <c r="O159" s="263"/>
      <c r="P159" s="294"/>
      <c r="Q159" s="134"/>
      <c r="R159" s="83"/>
    </row>
    <row r="160" spans="1:21" s="80" customFormat="1" ht="12.75" x14ac:dyDescent="0.2">
      <c r="A160" s="265"/>
      <c r="B160" s="163"/>
      <c r="C160" s="149"/>
      <c r="D160" s="149"/>
      <c r="E160" s="149"/>
      <c r="F160" s="166"/>
      <c r="G160" s="110"/>
      <c r="H160" s="153" t="s">
        <v>94</v>
      </c>
      <c r="I160" s="214">
        <v>0</v>
      </c>
      <c r="J160" s="151">
        <v>0</v>
      </c>
      <c r="K160" s="151">
        <f>+I160</f>
        <v>0</v>
      </c>
      <c r="L160" s="151"/>
      <c r="M160" s="151"/>
      <c r="N160" s="212">
        <f>211500000-I160+30670909-2000000+38000000</f>
        <v>278170909</v>
      </c>
      <c r="O160" s="263"/>
      <c r="P160" s="294"/>
      <c r="Q160" s="134"/>
      <c r="R160" s="83"/>
    </row>
    <row r="161" spans="1:21" s="80" customFormat="1" ht="12.75" x14ac:dyDescent="0.2">
      <c r="A161" s="265"/>
      <c r="B161" s="163"/>
      <c r="C161" s="149"/>
      <c r="D161" s="149"/>
      <c r="E161" s="149"/>
      <c r="F161" s="166" t="s">
        <v>265</v>
      </c>
      <c r="G161" s="110"/>
      <c r="H161" s="153"/>
      <c r="I161" s="151"/>
      <c r="J161" s="151"/>
      <c r="K161" s="151"/>
      <c r="L161" s="151"/>
      <c r="M161" s="151"/>
      <c r="N161" s="328">
        <f>+E148-D148-33777534.37</f>
        <v>303997809.32000005</v>
      </c>
      <c r="O161" s="263"/>
      <c r="P161" s="294"/>
      <c r="Q161" s="134"/>
      <c r="R161" s="83"/>
    </row>
    <row r="162" spans="1:21" s="96" customFormat="1" ht="12.75" x14ac:dyDescent="0.2">
      <c r="A162" s="268"/>
      <c r="B162" s="177"/>
      <c r="C162" s="178"/>
      <c r="D162" s="178"/>
      <c r="E162" s="178"/>
      <c r="F162" s="179"/>
      <c r="G162" s="180"/>
      <c r="H162" s="181"/>
      <c r="I162" s="182"/>
      <c r="J162" s="182"/>
      <c r="K162" s="182"/>
      <c r="L162" s="182"/>
      <c r="M162" s="182"/>
      <c r="N162" s="183"/>
      <c r="O162" s="269"/>
      <c r="P162" s="294"/>
      <c r="Q162" s="138"/>
      <c r="R162" s="317"/>
    </row>
    <row r="163" spans="1:21" s="80" customFormat="1" ht="12.75" x14ac:dyDescent="0.2">
      <c r="A163" s="275" t="s">
        <v>256</v>
      </c>
      <c r="B163" s="215" t="s">
        <v>255</v>
      </c>
      <c r="C163" s="149"/>
      <c r="D163" s="149">
        <v>321848927.95999998</v>
      </c>
      <c r="E163" s="149">
        <v>289017970.32999998</v>
      </c>
      <c r="F163" s="166"/>
      <c r="G163" s="100"/>
      <c r="H163" s="153"/>
      <c r="I163" s="154">
        <f t="shared" ref="I163:N163" si="6">SUM(I164:I171)</f>
        <v>164059449.75240001</v>
      </c>
      <c r="J163" s="154">
        <f t="shared" si="6"/>
        <v>164059449.75240001</v>
      </c>
      <c r="K163" s="154">
        <f t="shared" si="6"/>
        <v>0</v>
      </c>
      <c r="L163" s="154">
        <f t="shared" si="6"/>
        <v>0</v>
      </c>
      <c r="M163" s="154">
        <f t="shared" si="6"/>
        <v>0</v>
      </c>
      <c r="N163" s="154">
        <f t="shared" si="6"/>
        <v>124958520.58059996</v>
      </c>
      <c r="O163" s="263"/>
      <c r="P163" s="294"/>
      <c r="Q163" s="134"/>
      <c r="R163" s="83"/>
      <c r="S163" s="87"/>
      <c r="T163" s="87"/>
      <c r="U163" s="87"/>
    </row>
    <row r="164" spans="1:21" s="80" customFormat="1" ht="12.75" x14ac:dyDescent="0.2">
      <c r="A164" s="265"/>
      <c r="B164" s="163"/>
      <c r="C164" s="149"/>
      <c r="D164" s="149"/>
      <c r="E164" s="149"/>
      <c r="F164" s="152" t="s">
        <v>200</v>
      </c>
      <c r="G164" s="100" t="s">
        <v>250</v>
      </c>
      <c r="H164" s="153" t="s">
        <v>90</v>
      </c>
      <c r="I164" s="151">
        <f>+E163*0.1</f>
        <v>28901797.033</v>
      </c>
      <c r="J164" s="151">
        <f>+I164</f>
        <v>28901797.033</v>
      </c>
      <c r="K164" s="151"/>
      <c r="L164" s="151"/>
      <c r="M164" s="151"/>
      <c r="N164" s="328"/>
      <c r="O164" s="263"/>
      <c r="P164" s="294"/>
      <c r="Q164" s="134"/>
      <c r="R164" s="83"/>
    </row>
    <row r="165" spans="1:21" s="80" customFormat="1" ht="12.75" x14ac:dyDescent="0.2">
      <c r="A165" s="265"/>
      <c r="B165" s="163"/>
      <c r="C165" s="149"/>
      <c r="D165" s="149"/>
      <c r="E165" s="149"/>
      <c r="F165" s="166"/>
      <c r="G165" s="110"/>
      <c r="H165" s="153"/>
      <c r="I165" s="151"/>
      <c r="J165" s="151"/>
      <c r="K165" s="151"/>
      <c r="L165" s="151"/>
      <c r="M165" s="151"/>
      <c r="N165" s="328"/>
      <c r="O165" s="263"/>
      <c r="P165" s="294"/>
      <c r="Q165" s="134"/>
      <c r="R165" s="83"/>
    </row>
    <row r="166" spans="1:21" s="80" customFormat="1" ht="12.75" x14ac:dyDescent="0.2">
      <c r="A166" s="265"/>
      <c r="B166" s="163"/>
      <c r="C166" s="149"/>
      <c r="D166" s="149"/>
      <c r="E166" s="149"/>
      <c r="F166" s="166" t="s">
        <v>218</v>
      </c>
      <c r="G166" s="100" t="s">
        <v>217</v>
      </c>
      <c r="H166" s="153" t="s">
        <v>90</v>
      </c>
      <c r="I166" s="216">
        <f>154221829.75*0.82</f>
        <v>126461900.395</v>
      </c>
      <c r="J166" s="151">
        <f>+I166</f>
        <v>126461900.395</v>
      </c>
      <c r="K166" s="151"/>
      <c r="L166" s="151"/>
      <c r="M166" s="151"/>
      <c r="N166" s="328">
        <f>146675332.7+2560000-3769870.03+101227.98-I166+16410000</f>
        <v>35514790.25499998</v>
      </c>
      <c r="O166" s="263"/>
      <c r="P166" s="294"/>
      <c r="Q166" s="134"/>
      <c r="R166" s="83"/>
    </row>
    <row r="167" spans="1:21" s="80" customFormat="1" ht="12.75" x14ac:dyDescent="0.2">
      <c r="A167" s="265"/>
      <c r="B167" s="163"/>
      <c r="C167" s="149"/>
      <c r="D167" s="149"/>
      <c r="E167" s="149"/>
      <c r="F167" s="166"/>
      <c r="G167" s="110"/>
      <c r="H167" s="153" t="s">
        <v>91</v>
      </c>
      <c r="I167" s="217">
        <v>0</v>
      </c>
      <c r="J167" s="151">
        <f>+I167</f>
        <v>0</v>
      </c>
      <c r="K167" s="151"/>
      <c r="L167" s="151"/>
      <c r="M167" s="151"/>
      <c r="N167" s="328">
        <f>109946084.33+3312618.13-101227.98-I167-30177861.86-16210000</f>
        <v>66769612.61999999</v>
      </c>
      <c r="O167" s="263"/>
      <c r="P167" s="294"/>
      <c r="Q167" s="134"/>
      <c r="R167" s="83"/>
    </row>
    <row r="168" spans="1:21" s="80" customFormat="1" ht="12.75" x14ac:dyDescent="0.2">
      <c r="A168" s="265"/>
      <c r="B168" s="163"/>
      <c r="C168" s="149"/>
      <c r="D168" s="149"/>
      <c r="E168" s="149"/>
      <c r="F168" s="166"/>
      <c r="G168" s="110"/>
      <c r="H168" s="153" t="s">
        <v>92</v>
      </c>
      <c r="I168" s="217">
        <v>7576825.9000000004</v>
      </c>
      <c r="J168" s="151">
        <f>+I168</f>
        <v>7576825.9000000004</v>
      </c>
      <c r="K168" s="151"/>
      <c r="L168" s="151"/>
      <c r="M168" s="151"/>
      <c r="N168" s="328">
        <f>12200000-I168-200000</f>
        <v>4423174.0999999996</v>
      </c>
      <c r="O168" s="263"/>
      <c r="P168" s="294"/>
      <c r="Q168" s="134"/>
      <c r="R168" s="83"/>
    </row>
    <row r="169" spans="1:21" s="80" customFormat="1" ht="12.75" x14ac:dyDescent="0.2">
      <c r="A169" s="265"/>
      <c r="B169" s="163"/>
      <c r="C169" s="149"/>
      <c r="D169" s="149"/>
      <c r="E169" s="149"/>
      <c r="F169" s="166"/>
      <c r="G169" s="110"/>
      <c r="H169" s="153" t="s">
        <v>94</v>
      </c>
      <c r="I169" s="216">
        <v>0</v>
      </c>
      <c r="J169" s="151">
        <v>0</v>
      </c>
      <c r="K169" s="151">
        <f>+I169</f>
        <v>0</v>
      </c>
      <c r="L169" s="151"/>
      <c r="M169" s="151"/>
      <c r="N169" s="328">
        <f>4600000-I169</f>
        <v>4600000</v>
      </c>
      <c r="O169" s="263"/>
      <c r="P169" s="294"/>
      <c r="Q169" s="134"/>
      <c r="R169" s="83"/>
    </row>
    <row r="170" spans="1:21" s="80" customFormat="1" ht="12.75" x14ac:dyDescent="0.2">
      <c r="A170" s="265"/>
      <c r="B170" s="163"/>
      <c r="C170" s="149"/>
      <c r="D170" s="149"/>
      <c r="E170" s="149"/>
      <c r="F170" s="166"/>
      <c r="G170" s="110"/>
      <c r="H170" s="153" t="s">
        <v>95</v>
      </c>
      <c r="I170" s="216">
        <f>1364544.42*0.82</f>
        <v>1118926.4243999999</v>
      </c>
      <c r="J170" s="151">
        <f>+I170</f>
        <v>1118926.4243999999</v>
      </c>
      <c r="K170" s="213"/>
      <c r="L170" s="151"/>
      <c r="M170" s="151"/>
      <c r="N170" s="328">
        <f>11000000-I170</f>
        <v>9881073.5756000001</v>
      </c>
      <c r="O170" s="263"/>
      <c r="P170" s="294"/>
      <c r="Q170" s="134"/>
      <c r="R170" s="83"/>
    </row>
    <row r="171" spans="1:21" s="80" customFormat="1" ht="12.75" x14ac:dyDescent="0.2">
      <c r="A171" s="265"/>
      <c r="B171" s="163"/>
      <c r="C171" s="149"/>
      <c r="D171" s="149"/>
      <c r="E171" s="149"/>
      <c r="F171" s="166"/>
      <c r="G171" s="110"/>
      <c r="H171" s="153" t="s">
        <v>98</v>
      </c>
      <c r="I171" s="216">
        <v>0</v>
      </c>
      <c r="J171" s="151">
        <f>+I171</f>
        <v>0</v>
      </c>
      <c r="K171" s="151"/>
      <c r="L171" s="151"/>
      <c r="M171" s="151"/>
      <c r="N171" s="328">
        <f>3769870.03-I171</f>
        <v>3769870.03</v>
      </c>
      <c r="O171" s="263"/>
      <c r="P171" s="294"/>
      <c r="Q171" s="134"/>
      <c r="R171" s="83"/>
    </row>
    <row r="172" spans="1:21" s="96" customFormat="1" ht="12.75" x14ac:dyDescent="0.2">
      <c r="A172" s="268"/>
      <c r="B172" s="177"/>
      <c r="C172" s="178"/>
      <c r="D172" s="178"/>
      <c r="E172" s="178"/>
      <c r="F172" s="179"/>
      <c r="G172" s="180"/>
      <c r="H172" s="181"/>
      <c r="I172" s="182"/>
      <c r="J172" s="182">
        <f>+I172</f>
        <v>0</v>
      </c>
      <c r="K172" s="182"/>
      <c r="L172" s="182"/>
      <c r="M172" s="182"/>
      <c r="N172" s="183"/>
      <c r="O172" s="269"/>
      <c r="P172" s="294"/>
      <c r="Q172" s="138"/>
      <c r="R172" s="317"/>
    </row>
    <row r="173" spans="1:21" s="80" customFormat="1" ht="12.75" x14ac:dyDescent="0.2">
      <c r="A173" s="275" t="s">
        <v>258</v>
      </c>
      <c r="B173" s="147" t="s">
        <v>257</v>
      </c>
      <c r="C173" s="149"/>
      <c r="D173" s="149">
        <v>700000</v>
      </c>
      <c r="E173" s="149">
        <v>378850</v>
      </c>
      <c r="F173" s="152"/>
      <c r="G173" s="100"/>
      <c r="H173" s="153"/>
      <c r="I173" s="154">
        <f>SUM(I174:I177)</f>
        <v>378850</v>
      </c>
      <c r="J173" s="154">
        <f>+I173</f>
        <v>378850</v>
      </c>
      <c r="K173" s="154">
        <f>SUM(K174:K176)</f>
        <v>0</v>
      </c>
      <c r="L173" s="154">
        <f>SUM(L174:L176)</f>
        <v>0</v>
      </c>
      <c r="M173" s="154">
        <f>SUM(M174:M176)</f>
        <v>0</v>
      </c>
      <c r="N173" s="154">
        <f>SUM(N174:N176)</f>
        <v>0</v>
      </c>
      <c r="O173" s="263"/>
      <c r="P173" s="294"/>
      <c r="Q173" s="134"/>
      <c r="R173" s="83"/>
      <c r="S173" s="87"/>
      <c r="T173" s="87"/>
      <c r="U173" s="87"/>
    </row>
    <row r="174" spans="1:21" s="80" customFormat="1" ht="12.75" x14ac:dyDescent="0.2">
      <c r="A174" s="265"/>
      <c r="B174" s="163"/>
      <c r="C174" s="149"/>
      <c r="D174" s="149"/>
      <c r="E174" s="149"/>
      <c r="F174" s="152" t="s">
        <v>200</v>
      </c>
      <c r="G174" s="100" t="s">
        <v>250</v>
      </c>
      <c r="H174" s="153" t="s">
        <v>90</v>
      </c>
      <c r="I174" s="151">
        <f>+E173*0.1</f>
        <v>37885</v>
      </c>
      <c r="J174" s="151">
        <f>+I174</f>
        <v>37885</v>
      </c>
      <c r="K174" s="151"/>
      <c r="L174" s="151"/>
      <c r="M174" s="151"/>
      <c r="N174" s="328"/>
      <c r="O174" s="263"/>
      <c r="P174" s="294"/>
      <c r="Q174" s="134"/>
      <c r="R174" s="83"/>
    </row>
    <row r="175" spans="1:21" s="80" customFormat="1" ht="12.75" x14ac:dyDescent="0.2">
      <c r="A175" s="265"/>
      <c r="B175" s="163"/>
      <c r="C175" s="149"/>
      <c r="D175" s="149"/>
      <c r="E175" s="149"/>
      <c r="F175" s="166"/>
      <c r="G175" s="110"/>
      <c r="H175" s="153"/>
      <c r="I175" s="151"/>
      <c r="J175" s="151"/>
      <c r="K175" s="151"/>
      <c r="L175" s="151"/>
      <c r="M175" s="151"/>
      <c r="N175" s="328"/>
      <c r="O175" s="263"/>
      <c r="P175" s="294"/>
      <c r="Q175" s="134"/>
      <c r="R175" s="83"/>
    </row>
    <row r="176" spans="1:21" s="80" customFormat="1" ht="12.75" x14ac:dyDescent="0.2">
      <c r="A176" s="265"/>
      <c r="B176" s="163"/>
      <c r="C176" s="149"/>
      <c r="D176" s="149"/>
      <c r="E176" s="149"/>
      <c r="F176" s="166" t="s">
        <v>218</v>
      </c>
      <c r="G176" s="100" t="s">
        <v>217</v>
      </c>
      <c r="H176" s="153" t="s">
        <v>90</v>
      </c>
      <c r="I176" s="216">
        <f>340965-I177</f>
        <v>95347.004400000034</v>
      </c>
      <c r="J176" s="151">
        <f>+I176</f>
        <v>95347.004400000034</v>
      </c>
      <c r="K176" s="151"/>
      <c r="L176" s="151"/>
      <c r="M176" s="151"/>
      <c r="N176" s="210"/>
      <c r="O176" s="263"/>
      <c r="P176" s="294"/>
      <c r="Q176" s="134"/>
      <c r="R176" s="83"/>
    </row>
    <row r="177" spans="1:21" s="116" customFormat="1" ht="12.75" x14ac:dyDescent="0.2">
      <c r="A177" s="265"/>
      <c r="B177" s="163"/>
      <c r="C177" s="149"/>
      <c r="D177" s="149"/>
      <c r="E177" s="149"/>
      <c r="F177" s="166"/>
      <c r="G177" s="100"/>
      <c r="H177" s="153" t="s">
        <v>95</v>
      </c>
      <c r="I177" s="216">
        <f>1364544.42*0.18</f>
        <v>245617.99559999997</v>
      </c>
      <c r="J177" s="151">
        <f>+I177</f>
        <v>245617.99559999997</v>
      </c>
      <c r="K177" s="151"/>
      <c r="L177" s="151"/>
      <c r="M177" s="151"/>
      <c r="N177" s="210"/>
      <c r="O177" s="263"/>
      <c r="P177" s="294"/>
      <c r="Q177" s="134"/>
      <c r="R177" s="83"/>
    </row>
    <row r="178" spans="1:21" s="96" customFormat="1" ht="12.75" x14ac:dyDescent="0.2">
      <c r="A178" s="268"/>
      <c r="B178" s="177"/>
      <c r="C178" s="178"/>
      <c r="D178" s="178"/>
      <c r="E178" s="178"/>
      <c r="F178" s="179"/>
      <c r="G178" s="180"/>
      <c r="H178" s="181"/>
      <c r="I178" s="182"/>
      <c r="J178" s="182">
        <f>+I178</f>
        <v>0</v>
      </c>
      <c r="K178" s="182"/>
      <c r="L178" s="182"/>
      <c r="M178" s="182"/>
      <c r="N178" s="183"/>
      <c r="O178" s="269"/>
      <c r="P178" s="294"/>
      <c r="Q178" s="138"/>
      <c r="R178" s="317"/>
    </row>
    <row r="179" spans="1:21" s="80" customFormat="1" ht="12.75" x14ac:dyDescent="0.2">
      <c r="A179" s="265" t="s">
        <v>259</v>
      </c>
      <c r="B179" s="163" t="s">
        <v>260</v>
      </c>
      <c r="C179" s="149"/>
      <c r="D179" s="149">
        <v>840000000</v>
      </c>
      <c r="E179" s="149">
        <v>990444308.42999995</v>
      </c>
      <c r="F179" s="166"/>
      <c r="G179" s="110"/>
      <c r="H179" s="153"/>
      <c r="I179" s="154">
        <f t="shared" ref="I179:N179" si="7">SUM(I180:I192)</f>
        <v>743939461.34299994</v>
      </c>
      <c r="J179" s="154">
        <f t="shared" si="7"/>
        <v>480739387.84299999</v>
      </c>
      <c r="K179" s="154">
        <f t="shared" si="7"/>
        <v>0</v>
      </c>
      <c r="L179" s="154">
        <f t="shared" si="7"/>
        <v>263200073.5</v>
      </c>
      <c r="M179" s="154">
        <f t="shared" si="7"/>
        <v>0</v>
      </c>
      <c r="N179" s="154">
        <f t="shared" si="7"/>
        <v>246504847.08999994</v>
      </c>
      <c r="O179" s="263"/>
      <c r="P179" s="294"/>
      <c r="Q179" s="134"/>
      <c r="R179" s="83"/>
      <c r="S179" s="87"/>
      <c r="T179" s="87"/>
      <c r="U179" s="87"/>
    </row>
    <row r="180" spans="1:21" s="80" customFormat="1" ht="12.75" x14ac:dyDescent="0.2">
      <c r="A180" s="265"/>
      <c r="B180" s="163"/>
      <c r="C180" s="149"/>
      <c r="D180" s="149"/>
      <c r="E180" s="149"/>
      <c r="F180" s="152" t="s">
        <v>200</v>
      </c>
      <c r="G180" s="100" t="s">
        <v>250</v>
      </c>
      <c r="H180" s="153" t="s">
        <v>90</v>
      </c>
      <c r="I180" s="151">
        <f>+E179*0.1</f>
        <v>99044430.842999995</v>
      </c>
      <c r="J180" s="151">
        <f>+I180</f>
        <v>99044430.842999995</v>
      </c>
      <c r="K180" s="151"/>
      <c r="L180" s="151"/>
      <c r="M180" s="151"/>
      <c r="N180" s="328">
        <v>0</v>
      </c>
      <c r="O180" s="263"/>
      <c r="P180" s="294"/>
      <c r="Q180" s="134"/>
      <c r="R180" s="83"/>
    </row>
    <row r="181" spans="1:21" s="80" customFormat="1" ht="12.75" x14ac:dyDescent="0.2">
      <c r="A181" s="265"/>
      <c r="B181" s="163"/>
      <c r="C181" s="149"/>
      <c r="D181" s="149"/>
      <c r="E181" s="149"/>
      <c r="F181" s="166"/>
      <c r="G181" s="110"/>
      <c r="H181" s="153"/>
      <c r="I181" s="151"/>
      <c r="J181" s="151"/>
      <c r="K181" s="151"/>
      <c r="L181" s="151"/>
      <c r="M181" s="151"/>
      <c r="N181" s="328"/>
      <c r="O181" s="263"/>
      <c r="P181" s="294"/>
      <c r="Q181" s="134"/>
      <c r="R181" s="83"/>
    </row>
    <row r="182" spans="1:21" s="80" customFormat="1" ht="12.75" x14ac:dyDescent="0.2">
      <c r="A182" s="265"/>
      <c r="B182" s="163"/>
      <c r="C182" s="149"/>
      <c r="D182" s="149"/>
      <c r="E182" s="149"/>
      <c r="F182" s="166" t="s">
        <v>261</v>
      </c>
      <c r="G182" s="100" t="s">
        <v>262</v>
      </c>
      <c r="H182" s="153" t="s">
        <v>90</v>
      </c>
      <c r="I182" s="151">
        <v>155830117.25</v>
      </c>
      <c r="J182" s="151">
        <f>+I182</f>
        <v>155830117.25</v>
      </c>
      <c r="K182" s="151"/>
      <c r="L182" s="151"/>
      <c r="M182" s="151"/>
      <c r="N182" s="176">
        <f>203701287.66-I182-5203375.16</f>
        <v>42667795.25</v>
      </c>
      <c r="O182" s="263"/>
      <c r="P182" s="294"/>
      <c r="Q182" s="134"/>
      <c r="R182" s="83"/>
    </row>
    <row r="183" spans="1:21" s="80" customFormat="1" ht="12.75" x14ac:dyDescent="0.2">
      <c r="A183" s="265"/>
      <c r="B183" s="163"/>
      <c r="C183" s="149"/>
      <c r="D183" s="149"/>
      <c r="E183" s="149"/>
      <c r="F183" s="166"/>
      <c r="G183" s="110"/>
      <c r="H183" s="153" t="s">
        <v>91</v>
      </c>
      <c r="I183" s="151">
        <f>67786567.51-I749</f>
        <v>65375615.010000005</v>
      </c>
      <c r="J183" s="151">
        <f>+I183</f>
        <v>65375615.010000005</v>
      </c>
      <c r="K183" s="151"/>
      <c r="L183" s="151"/>
      <c r="M183" s="151"/>
      <c r="N183" s="176">
        <f>91400532.12-I183</f>
        <v>26024917.109999999</v>
      </c>
      <c r="O183" s="263"/>
      <c r="P183" s="294"/>
      <c r="Q183" s="134"/>
      <c r="R183" s="83"/>
    </row>
    <row r="184" spans="1:21" s="80" customFormat="1" ht="12.75" x14ac:dyDescent="0.2">
      <c r="A184" s="265"/>
      <c r="B184" s="163"/>
      <c r="C184" s="149"/>
      <c r="D184" s="149"/>
      <c r="E184" s="149"/>
      <c r="F184" s="166"/>
      <c r="G184" s="110"/>
      <c r="H184" s="153" t="s">
        <v>95</v>
      </c>
      <c r="I184" s="151">
        <v>3130629.05</v>
      </c>
      <c r="J184" s="151">
        <f>+I184</f>
        <v>3130629.05</v>
      </c>
      <c r="K184" s="151"/>
      <c r="L184" s="151"/>
      <c r="M184" s="151"/>
      <c r="N184" s="176">
        <f>6500000-I184</f>
        <v>3369370.95</v>
      </c>
      <c r="O184" s="263"/>
      <c r="P184" s="294"/>
      <c r="Q184" s="134"/>
      <c r="R184" s="83"/>
    </row>
    <row r="185" spans="1:21" s="80" customFormat="1" ht="12.75" x14ac:dyDescent="0.2">
      <c r="A185" s="265"/>
      <c r="B185" s="163"/>
      <c r="C185" s="149"/>
      <c r="D185" s="149"/>
      <c r="E185" s="149"/>
      <c r="F185" s="166"/>
      <c r="G185" s="110"/>
      <c r="H185" s="153" t="s">
        <v>97</v>
      </c>
      <c r="I185" s="151">
        <v>263200073.5</v>
      </c>
      <c r="J185" s="151">
        <v>0</v>
      </c>
      <c r="K185" s="151"/>
      <c r="L185" s="151">
        <f>+I185</f>
        <v>263200073.5</v>
      </c>
      <c r="M185" s="151"/>
      <c r="N185" s="176">
        <f>257996698.34-I185+5203375.16</f>
        <v>0</v>
      </c>
      <c r="O185" s="263"/>
      <c r="P185" s="294"/>
      <c r="Q185" s="134"/>
      <c r="R185" s="83"/>
    </row>
    <row r="186" spans="1:21" s="80" customFormat="1" ht="12.75" x14ac:dyDescent="0.2">
      <c r="A186" s="265"/>
      <c r="B186" s="163"/>
      <c r="C186" s="149"/>
      <c r="D186" s="149"/>
      <c r="E186" s="149"/>
      <c r="F186" s="166"/>
      <c r="G186" s="110"/>
      <c r="H186" s="153" t="s">
        <v>98</v>
      </c>
      <c r="I186" s="151">
        <v>0</v>
      </c>
      <c r="J186" s="151">
        <f>+I186</f>
        <v>0</v>
      </c>
      <c r="K186" s="151"/>
      <c r="L186" s="151"/>
      <c r="M186" s="151"/>
      <c r="N186" s="176">
        <f>5052195.33-I186</f>
        <v>5052195.33</v>
      </c>
      <c r="O186" s="263"/>
      <c r="P186" s="294"/>
      <c r="Q186" s="134"/>
      <c r="R186" s="83"/>
    </row>
    <row r="187" spans="1:21" s="80" customFormat="1" ht="12.75" x14ac:dyDescent="0.2">
      <c r="A187" s="265"/>
      <c r="B187" s="163"/>
      <c r="C187" s="149"/>
      <c r="D187" s="149"/>
      <c r="E187" s="149"/>
      <c r="F187" s="166"/>
      <c r="G187" s="110"/>
      <c r="H187" s="153"/>
      <c r="I187" s="151"/>
      <c r="J187" s="151"/>
      <c r="K187" s="151"/>
      <c r="L187" s="151"/>
      <c r="M187" s="151"/>
      <c r="N187" s="176"/>
      <c r="O187" s="263"/>
      <c r="P187" s="294"/>
      <c r="Q187" s="134"/>
      <c r="R187" s="83"/>
    </row>
    <row r="188" spans="1:21" s="80" customFormat="1" ht="12.75" x14ac:dyDescent="0.2">
      <c r="A188" s="265"/>
      <c r="B188" s="163"/>
      <c r="C188" s="149"/>
      <c r="D188" s="149"/>
      <c r="E188" s="149"/>
      <c r="F188" s="166"/>
      <c r="G188" s="110"/>
      <c r="H188" s="153"/>
      <c r="I188" s="151"/>
      <c r="J188" s="151"/>
      <c r="K188" s="151"/>
      <c r="L188" s="151"/>
      <c r="M188" s="151"/>
      <c r="N188" s="176"/>
      <c r="O188" s="263"/>
      <c r="P188" s="294"/>
      <c r="Q188" s="134"/>
      <c r="R188" s="83"/>
    </row>
    <row r="189" spans="1:21" s="80" customFormat="1" ht="38.25" x14ac:dyDescent="0.2">
      <c r="A189" s="265"/>
      <c r="B189" s="163"/>
      <c r="C189" s="149"/>
      <c r="D189" s="149"/>
      <c r="E189" s="149"/>
      <c r="F189" s="166" t="s">
        <v>263</v>
      </c>
      <c r="G189" s="100" t="s">
        <v>264</v>
      </c>
      <c r="H189" s="153" t="s">
        <v>91</v>
      </c>
      <c r="I189" s="162">
        <f>613804707.91-I751</f>
        <v>105918593.88999999</v>
      </c>
      <c r="J189" s="151">
        <f>+I189</f>
        <v>105918593.88999999</v>
      </c>
      <c r="K189" s="151"/>
      <c r="L189" s="151"/>
      <c r="M189" s="151"/>
      <c r="N189" s="176">
        <f>121249286.55-I189</f>
        <v>15330692.660000011</v>
      </c>
      <c r="O189" s="263"/>
      <c r="P189" s="294"/>
      <c r="Q189" s="134"/>
      <c r="R189" s="83"/>
    </row>
    <row r="190" spans="1:21" s="80" customFormat="1" ht="12.75" x14ac:dyDescent="0.2">
      <c r="A190" s="265"/>
      <c r="B190" s="163"/>
      <c r="C190" s="149"/>
      <c r="D190" s="149"/>
      <c r="E190" s="149"/>
      <c r="F190" s="166"/>
      <c r="G190" s="110"/>
      <c r="H190" s="153" t="s">
        <v>92</v>
      </c>
      <c r="I190" s="162">
        <f>172184129.43-I752</f>
        <v>51440001.800000012</v>
      </c>
      <c r="J190" s="151">
        <f>+I190</f>
        <v>51440001.800000012</v>
      </c>
      <c r="K190" s="151"/>
      <c r="L190" s="151"/>
      <c r="M190" s="151"/>
      <c r="N190" s="176">
        <f>53600000-I190</f>
        <v>2159998.1999999881</v>
      </c>
      <c r="O190" s="263"/>
      <c r="P190" s="294"/>
      <c r="Q190" s="134"/>
      <c r="R190" s="83"/>
    </row>
    <row r="191" spans="1:21" s="80" customFormat="1" ht="12.75" x14ac:dyDescent="0.2">
      <c r="A191" s="265"/>
      <c r="B191" s="163"/>
      <c r="C191" s="149"/>
      <c r="D191" s="149"/>
      <c r="E191" s="149"/>
      <c r="F191" s="166"/>
      <c r="G191" s="110"/>
      <c r="H191" s="153" t="s">
        <v>94</v>
      </c>
      <c r="I191" s="162">
        <v>0</v>
      </c>
      <c r="J191" s="151">
        <v>0</v>
      </c>
      <c r="K191" s="151">
        <f>+I191</f>
        <v>0</v>
      </c>
      <c r="L191" s="151"/>
      <c r="M191" s="151"/>
      <c r="N191" s="176">
        <f>16500000-I191</f>
        <v>16500000</v>
      </c>
      <c r="O191" s="263"/>
      <c r="P191" s="294"/>
      <c r="Q191" s="134"/>
      <c r="R191" s="83"/>
    </row>
    <row r="192" spans="1:21" s="88" customFormat="1" ht="12.75" x14ac:dyDescent="0.2">
      <c r="A192" s="265"/>
      <c r="B192" s="163"/>
      <c r="C192" s="149"/>
      <c r="D192" s="149"/>
      <c r="E192" s="149"/>
      <c r="F192" s="166" t="s">
        <v>265</v>
      </c>
      <c r="G192" s="110"/>
      <c r="H192" s="153"/>
      <c r="I192" s="151"/>
      <c r="J192" s="151"/>
      <c r="K192" s="151"/>
      <c r="L192" s="151"/>
      <c r="M192" s="151"/>
      <c r="N192" s="176">
        <f>+E179-D179-15044430.84</f>
        <v>135399877.58999994</v>
      </c>
      <c r="O192" s="263"/>
      <c r="P192" s="294"/>
      <c r="Q192" s="134"/>
      <c r="R192" s="83"/>
    </row>
    <row r="193" spans="1:21" s="96" customFormat="1" ht="12.75" x14ac:dyDescent="0.2">
      <c r="A193" s="268"/>
      <c r="B193" s="177"/>
      <c r="C193" s="178"/>
      <c r="D193" s="178"/>
      <c r="E193" s="178"/>
      <c r="F193" s="179"/>
      <c r="G193" s="180"/>
      <c r="H193" s="181"/>
      <c r="I193" s="182"/>
      <c r="J193" s="182"/>
      <c r="K193" s="182"/>
      <c r="L193" s="182"/>
      <c r="M193" s="182"/>
      <c r="N193" s="183"/>
      <c r="O193" s="269"/>
      <c r="P193" s="294"/>
      <c r="Q193" s="138"/>
      <c r="R193" s="317"/>
    </row>
    <row r="194" spans="1:21" s="88" customFormat="1" ht="12.75" x14ac:dyDescent="0.2">
      <c r="A194" s="275" t="s">
        <v>268</v>
      </c>
      <c r="B194" s="147" t="s">
        <v>266</v>
      </c>
      <c r="C194" s="149"/>
      <c r="D194" s="149">
        <v>875000000</v>
      </c>
      <c r="E194" s="149">
        <v>947694333.62</v>
      </c>
      <c r="F194" s="170"/>
      <c r="G194" s="100"/>
      <c r="H194" s="153"/>
      <c r="I194" s="154">
        <f t="shared" ref="I194:N194" si="8">SUM(I195:I205)</f>
        <v>737358698.29200006</v>
      </c>
      <c r="J194" s="154">
        <f t="shared" si="8"/>
        <v>595750373.76200008</v>
      </c>
      <c r="K194" s="154">
        <f t="shared" si="8"/>
        <v>0</v>
      </c>
      <c r="L194" s="154">
        <f t="shared" si="8"/>
        <v>141608324.53000003</v>
      </c>
      <c r="M194" s="154">
        <f t="shared" si="8"/>
        <v>0</v>
      </c>
      <c r="N194" s="154">
        <f t="shared" si="8"/>
        <v>210335635.32999998</v>
      </c>
      <c r="O194" s="263"/>
      <c r="P194" s="294"/>
      <c r="Q194" s="134"/>
      <c r="R194" s="83"/>
      <c r="S194" s="87"/>
      <c r="T194" s="87"/>
      <c r="U194" s="87"/>
    </row>
    <row r="195" spans="1:21" s="88" customFormat="1" ht="12.75" x14ac:dyDescent="0.2">
      <c r="A195" s="265"/>
      <c r="B195" s="163"/>
      <c r="C195" s="149"/>
      <c r="D195" s="149"/>
      <c r="E195" s="149"/>
      <c r="F195" s="152" t="s">
        <v>200</v>
      </c>
      <c r="G195" s="100" t="s">
        <v>250</v>
      </c>
      <c r="H195" s="153" t="s">
        <v>90</v>
      </c>
      <c r="I195" s="151">
        <f>+E194*0.1</f>
        <v>94769433.362000003</v>
      </c>
      <c r="J195" s="151">
        <f>+I195</f>
        <v>94769433.362000003</v>
      </c>
      <c r="K195" s="151"/>
      <c r="L195" s="151"/>
      <c r="M195" s="151"/>
      <c r="N195" s="176"/>
      <c r="O195" s="263"/>
      <c r="P195" s="294"/>
      <c r="Q195" s="134"/>
      <c r="R195" s="83"/>
    </row>
    <row r="196" spans="1:21" s="88" customFormat="1" ht="12.75" x14ac:dyDescent="0.2">
      <c r="A196" s="265"/>
      <c r="B196" s="163"/>
      <c r="C196" s="149"/>
      <c r="D196" s="149"/>
      <c r="E196" s="149"/>
      <c r="F196" s="166"/>
      <c r="G196" s="110"/>
      <c r="H196" s="153"/>
      <c r="I196" s="151"/>
      <c r="J196" s="151"/>
      <c r="K196" s="151"/>
      <c r="L196" s="151"/>
      <c r="M196" s="151"/>
      <c r="N196" s="176"/>
      <c r="O196" s="263"/>
      <c r="P196" s="294"/>
      <c r="Q196" s="134"/>
      <c r="R196" s="83"/>
    </row>
    <row r="197" spans="1:21" s="88" customFormat="1" ht="12.75" x14ac:dyDescent="0.2">
      <c r="A197" s="265"/>
      <c r="B197" s="163"/>
      <c r="C197" s="149"/>
      <c r="D197" s="149"/>
      <c r="E197" s="149"/>
      <c r="F197" s="166" t="s">
        <v>261</v>
      </c>
      <c r="G197" s="100" t="s">
        <v>267</v>
      </c>
      <c r="H197" s="153" t="s">
        <v>90</v>
      </c>
      <c r="I197" s="151">
        <v>248472447.09</v>
      </c>
      <c r="J197" s="151">
        <f>+I197</f>
        <v>248472447.09</v>
      </c>
      <c r="K197" s="151"/>
      <c r="L197" s="151"/>
      <c r="M197" s="151"/>
      <c r="N197" s="176">
        <f>304225199.57-I197-100000+4000000</f>
        <v>59652752.479999989</v>
      </c>
      <c r="O197" s="263"/>
      <c r="P197" s="294"/>
      <c r="Q197" s="134"/>
      <c r="R197" s="83"/>
    </row>
    <row r="198" spans="1:21" s="88" customFormat="1" ht="12.75" x14ac:dyDescent="0.2">
      <c r="A198" s="265"/>
      <c r="B198" s="163"/>
      <c r="C198" s="149"/>
      <c r="D198" s="149"/>
      <c r="E198" s="149"/>
      <c r="F198" s="166"/>
      <c r="G198" s="110"/>
      <c r="H198" s="153" t="s">
        <v>91</v>
      </c>
      <c r="I198" s="176">
        <f>222800510.81-I759</f>
        <v>145009371.84999999</v>
      </c>
      <c r="J198" s="176">
        <f>+I198</f>
        <v>145009371.84999999</v>
      </c>
      <c r="K198" s="176"/>
      <c r="L198" s="176"/>
      <c r="M198" s="176"/>
      <c r="N198" s="176">
        <f>195170834.34-I198-4000000</f>
        <v>46161462.49000001</v>
      </c>
      <c r="O198" s="263"/>
      <c r="P198" s="294"/>
      <c r="Q198" s="134"/>
      <c r="R198" s="83"/>
    </row>
    <row r="199" spans="1:21" s="88" customFormat="1" ht="12.75" x14ac:dyDescent="0.2">
      <c r="A199" s="265"/>
      <c r="B199" s="163"/>
      <c r="C199" s="149"/>
      <c r="D199" s="149"/>
      <c r="E199" s="149"/>
      <c r="F199" s="166"/>
      <c r="G199" s="110"/>
      <c r="H199" s="153" t="s">
        <v>92</v>
      </c>
      <c r="I199" s="176">
        <f>181732983.34-I760</f>
        <v>97658733.24000001</v>
      </c>
      <c r="J199" s="176">
        <f>+I199</f>
        <v>97658733.24000001</v>
      </c>
      <c r="K199" s="176"/>
      <c r="L199" s="176"/>
      <c r="M199" s="176"/>
      <c r="N199" s="176">
        <f>113051966.34-I199+7500000</f>
        <v>22893233.099999994</v>
      </c>
      <c r="O199" s="263"/>
      <c r="P199" s="294"/>
      <c r="Q199" s="134"/>
      <c r="R199" s="83"/>
    </row>
    <row r="200" spans="1:21" s="88" customFormat="1" ht="12.75" x14ac:dyDescent="0.2">
      <c r="A200" s="265"/>
      <c r="B200" s="163"/>
      <c r="C200" s="149"/>
      <c r="D200" s="149"/>
      <c r="E200" s="149"/>
      <c r="F200" s="166"/>
      <c r="G200" s="110"/>
      <c r="H200" s="153" t="s">
        <v>93</v>
      </c>
      <c r="I200" s="176">
        <f>176310658.43-172901580.71</f>
        <v>3409077.7199999988</v>
      </c>
      <c r="J200" s="176">
        <f>+I200</f>
        <v>3409077.7199999988</v>
      </c>
      <c r="K200" s="176"/>
      <c r="L200" s="176"/>
      <c r="M200" s="176"/>
      <c r="N200" s="176">
        <f>4618134.11-I200+5000000</f>
        <v>6209056.3900000015</v>
      </c>
      <c r="O200" s="263"/>
      <c r="P200" s="294"/>
      <c r="Q200" s="134"/>
      <c r="R200" s="83"/>
    </row>
    <row r="201" spans="1:21" s="88" customFormat="1" ht="12.75" x14ac:dyDescent="0.2">
      <c r="A201" s="265"/>
      <c r="B201" s="163"/>
      <c r="C201" s="149"/>
      <c r="D201" s="149"/>
      <c r="E201" s="149"/>
      <c r="F201" s="166"/>
      <c r="G201" s="110"/>
      <c r="H201" s="153" t="s">
        <v>94</v>
      </c>
      <c r="I201" s="176">
        <v>0</v>
      </c>
      <c r="J201" s="176">
        <v>0</v>
      </c>
      <c r="K201" s="176">
        <f>+I201</f>
        <v>0</v>
      </c>
      <c r="L201" s="176"/>
      <c r="M201" s="176"/>
      <c r="N201" s="176">
        <v>0</v>
      </c>
      <c r="O201" s="263"/>
      <c r="P201" s="294"/>
      <c r="Q201" s="134"/>
      <c r="R201" s="83"/>
    </row>
    <row r="202" spans="1:21" s="88" customFormat="1" ht="12.75" x14ac:dyDescent="0.2">
      <c r="A202" s="265"/>
      <c r="B202" s="163"/>
      <c r="C202" s="149"/>
      <c r="D202" s="149"/>
      <c r="E202" s="149"/>
      <c r="F202" s="166"/>
      <c r="G202" s="110"/>
      <c r="H202" s="153" t="s">
        <v>95</v>
      </c>
      <c r="I202" s="176">
        <v>6431310.5</v>
      </c>
      <c r="J202" s="176">
        <f>+I202</f>
        <v>6431310.5</v>
      </c>
      <c r="K202" s="176"/>
      <c r="L202" s="176"/>
      <c r="M202" s="176"/>
      <c r="N202" s="176">
        <f>12000000-I202-3774067.7</f>
        <v>1794621.7999999998</v>
      </c>
      <c r="O202" s="263"/>
      <c r="P202" s="294"/>
      <c r="Q202" s="134"/>
      <c r="R202" s="83"/>
    </row>
    <row r="203" spans="1:21" s="88" customFormat="1" ht="12.75" x14ac:dyDescent="0.2">
      <c r="A203" s="265"/>
      <c r="B203" s="163"/>
      <c r="C203" s="149"/>
      <c r="D203" s="149"/>
      <c r="E203" s="149"/>
      <c r="F203" s="166"/>
      <c r="G203" s="110"/>
      <c r="H203" s="153" t="s">
        <v>97</v>
      </c>
      <c r="I203" s="176">
        <f>219164212.49-77555887.96</f>
        <v>141608324.53000003</v>
      </c>
      <c r="J203" s="176">
        <v>0</v>
      </c>
      <c r="K203" s="176"/>
      <c r="L203" s="176">
        <f>+I203</f>
        <v>141608324.53000003</v>
      </c>
      <c r="M203" s="176"/>
      <c r="N203" s="176">
        <f>137734256.83-I203+3774067.7+100000</f>
        <v>-1.7695128917694092E-8</v>
      </c>
      <c r="O203" s="263"/>
      <c r="P203" s="294"/>
      <c r="Q203" s="134"/>
      <c r="R203" s="83"/>
    </row>
    <row r="204" spans="1:21" s="88" customFormat="1" ht="12.75" x14ac:dyDescent="0.2">
      <c r="A204" s="265"/>
      <c r="B204" s="163"/>
      <c r="C204" s="149"/>
      <c r="D204" s="149"/>
      <c r="E204" s="149"/>
      <c r="F204" s="166"/>
      <c r="G204" s="110"/>
      <c r="H204" s="153" t="s">
        <v>98</v>
      </c>
      <c r="I204" s="176">
        <v>0</v>
      </c>
      <c r="J204" s="176">
        <f>+I204</f>
        <v>0</v>
      </c>
      <c r="K204" s="176"/>
      <c r="L204" s="176"/>
      <c r="M204" s="176"/>
      <c r="N204" s="176">
        <v>8199608.8099999996</v>
      </c>
      <c r="O204" s="263"/>
      <c r="P204" s="294"/>
      <c r="Q204" s="134"/>
      <c r="R204" s="83"/>
    </row>
    <row r="205" spans="1:21" s="88" customFormat="1" ht="12.75" x14ac:dyDescent="0.2">
      <c r="A205" s="265"/>
      <c r="B205" s="163"/>
      <c r="C205" s="149"/>
      <c r="D205" s="149"/>
      <c r="E205" s="149"/>
      <c r="F205" s="166" t="s">
        <v>265</v>
      </c>
      <c r="G205" s="110"/>
      <c r="H205" s="153"/>
      <c r="I205" s="176"/>
      <c r="J205" s="176"/>
      <c r="K205" s="176"/>
      <c r="L205" s="176"/>
      <c r="M205" s="176"/>
      <c r="N205" s="176">
        <f>+E194-D194-7269433.36</f>
        <v>65424900.260000005</v>
      </c>
      <c r="O205" s="263"/>
      <c r="P205" s="294"/>
      <c r="Q205" s="134"/>
      <c r="R205" s="83"/>
    </row>
    <row r="206" spans="1:21" s="96" customFormat="1" ht="12.75" x14ac:dyDescent="0.2">
      <c r="A206" s="268"/>
      <c r="B206" s="177"/>
      <c r="C206" s="178"/>
      <c r="D206" s="178"/>
      <c r="E206" s="178"/>
      <c r="F206" s="179"/>
      <c r="G206" s="180"/>
      <c r="H206" s="181"/>
      <c r="I206" s="182"/>
      <c r="J206" s="182"/>
      <c r="K206" s="182"/>
      <c r="L206" s="182"/>
      <c r="M206" s="182"/>
      <c r="N206" s="183"/>
      <c r="O206" s="269"/>
      <c r="P206" s="294"/>
      <c r="Q206" s="138"/>
      <c r="R206" s="317"/>
    </row>
    <row r="207" spans="1:21" s="88" customFormat="1" ht="12.75" x14ac:dyDescent="0.2">
      <c r="A207" s="265" t="s">
        <v>269</v>
      </c>
      <c r="B207" s="163" t="s">
        <v>270</v>
      </c>
      <c r="C207" s="149"/>
      <c r="D207" s="149">
        <v>180000000</v>
      </c>
      <c r="E207" s="149">
        <v>325510130.82999998</v>
      </c>
      <c r="F207" s="166"/>
      <c r="G207" s="110"/>
      <c r="H207" s="153"/>
      <c r="I207" s="154">
        <f t="shared" ref="I207:N207" si="9">SUM(I208:I212)</f>
        <v>32551013.083000001</v>
      </c>
      <c r="J207" s="154">
        <f t="shared" si="9"/>
        <v>32551013.083000001</v>
      </c>
      <c r="K207" s="154">
        <f t="shared" si="9"/>
        <v>0</v>
      </c>
      <c r="L207" s="154">
        <f t="shared" si="9"/>
        <v>0</v>
      </c>
      <c r="M207" s="154">
        <f t="shared" si="9"/>
        <v>0</v>
      </c>
      <c r="N207" s="154">
        <f t="shared" si="9"/>
        <v>292959117.75</v>
      </c>
      <c r="O207" s="263"/>
      <c r="P207" s="294"/>
      <c r="Q207" s="134"/>
      <c r="R207" s="83"/>
      <c r="S207" s="87"/>
      <c r="T207" s="87"/>
      <c r="U207" s="87"/>
    </row>
    <row r="208" spans="1:21" s="88" customFormat="1" ht="12.75" x14ac:dyDescent="0.2">
      <c r="A208" s="265"/>
      <c r="B208" s="163"/>
      <c r="C208" s="149"/>
      <c r="D208" s="149"/>
      <c r="E208" s="149"/>
      <c r="F208" s="152" t="s">
        <v>200</v>
      </c>
      <c r="G208" s="100" t="s">
        <v>250</v>
      </c>
      <c r="H208" s="153" t="s">
        <v>90</v>
      </c>
      <c r="I208" s="151">
        <f>+E207*0.1</f>
        <v>32551013.083000001</v>
      </c>
      <c r="J208" s="151">
        <f>+I208</f>
        <v>32551013.083000001</v>
      </c>
      <c r="K208" s="151"/>
      <c r="L208" s="151"/>
      <c r="M208" s="151"/>
      <c r="N208" s="176">
        <v>0</v>
      </c>
      <c r="O208" s="263"/>
      <c r="P208" s="294"/>
      <c r="Q208" s="134"/>
      <c r="R208" s="83"/>
    </row>
    <row r="209" spans="1:21" s="88" customFormat="1" ht="12.75" x14ac:dyDescent="0.2">
      <c r="A209" s="265"/>
      <c r="B209" s="163"/>
      <c r="C209" s="149"/>
      <c r="D209" s="149"/>
      <c r="E209" s="149"/>
      <c r="F209" s="166"/>
      <c r="G209" s="110"/>
      <c r="H209" s="153"/>
      <c r="I209" s="151"/>
      <c r="J209" s="151"/>
      <c r="K209" s="151"/>
      <c r="L209" s="151"/>
      <c r="M209" s="151"/>
      <c r="N209" s="176"/>
      <c r="O209" s="263"/>
      <c r="P209" s="294"/>
      <c r="Q209" s="134"/>
      <c r="R209" s="83"/>
    </row>
    <row r="210" spans="1:21" s="88" customFormat="1" ht="12.75" x14ac:dyDescent="0.2">
      <c r="A210" s="265"/>
      <c r="B210" s="163"/>
      <c r="C210" s="149"/>
      <c r="D210" s="149"/>
      <c r="E210" s="149"/>
      <c r="F210" s="166" t="s">
        <v>251</v>
      </c>
      <c r="G210" s="100" t="s">
        <v>252</v>
      </c>
      <c r="H210" s="153" t="s">
        <v>94</v>
      </c>
      <c r="I210" s="176">
        <v>0</v>
      </c>
      <c r="J210" s="151">
        <v>0</v>
      </c>
      <c r="K210" s="151">
        <f>+I210</f>
        <v>0</v>
      </c>
      <c r="L210" s="151"/>
      <c r="M210" s="151"/>
      <c r="N210" s="220">
        <f>85474822.76-I210</f>
        <v>85474822.760000005</v>
      </c>
      <c r="O210" s="263"/>
      <c r="P210" s="294"/>
      <c r="Q210" s="134"/>
      <c r="R210" s="83"/>
    </row>
    <row r="211" spans="1:21" s="88" customFormat="1" ht="12.75" x14ac:dyDescent="0.2">
      <c r="A211" s="265"/>
      <c r="B211" s="163"/>
      <c r="C211" s="149"/>
      <c r="D211" s="149"/>
      <c r="E211" s="149"/>
      <c r="F211" s="166"/>
      <c r="G211" s="110"/>
      <c r="H211" s="153" t="s">
        <v>95</v>
      </c>
      <c r="I211" s="151">
        <v>0</v>
      </c>
      <c r="J211" s="151">
        <f>+I211</f>
        <v>0</v>
      </c>
      <c r="K211" s="151"/>
      <c r="L211" s="151"/>
      <c r="M211" s="151"/>
      <c r="N211" s="220">
        <f>76525177.24-I211</f>
        <v>76525177.239999995</v>
      </c>
      <c r="O211" s="263"/>
      <c r="P211" s="294"/>
      <c r="Q211" s="134"/>
      <c r="R211" s="83"/>
    </row>
    <row r="212" spans="1:21" s="88" customFormat="1" ht="12.75" x14ac:dyDescent="0.2">
      <c r="A212" s="265"/>
      <c r="B212" s="163"/>
      <c r="C212" s="149"/>
      <c r="D212" s="149"/>
      <c r="E212" s="149"/>
      <c r="F212" s="166" t="s">
        <v>265</v>
      </c>
      <c r="G212" s="110"/>
      <c r="H212" s="153"/>
      <c r="I212" s="151"/>
      <c r="J212" s="151"/>
      <c r="K212" s="151"/>
      <c r="L212" s="151"/>
      <c r="M212" s="151"/>
      <c r="N212" s="176">
        <f>+E207-D207-14551013.08</f>
        <v>130959117.74999999</v>
      </c>
      <c r="O212" s="263"/>
      <c r="P212" s="294"/>
      <c r="Q212" s="134"/>
      <c r="R212" s="83"/>
    </row>
    <row r="213" spans="1:21" s="96" customFormat="1" ht="12.75" x14ac:dyDescent="0.2">
      <c r="A213" s="268"/>
      <c r="B213" s="177"/>
      <c r="C213" s="178"/>
      <c r="D213" s="178"/>
      <c r="E213" s="178"/>
      <c r="F213" s="179"/>
      <c r="G213" s="180"/>
      <c r="H213" s="181"/>
      <c r="I213" s="219"/>
      <c r="J213" s="182"/>
      <c r="K213" s="182"/>
      <c r="L213" s="182"/>
      <c r="M213" s="182"/>
      <c r="N213" s="183"/>
      <c r="O213" s="269"/>
      <c r="P213" s="294"/>
      <c r="Q213" s="138"/>
      <c r="R213" s="317"/>
    </row>
    <row r="214" spans="1:21" s="88" customFormat="1" ht="12.75" x14ac:dyDescent="0.2">
      <c r="A214" s="265" t="s">
        <v>272</v>
      </c>
      <c r="B214" s="163" t="s">
        <v>271</v>
      </c>
      <c r="C214" s="149"/>
      <c r="D214" s="212">
        <v>3900000000</v>
      </c>
      <c r="E214" s="149">
        <v>4379021024.6899996</v>
      </c>
      <c r="F214" s="166"/>
      <c r="G214" s="110"/>
      <c r="H214" s="153"/>
      <c r="I214" s="154">
        <f t="shared" ref="I214:N214" si="10">SUM(I215:I225)</f>
        <v>760215272.18900049</v>
      </c>
      <c r="J214" s="154">
        <f t="shared" si="10"/>
        <v>760215272.18900049</v>
      </c>
      <c r="K214" s="154">
        <f t="shared" si="10"/>
        <v>0</v>
      </c>
      <c r="L214" s="154">
        <f t="shared" si="10"/>
        <v>0</v>
      </c>
      <c r="M214" s="154">
        <f t="shared" si="10"/>
        <v>0</v>
      </c>
      <c r="N214" s="154">
        <f t="shared" si="10"/>
        <v>3618805752.499999</v>
      </c>
      <c r="O214" s="263"/>
      <c r="P214" s="294"/>
      <c r="Q214" s="134"/>
      <c r="R214" s="83"/>
      <c r="S214" s="87"/>
      <c r="T214" s="87"/>
      <c r="U214" s="87"/>
    </row>
    <row r="215" spans="1:21" s="88" customFormat="1" ht="12.75" x14ac:dyDescent="0.2">
      <c r="A215" s="265"/>
      <c r="B215" s="163"/>
      <c r="C215" s="149"/>
      <c r="D215" s="149"/>
      <c r="E215" s="149"/>
      <c r="F215" s="152" t="s">
        <v>200</v>
      </c>
      <c r="G215" s="100" t="s">
        <v>250</v>
      </c>
      <c r="H215" s="153" t="s">
        <v>90</v>
      </c>
      <c r="I215" s="151">
        <f>+E214*0.1</f>
        <v>437902102.46899998</v>
      </c>
      <c r="J215" s="151">
        <f>+I215</f>
        <v>437902102.46899998</v>
      </c>
      <c r="K215" s="151"/>
      <c r="L215" s="151"/>
      <c r="M215" s="151"/>
      <c r="N215" s="176">
        <v>0</v>
      </c>
      <c r="O215" s="263"/>
      <c r="P215" s="294"/>
      <c r="Q215" s="134"/>
      <c r="R215" s="83"/>
    </row>
    <row r="216" spans="1:21" s="88" customFormat="1" ht="12.75" x14ac:dyDescent="0.2">
      <c r="A216" s="265"/>
      <c r="B216" s="163"/>
      <c r="C216" s="149"/>
      <c r="D216" s="149"/>
      <c r="E216" s="149"/>
      <c r="F216" s="166"/>
      <c r="G216" s="100"/>
      <c r="H216" s="153"/>
      <c r="I216" s="151"/>
      <c r="J216" s="151"/>
      <c r="K216" s="151"/>
      <c r="L216" s="151"/>
      <c r="M216" s="151"/>
      <c r="N216" s="176"/>
      <c r="O216" s="263"/>
      <c r="P216" s="294"/>
      <c r="Q216" s="134"/>
      <c r="R216" s="83"/>
    </row>
    <row r="217" spans="1:21" s="88" customFormat="1" ht="12.75" x14ac:dyDescent="0.2">
      <c r="A217" s="265"/>
      <c r="B217" s="163"/>
      <c r="C217" s="149"/>
      <c r="D217" s="149"/>
      <c r="E217" s="149"/>
      <c r="F217" s="166" t="s">
        <v>273</v>
      </c>
      <c r="G217" s="100" t="s">
        <v>274</v>
      </c>
      <c r="H217" s="153" t="s">
        <v>90</v>
      </c>
      <c r="I217" s="151">
        <v>215606251.34</v>
      </c>
      <c r="J217" s="151">
        <f>+I217</f>
        <v>215606251.34</v>
      </c>
      <c r="K217" s="151"/>
      <c r="L217" s="151"/>
      <c r="M217" s="151"/>
      <c r="N217" s="220">
        <f>287704208.64-I217</f>
        <v>72097957.299999982</v>
      </c>
      <c r="O217" s="263"/>
      <c r="P217" s="294"/>
      <c r="Q217" s="134"/>
      <c r="R217" s="83"/>
    </row>
    <row r="218" spans="1:21" s="88" customFormat="1" ht="12.75" x14ac:dyDescent="0.2">
      <c r="A218" s="265"/>
      <c r="B218" s="163"/>
      <c r="C218" s="149"/>
      <c r="D218" s="149"/>
      <c r="E218" s="149"/>
      <c r="F218" s="166"/>
      <c r="G218" s="110"/>
      <c r="H218" s="153" t="s">
        <v>91</v>
      </c>
      <c r="I218" s="151">
        <f>3034343387.85-I717</f>
        <v>92589503.540000439</v>
      </c>
      <c r="J218" s="151">
        <f>+I218</f>
        <v>92589503.540000439</v>
      </c>
      <c r="K218" s="151"/>
      <c r="L218" s="151"/>
      <c r="M218" s="151"/>
      <c r="N218" s="220">
        <f>3395337948.24-598000000-142480.6-I218+4000000</f>
        <v>2708605964.0999994</v>
      </c>
      <c r="O218" s="263"/>
      <c r="P218" s="294"/>
      <c r="Q218" s="134"/>
      <c r="R218" s="83"/>
    </row>
    <row r="219" spans="1:21" s="88" customFormat="1" ht="12.75" x14ac:dyDescent="0.2">
      <c r="A219" s="265"/>
      <c r="B219" s="163"/>
      <c r="C219" s="149"/>
      <c r="D219" s="149"/>
      <c r="E219" s="149"/>
      <c r="F219" s="166"/>
      <c r="G219" s="110"/>
      <c r="H219" s="153" t="s">
        <v>92</v>
      </c>
      <c r="I219" s="151">
        <f>13681621.39-I718</f>
        <v>9624333.3900000006</v>
      </c>
      <c r="J219" s="151">
        <f>+I219</f>
        <v>9624333.3900000006</v>
      </c>
      <c r="K219" s="151"/>
      <c r="L219" s="151"/>
      <c r="M219" s="151"/>
      <c r="N219" s="220">
        <f>13100000-I219</f>
        <v>3475666.6099999994</v>
      </c>
      <c r="O219" s="263"/>
      <c r="P219" s="294"/>
      <c r="Q219" s="134"/>
      <c r="R219" s="83"/>
    </row>
    <row r="220" spans="1:21" s="88" customFormat="1" ht="12.75" x14ac:dyDescent="0.2">
      <c r="A220" s="265"/>
      <c r="B220" s="163"/>
      <c r="C220" s="149"/>
      <c r="D220" s="149"/>
      <c r="E220" s="149"/>
      <c r="F220" s="166"/>
      <c r="G220" s="110"/>
      <c r="H220" s="153" t="s">
        <v>94</v>
      </c>
      <c r="I220" s="151">
        <v>0</v>
      </c>
      <c r="J220" s="151">
        <v>0</v>
      </c>
      <c r="K220" s="151">
        <f>+I220</f>
        <v>0</v>
      </c>
      <c r="L220" s="151"/>
      <c r="M220" s="151"/>
      <c r="N220" s="220">
        <f>5827783.39-I220</f>
        <v>5827783.3899999997</v>
      </c>
      <c r="O220" s="263"/>
      <c r="P220" s="294"/>
      <c r="Q220" s="134"/>
      <c r="R220" s="83"/>
    </row>
    <row r="221" spans="1:21" s="88" customFormat="1" ht="12.75" x14ac:dyDescent="0.2">
      <c r="A221" s="265"/>
      <c r="B221" s="163"/>
      <c r="C221" s="149"/>
      <c r="D221" s="149"/>
      <c r="E221" s="149"/>
      <c r="F221" s="166"/>
      <c r="G221" s="110"/>
      <c r="H221" s="153" t="s">
        <v>95</v>
      </c>
      <c r="I221" s="151">
        <v>4493081.45</v>
      </c>
      <c r="J221" s="151">
        <f>+I221</f>
        <v>4493081.45</v>
      </c>
      <c r="K221" s="151"/>
      <c r="L221" s="151"/>
      <c r="M221" s="151"/>
      <c r="N221" s="220">
        <f>7500000-I221</f>
        <v>3006918.55</v>
      </c>
      <c r="O221" s="263"/>
      <c r="P221" s="294"/>
      <c r="Q221" s="134"/>
      <c r="R221" s="83"/>
    </row>
    <row r="222" spans="1:21" s="88" customFormat="1" ht="12.75" x14ac:dyDescent="0.2">
      <c r="A222" s="265"/>
      <c r="B222" s="163"/>
      <c r="C222" s="149"/>
      <c r="D222" s="149"/>
      <c r="E222" s="149"/>
      <c r="F222" s="166"/>
      <c r="G222" s="110"/>
      <c r="H222" s="153" t="s">
        <v>98</v>
      </c>
      <c r="I222" s="151">
        <v>0</v>
      </c>
      <c r="J222" s="151">
        <f>+I222</f>
        <v>0</v>
      </c>
      <c r="K222" s="151"/>
      <c r="L222" s="151"/>
      <c r="M222" s="151"/>
      <c r="N222" s="220">
        <f>6451203.37-I222</f>
        <v>6451203.3700000001</v>
      </c>
      <c r="O222" s="263"/>
      <c r="P222" s="294"/>
      <c r="Q222" s="134"/>
      <c r="R222" s="83"/>
    </row>
    <row r="223" spans="1:21" s="88" customFormat="1" ht="12.75" x14ac:dyDescent="0.2">
      <c r="A223" s="265"/>
      <c r="B223" s="163"/>
      <c r="C223" s="149"/>
      <c r="D223" s="149"/>
      <c r="E223" s="149"/>
      <c r="F223" s="166"/>
      <c r="G223" s="110"/>
      <c r="H223" s="153"/>
      <c r="I223" s="151"/>
      <c r="J223" s="151"/>
      <c r="K223" s="151"/>
      <c r="L223" s="151"/>
      <c r="M223" s="151"/>
      <c r="N223" s="220"/>
      <c r="O223" s="263"/>
      <c r="P223" s="294"/>
      <c r="Q223" s="134"/>
      <c r="R223" s="83"/>
    </row>
    <row r="224" spans="1:21" s="88" customFormat="1" ht="25.5" x14ac:dyDescent="0.2">
      <c r="A224" s="265"/>
      <c r="B224" s="163"/>
      <c r="C224" s="149"/>
      <c r="D224" s="149"/>
      <c r="E224" s="149"/>
      <c r="F224" s="166" t="s">
        <v>275</v>
      </c>
      <c r="G224" s="100" t="s">
        <v>276</v>
      </c>
      <c r="H224" s="153" t="s">
        <v>91</v>
      </c>
      <c r="I224" s="151">
        <v>0</v>
      </c>
      <c r="J224" s="151">
        <f>+I224</f>
        <v>0</v>
      </c>
      <c r="K224" s="151"/>
      <c r="L224" s="151"/>
      <c r="M224" s="151"/>
      <c r="N224" s="220">
        <f>392221336.96-I224-4000000</f>
        <v>388221336.95999998</v>
      </c>
      <c r="O224" s="263"/>
      <c r="P224" s="294"/>
      <c r="Q224" s="134"/>
      <c r="R224" s="83"/>
    </row>
    <row r="225" spans="1:21" s="88" customFormat="1" ht="12.75" x14ac:dyDescent="0.2">
      <c r="A225" s="265"/>
      <c r="B225" s="163"/>
      <c r="C225" s="149"/>
      <c r="D225" s="149"/>
      <c r="E225" s="149"/>
      <c r="F225" s="166" t="s">
        <v>265</v>
      </c>
      <c r="G225" s="110"/>
      <c r="H225" s="153"/>
      <c r="I225" s="151"/>
      <c r="J225" s="151"/>
      <c r="K225" s="151"/>
      <c r="L225" s="151"/>
      <c r="M225" s="151"/>
      <c r="N225" s="176">
        <f>+E214-D214-47902102.47</f>
        <v>431118922.21999955</v>
      </c>
      <c r="O225" s="263"/>
      <c r="P225" s="294"/>
      <c r="Q225" s="134"/>
      <c r="R225" s="83"/>
    </row>
    <row r="226" spans="1:21" s="96" customFormat="1" ht="12.75" x14ac:dyDescent="0.2">
      <c r="A226" s="268"/>
      <c r="B226" s="177"/>
      <c r="C226" s="178"/>
      <c r="D226" s="178"/>
      <c r="E226" s="178"/>
      <c r="F226" s="179"/>
      <c r="G226" s="180"/>
      <c r="H226" s="181"/>
      <c r="I226" s="182"/>
      <c r="J226" s="182"/>
      <c r="K226" s="182"/>
      <c r="L226" s="182"/>
      <c r="M226" s="182"/>
      <c r="N226" s="183"/>
      <c r="O226" s="269"/>
      <c r="P226" s="294"/>
      <c r="Q226" s="138"/>
      <c r="R226" s="317"/>
    </row>
    <row r="227" spans="1:21" s="88" customFormat="1" ht="12.75" x14ac:dyDescent="0.2">
      <c r="A227" s="265" t="s">
        <v>268</v>
      </c>
      <c r="B227" s="163" t="s">
        <v>277</v>
      </c>
      <c r="C227" s="149"/>
      <c r="D227" s="149">
        <v>804853463.96000004</v>
      </c>
      <c r="E227" s="149">
        <v>882844240.51999998</v>
      </c>
      <c r="F227" s="166"/>
      <c r="G227" s="110"/>
      <c r="H227" s="153"/>
      <c r="I227" s="154">
        <f>SUM(I228:I236)</f>
        <v>478534736.03200001</v>
      </c>
      <c r="J227" s="154">
        <f>SUM(J228:J236)</f>
        <v>478186736.03200001</v>
      </c>
      <c r="K227" s="154">
        <f>SUM(K228:K236)</f>
        <v>348000</v>
      </c>
      <c r="L227" s="154">
        <f>SUM(L228:L239)</f>
        <v>0</v>
      </c>
      <c r="M227" s="154">
        <f>SUM(M228:M239)</f>
        <v>0</v>
      </c>
      <c r="N227" s="154">
        <f>SUM(N228:N236)</f>
        <v>404309504.48999989</v>
      </c>
      <c r="O227" s="263"/>
      <c r="P227" s="294"/>
      <c r="Q227" s="134"/>
      <c r="R227" s="83"/>
      <c r="S227" s="87"/>
      <c r="T227" s="87"/>
      <c r="U227" s="87"/>
    </row>
    <row r="228" spans="1:21" s="88" customFormat="1" ht="12.75" x14ac:dyDescent="0.2">
      <c r="A228" s="265"/>
      <c r="B228" s="163"/>
      <c r="C228" s="149"/>
      <c r="D228" s="149"/>
      <c r="E228" s="149"/>
      <c r="F228" s="152" t="s">
        <v>200</v>
      </c>
      <c r="G228" s="100" t="s">
        <v>250</v>
      </c>
      <c r="H228" s="153" t="s">
        <v>90</v>
      </c>
      <c r="I228" s="151">
        <f>+E227*0.1</f>
        <v>88284424.052000001</v>
      </c>
      <c r="J228" s="151">
        <f>+I228</f>
        <v>88284424.052000001</v>
      </c>
      <c r="K228" s="151"/>
      <c r="L228" s="151"/>
      <c r="M228" s="151"/>
      <c r="N228" s="176">
        <v>0</v>
      </c>
      <c r="O228" s="263"/>
      <c r="P228" s="294"/>
      <c r="Q228" s="134"/>
      <c r="R228" s="83"/>
    </row>
    <row r="229" spans="1:21" s="88" customFormat="1" ht="12.75" x14ac:dyDescent="0.2">
      <c r="A229" s="265"/>
      <c r="B229" s="163"/>
      <c r="C229" s="149"/>
      <c r="D229" s="149"/>
      <c r="E229" s="149"/>
      <c r="F229" s="166"/>
      <c r="G229" s="110"/>
      <c r="H229" s="153"/>
      <c r="I229" s="151"/>
      <c r="J229" s="151"/>
      <c r="K229" s="151"/>
      <c r="L229" s="151"/>
      <c r="M229" s="151"/>
      <c r="N229" s="176"/>
      <c r="O229" s="263"/>
      <c r="P229" s="294"/>
      <c r="Q229" s="134"/>
      <c r="R229" s="83"/>
    </row>
    <row r="230" spans="1:21" s="88" customFormat="1" ht="12.75" x14ac:dyDescent="0.2">
      <c r="A230" s="265"/>
      <c r="B230" s="163"/>
      <c r="C230" s="149"/>
      <c r="D230" s="149"/>
      <c r="E230" s="149"/>
      <c r="F230" s="166" t="s">
        <v>278</v>
      </c>
      <c r="G230" s="100" t="s">
        <v>279</v>
      </c>
      <c r="H230" s="153" t="s">
        <v>90</v>
      </c>
      <c r="I230" s="220">
        <f>193448660.02-I710</f>
        <v>186948660.02000001</v>
      </c>
      <c r="J230" s="151">
        <f>+I230</f>
        <v>186948660.02000001</v>
      </c>
      <c r="K230" s="151"/>
      <c r="L230" s="151"/>
      <c r="M230" s="151"/>
      <c r="N230" s="220">
        <f>254381468.1-I230</f>
        <v>67432808.079999983</v>
      </c>
      <c r="O230" s="263"/>
      <c r="P230" s="294"/>
      <c r="Q230" s="134"/>
      <c r="R230" s="83"/>
    </row>
    <row r="231" spans="1:21" s="88" customFormat="1" ht="12.75" x14ac:dyDescent="0.2">
      <c r="A231" s="265"/>
      <c r="B231" s="163"/>
      <c r="C231" s="149"/>
      <c r="D231" s="149"/>
      <c r="E231" s="149"/>
      <c r="F231" s="166"/>
      <c r="G231" s="110"/>
      <c r="H231" s="153" t="s">
        <v>91</v>
      </c>
      <c r="I231" s="220">
        <f>393561221.55-I711</f>
        <v>187942283.03999999</v>
      </c>
      <c r="J231" s="151">
        <f>+I231</f>
        <v>187942283.03999999</v>
      </c>
      <c r="K231" s="151"/>
      <c r="L231" s="151"/>
      <c r="M231" s="151"/>
      <c r="N231" s="220">
        <f>426366904.48-I231</f>
        <v>238424621.44000003</v>
      </c>
      <c r="O231" s="263"/>
      <c r="P231" s="294"/>
      <c r="Q231" s="134"/>
      <c r="R231" s="83"/>
    </row>
    <row r="232" spans="1:21" s="88" customFormat="1" ht="12.75" x14ac:dyDescent="0.2">
      <c r="A232" s="265"/>
      <c r="B232" s="163"/>
      <c r="C232" s="149"/>
      <c r="D232" s="149"/>
      <c r="E232" s="149"/>
      <c r="F232" s="166"/>
      <c r="G232" s="110"/>
      <c r="H232" s="153" t="s">
        <v>92</v>
      </c>
      <c r="I232" s="220">
        <f>9456065.56-I712</f>
        <v>6606610.5600000005</v>
      </c>
      <c r="J232" s="151">
        <f>+I232</f>
        <v>6606610.5600000005</v>
      </c>
      <c r="K232" s="151"/>
      <c r="L232" s="151"/>
      <c r="M232" s="151"/>
      <c r="N232" s="220">
        <f>12418000-I232</f>
        <v>5811389.4399999995</v>
      </c>
      <c r="O232" s="263"/>
      <c r="P232" s="294"/>
      <c r="Q232" s="134"/>
      <c r="R232" s="83"/>
    </row>
    <row r="233" spans="1:21" s="88" customFormat="1" ht="12.75" x14ac:dyDescent="0.2">
      <c r="A233" s="265"/>
      <c r="B233" s="163"/>
      <c r="C233" s="149"/>
      <c r="D233" s="149"/>
      <c r="E233" s="149"/>
      <c r="F233" s="166"/>
      <c r="G233" s="110"/>
      <c r="H233" s="153" t="s">
        <v>94</v>
      </c>
      <c r="I233" s="220">
        <v>348000</v>
      </c>
      <c r="J233" s="151"/>
      <c r="K233" s="151">
        <f>+I233</f>
        <v>348000</v>
      </c>
      <c r="L233" s="151"/>
      <c r="M233" s="151"/>
      <c r="N233" s="220">
        <f>1870000-I233</f>
        <v>1522000</v>
      </c>
      <c r="O233" s="263"/>
      <c r="P233" s="294"/>
      <c r="Q233" s="134"/>
      <c r="R233" s="83"/>
    </row>
    <row r="234" spans="1:21" s="88" customFormat="1" ht="12.75" x14ac:dyDescent="0.2">
      <c r="A234" s="265"/>
      <c r="B234" s="163"/>
      <c r="C234" s="149"/>
      <c r="D234" s="149"/>
      <c r="E234" s="149"/>
      <c r="F234" s="166"/>
      <c r="G234" s="110"/>
      <c r="H234" s="153" t="s">
        <v>95</v>
      </c>
      <c r="I234" s="220">
        <v>8404758.3599999994</v>
      </c>
      <c r="J234" s="151">
        <f>+I234</f>
        <v>8404758.3599999994</v>
      </c>
      <c r="K234" s="151"/>
      <c r="L234" s="151"/>
      <c r="M234" s="151"/>
      <c r="N234" s="220">
        <f>24011821.3-I234</f>
        <v>15607062.940000001</v>
      </c>
      <c r="O234" s="263"/>
      <c r="P234" s="294"/>
      <c r="Q234" s="134"/>
      <c r="R234" s="83"/>
    </row>
    <row r="235" spans="1:21" s="88" customFormat="1" ht="12.75" x14ac:dyDescent="0.2">
      <c r="A235" s="265"/>
      <c r="B235" s="163"/>
      <c r="C235" s="149"/>
      <c r="D235" s="149"/>
      <c r="E235" s="149"/>
      <c r="F235" s="166"/>
      <c r="G235" s="110"/>
      <c r="H235" s="153" t="s">
        <v>98</v>
      </c>
      <c r="I235" s="220">
        <v>0</v>
      </c>
      <c r="J235" s="151">
        <f>+I235</f>
        <v>0</v>
      </c>
      <c r="K235" s="151"/>
      <c r="L235" s="151"/>
      <c r="M235" s="151"/>
      <c r="N235" s="220">
        <f>5319923.68-I235</f>
        <v>5319923.68</v>
      </c>
      <c r="O235" s="263"/>
      <c r="P235" s="294"/>
      <c r="Q235" s="134"/>
      <c r="R235" s="83"/>
    </row>
    <row r="236" spans="1:21" s="88" customFormat="1" ht="12.75" x14ac:dyDescent="0.2">
      <c r="A236" s="265"/>
      <c r="B236" s="163"/>
      <c r="C236" s="149"/>
      <c r="D236" s="149"/>
      <c r="E236" s="149"/>
      <c r="F236" s="166"/>
      <c r="G236" s="110"/>
      <c r="H236" s="153"/>
      <c r="I236" s="220"/>
      <c r="J236" s="151"/>
      <c r="K236" s="151"/>
      <c r="L236" s="151"/>
      <c r="M236" s="151"/>
      <c r="N236" s="220">
        <f>+E227-D227-7799077.65</f>
        <v>70191698.909999937</v>
      </c>
      <c r="O236" s="263"/>
      <c r="P236" s="294"/>
      <c r="Q236" s="134"/>
      <c r="R236" s="83"/>
    </row>
    <row r="237" spans="1:21" s="96" customFormat="1" ht="12.75" x14ac:dyDescent="0.2">
      <c r="A237" s="268"/>
      <c r="B237" s="177"/>
      <c r="C237" s="178"/>
      <c r="D237" s="178"/>
      <c r="E237" s="178"/>
      <c r="F237" s="179"/>
      <c r="G237" s="180"/>
      <c r="H237" s="181"/>
      <c r="I237" s="182"/>
      <c r="J237" s="182"/>
      <c r="K237" s="182"/>
      <c r="L237" s="182"/>
      <c r="M237" s="182"/>
      <c r="N237" s="183"/>
      <c r="O237" s="269"/>
      <c r="P237" s="294"/>
      <c r="Q237" s="138"/>
      <c r="R237" s="317"/>
    </row>
    <row r="238" spans="1:21" s="88" customFormat="1" ht="12.75" x14ac:dyDescent="0.2">
      <c r="A238" s="265" t="s">
        <v>281</v>
      </c>
      <c r="B238" s="163" t="s">
        <v>280</v>
      </c>
      <c r="C238" s="149"/>
      <c r="D238" s="149">
        <v>274482213.24000001</v>
      </c>
      <c r="E238" s="149">
        <v>318006194.23000002</v>
      </c>
      <c r="F238" s="166"/>
      <c r="G238" s="110"/>
      <c r="H238" s="153"/>
      <c r="I238" s="154">
        <f t="shared" ref="I238:N238" si="11">SUM(I239:I247)</f>
        <v>183376202.36299998</v>
      </c>
      <c r="J238" s="154">
        <f t="shared" si="11"/>
        <v>170462967.06299999</v>
      </c>
      <c r="K238" s="154">
        <f t="shared" si="11"/>
        <v>12913235.299999997</v>
      </c>
      <c r="L238" s="154">
        <f t="shared" si="11"/>
        <v>0</v>
      </c>
      <c r="M238" s="154">
        <f t="shared" si="11"/>
        <v>0</v>
      </c>
      <c r="N238" s="154">
        <f t="shared" si="11"/>
        <v>134629991.86900002</v>
      </c>
      <c r="O238" s="263"/>
      <c r="P238" s="294"/>
      <c r="Q238" s="134"/>
      <c r="R238" s="83"/>
      <c r="S238" s="87"/>
      <c r="T238" s="87"/>
      <c r="U238" s="87"/>
    </row>
    <row r="239" spans="1:21" s="88" customFormat="1" ht="12.75" x14ac:dyDescent="0.2">
      <c r="A239" s="265"/>
      <c r="B239" s="163"/>
      <c r="C239" s="149"/>
      <c r="D239" s="149"/>
      <c r="E239" s="149"/>
      <c r="F239" s="152" t="s">
        <v>200</v>
      </c>
      <c r="G239" s="100" t="s">
        <v>250</v>
      </c>
      <c r="H239" s="153" t="s">
        <v>90</v>
      </c>
      <c r="I239" s="151">
        <f>+E238*0.1</f>
        <v>31800619.423000004</v>
      </c>
      <c r="J239" s="151">
        <f>+I239</f>
        <v>31800619.423000004</v>
      </c>
      <c r="K239" s="151"/>
      <c r="L239" s="151"/>
      <c r="M239" s="151"/>
      <c r="N239" s="176"/>
      <c r="O239" s="263"/>
      <c r="P239" s="294"/>
      <c r="Q239" s="134"/>
      <c r="R239" s="83"/>
    </row>
    <row r="240" spans="1:21" s="88" customFormat="1" ht="12.75" x14ac:dyDescent="0.2">
      <c r="A240" s="265"/>
      <c r="B240" s="163"/>
      <c r="C240" s="149"/>
      <c r="D240" s="149"/>
      <c r="E240" s="149"/>
      <c r="F240" s="166"/>
      <c r="G240" s="110"/>
      <c r="H240" s="153"/>
      <c r="I240" s="151"/>
      <c r="J240" s="151"/>
      <c r="K240" s="151"/>
      <c r="L240" s="151"/>
      <c r="M240" s="151"/>
      <c r="N240" s="176"/>
      <c r="O240" s="263"/>
      <c r="P240" s="294"/>
      <c r="Q240" s="134"/>
      <c r="R240" s="83"/>
    </row>
    <row r="241" spans="1:21" s="88" customFormat="1" ht="12.75" x14ac:dyDescent="0.2">
      <c r="A241" s="265"/>
      <c r="B241" s="149"/>
      <c r="C241" s="149"/>
      <c r="D241" s="149"/>
      <c r="E241" s="149"/>
      <c r="F241" s="166" t="s">
        <v>282</v>
      </c>
      <c r="G241" s="100" t="s">
        <v>283</v>
      </c>
      <c r="H241" s="153" t="s">
        <v>90</v>
      </c>
      <c r="I241" s="151">
        <v>119521926.06999999</v>
      </c>
      <c r="J241" s="151">
        <f>+I241</f>
        <v>119521926.06999999</v>
      </c>
      <c r="K241" s="151"/>
      <c r="L241" s="151"/>
      <c r="M241" s="151"/>
      <c r="N241" s="176">
        <f>138911203.53-I241-7171911.82-554502.08-8359.99-10383235.3+3128627.48</f>
        <v>4399895.7500000075</v>
      </c>
      <c r="O241" s="263"/>
      <c r="P241" s="294"/>
      <c r="Q241" s="134"/>
      <c r="R241" s="83"/>
    </row>
    <row r="242" spans="1:21" s="88" customFormat="1" ht="12.75" x14ac:dyDescent="0.2">
      <c r="A242" s="265"/>
      <c r="B242" s="163"/>
      <c r="C242" s="149"/>
      <c r="D242" s="149">
        <f>+D238+D724-I239</f>
        <v>427968777.76700002</v>
      </c>
      <c r="E242" s="149"/>
      <c r="F242" s="166"/>
      <c r="G242" s="100"/>
      <c r="H242" s="175" t="s">
        <v>91</v>
      </c>
      <c r="I242" s="176">
        <f>130952521.14-I725</f>
        <v>8551339.8799999952</v>
      </c>
      <c r="J242" s="151">
        <f>+I242</f>
        <v>8551339.8799999952</v>
      </c>
      <c r="K242" s="151"/>
      <c r="L242" s="151"/>
      <c r="M242" s="151"/>
      <c r="N242" s="176">
        <f>91687267.605-I242-3077851.49-3128627.48</f>
        <v>76929448.75500001</v>
      </c>
      <c r="O242" s="263"/>
      <c r="P242" s="294"/>
      <c r="Q242" s="134"/>
      <c r="R242" s="83"/>
    </row>
    <row r="243" spans="1:21" s="88" customFormat="1" ht="12.75" x14ac:dyDescent="0.2">
      <c r="A243" s="265"/>
      <c r="B243" s="163"/>
      <c r="C243" s="149"/>
      <c r="D243" s="149"/>
      <c r="E243" s="149"/>
      <c r="F243" s="166"/>
      <c r="G243" s="110"/>
      <c r="H243" s="175" t="s">
        <v>92</v>
      </c>
      <c r="I243" s="176">
        <f>16513957-I726</f>
        <v>5580721.6999999993</v>
      </c>
      <c r="J243" s="151">
        <f>+I243</f>
        <v>5580721.6999999993</v>
      </c>
      <c r="K243" s="151"/>
      <c r="L243" s="151"/>
      <c r="M243" s="151"/>
      <c r="N243" s="176">
        <v>10383235.300000001</v>
      </c>
      <c r="O243" s="263"/>
      <c r="P243" s="294"/>
      <c r="Q243" s="134"/>
      <c r="R243" s="83"/>
    </row>
    <row r="244" spans="1:21" s="88" customFormat="1" ht="12.75" x14ac:dyDescent="0.2">
      <c r="A244" s="265"/>
      <c r="B244" s="163"/>
      <c r="C244" s="149"/>
      <c r="D244" s="149"/>
      <c r="E244" s="149"/>
      <c r="F244" s="166"/>
      <c r="G244" s="110"/>
      <c r="H244" s="175" t="s">
        <v>94</v>
      </c>
      <c r="I244" s="176">
        <f>64866002.69-I727</f>
        <v>12913235.299999997</v>
      </c>
      <c r="J244" s="151">
        <v>0</v>
      </c>
      <c r="K244" s="151">
        <f>+I244</f>
        <v>12913235.299999997</v>
      </c>
      <c r="L244" s="151"/>
      <c r="M244" s="151"/>
      <c r="N244" s="176">
        <f>2000000+10249763.31-I244+554502.08+108969.91</f>
        <v>3.4633558243513107E-9</v>
      </c>
      <c r="O244" s="263"/>
      <c r="P244" s="294"/>
      <c r="Q244" s="134"/>
      <c r="R244" s="83"/>
    </row>
    <row r="245" spans="1:21" s="88" customFormat="1" ht="12.75" x14ac:dyDescent="0.2">
      <c r="A245" s="265"/>
      <c r="B245" s="163"/>
      <c r="C245" s="149"/>
      <c r="D245" s="149"/>
      <c r="E245" s="149"/>
      <c r="F245" s="166"/>
      <c r="G245" s="110"/>
      <c r="H245" s="175" t="s">
        <v>95</v>
      </c>
      <c r="I245" s="176">
        <v>5008359.99</v>
      </c>
      <c r="J245" s="151">
        <f>+I245</f>
        <v>5008359.99</v>
      </c>
      <c r="K245" s="151"/>
      <c r="L245" s="151"/>
      <c r="M245" s="151"/>
      <c r="N245" s="176">
        <f>5000000-I245+8359.99</f>
        <v>-2.2373569663614035E-10</v>
      </c>
      <c r="O245" s="263"/>
      <c r="P245" s="294"/>
      <c r="Q245" s="134"/>
      <c r="R245" s="83"/>
    </row>
    <row r="246" spans="1:21" s="88" customFormat="1" ht="12.75" x14ac:dyDescent="0.2">
      <c r="A246" s="265"/>
      <c r="B246" s="163"/>
      <c r="C246" s="149"/>
      <c r="D246" s="149"/>
      <c r="E246" s="149"/>
      <c r="F246" s="166"/>
      <c r="G246" s="110"/>
      <c r="H246" s="175" t="s">
        <v>98</v>
      </c>
      <c r="I246" s="176">
        <v>0</v>
      </c>
      <c r="J246" s="151"/>
      <c r="K246" s="151"/>
      <c r="L246" s="151"/>
      <c r="M246" s="151"/>
      <c r="N246" s="176">
        <f>3745829.174-I246</f>
        <v>3745829.1740000001</v>
      </c>
      <c r="O246" s="263"/>
      <c r="P246" s="294"/>
      <c r="Q246" s="134"/>
      <c r="R246" s="83"/>
    </row>
    <row r="247" spans="1:21" s="88" customFormat="1" ht="12.75" x14ac:dyDescent="0.2">
      <c r="A247" s="265"/>
      <c r="B247" s="163"/>
      <c r="C247" s="149"/>
      <c r="D247" s="149"/>
      <c r="E247" s="149"/>
      <c r="F247" s="166" t="s">
        <v>265</v>
      </c>
      <c r="G247" s="110"/>
      <c r="H247" s="153"/>
      <c r="I247" s="151"/>
      <c r="J247" s="151"/>
      <c r="K247" s="151"/>
      <c r="L247" s="151"/>
      <c r="M247" s="151"/>
      <c r="N247" s="176">
        <f>+E238-D238-4352398.1</f>
        <v>39171582.890000008</v>
      </c>
      <c r="O247" s="263"/>
      <c r="P247" s="294"/>
      <c r="Q247" s="134"/>
      <c r="R247" s="83"/>
    </row>
    <row r="248" spans="1:21" s="96" customFormat="1" ht="12.75" x14ac:dyDescent="0.2">
      <c r="A248" s="268"/>
      <c r="B248" s="177"/>
      <c r="C248" s="178"/>
      <c r="D248" s="178"/>
      <c r="E248" s="178"/>
      <c r="F248" s="179"/>
      <c r="G248" s="180"/>
      <c r="H248" s="181"/>
      <c r="I248" s="182"/>
      <c r="J248" s="182"/>
      <c r="K248" s="182"/>
      <c r="L248" s="182"/>
      <c r="M248" s="182"/>
      <c r="N248" s="183"/>
      <c r="O248" s="269"/>
      <c r="P248" s="294"/>
      <c r="Q248" s="138"/>
      <c r="R248" s="317"/>
    </row>
    <row r="249" spans="1:21" s="88" customFormat="1" ht="12.75" x14ac:dyDescent="0.2">
      <c r="A249" s="275" t="s">
        <v>285</v>
      </c>
      <c r="B249" s="148" t="s">
        <v>284</v>
      </c>
      <c r="C249" s="212"/>
      <c r="D249" s="149">
        <v>20000000</v>
      </c>
      <c r="E249" s="149">
        <v>10322497</v>
      </c>
      <c r="F249" s="166"/>
      <c r="G249" s="110"/>
      <c r="H249" s="153"/>
      <c r="I249" s="154">
        <f t="shared" ref="I249:N249" si="12">SUM(I250:I252)</f>
        <v>10322497</v>
      </c>
      <c r="J249" s="154">
        <f t="shared" si="12"/>
        <v>10322497</v>
      </c>
      <c r="K249" s="154">
        <f t="shared" si="12"/>
        <v>0</v>
      </c>
      <c r="L249" s="154">
        <f t="shared" si="12"/>
        <v>0</v>
      </c>
      <c r="M249" s="154">
        <f t="shared" si="12"/>
        <v>0</v>
      </c>
      <c r="N249" s="154">
        <f t="shared" si="12"/>
        <v>0</v>
      </c>
      <c r="O249" s="263"/>
      <c r="P249" s="294"/>
      <c r="Q249" s="134"/>
      <c r="R249" s="83"/>
      <c r="S249" s="87"/>
      <c r="T249" s="87"/>
      <c r="U249" s="87"/>
    </row>
    <row r="250" spans="1:21" s="88" customFormat="1" ht="12.75" x14ac:dyDescent="0.2">
      <c r="A250" s="265"/>
      <c r="B250" s="163"/>
      <c r="C250" s="149"/>
      <c r="D250" s="149"/>
      <c r="E250" s="149"/>
      <c r="F250" s="152" t="s">
        <v>200</v>
      </c>
      <c r="G250" s="100" t="s">
        <v>250</v>
      </c>
      <c r="H250" s="153" t="s">
        <v>90</v>
      </c>
      <c r="I250" s="151">
        <f>+E249*0.1</f>
        <v>1032249.7000000001</v>
      </c>
      <c r="J250" s="151">
        <f>+I250</f>
        <v>1032249.7000000001</v>
      </c>
      <c r="K250" s="151"/>
      <c r="L250" s="151"/>
      <c r="M250" s="151"/>
      <c r="N250" s="151">
        <v>0</v>
      </c>
      <c r="O250" s="263"/>
      <c r="P250" s="294"/>
      <c r="Q250" s="134"/>
      <c r="R250" s="83"/>
    </row>
    <row r="251" spans="1:21" s="88" customFormat="1" ht="12.75" x14ac:dyDescent="0.2">
      <c r="A251" s="265"/>
      <c r="B251" s="163"/>
      <c r="C251" s="149"/>
      <c r="D251" s="149"/>
      <c r="E251" s="149"/>
      <c r="F251" s="166"/>
      <c r="G251" s="110"/>
      <c r="H251" s="153"/>
      <c r="I251" s="151"/>
      <c r="J251" s="151"/>
      <c r="K251" s="151"/>
      <c r="L251" s="151"/>
      <c r="M251" s="151"/>
      <c r="N251" s="151"/>
      <c r="O251" s="263"/>
      <c r="P251" s="294"/>
      <c r="Q251" s="134"/>
      <c r="R251" s="83"/>
    </row>
    <row r="252" spans="1:21" s="88" customFormat="1" ht="12.75" x14ac:dyDescent="0.2">
      <c r="A252" s="265"/>
      <c r="B252" s="163"/>
      <c r="C252" s="149"/>
      <c r="D252" s="149"/>
      <c r="E252" s="149"/>
      <c r="F252" s="166" t="s">
        <v>189</v>
      </c>
      <c r="G252" s="100" t="s">
        <v>286</v>
      </c>
      <c r="H252" s="153" t="s">
        <v>90</v>
      </c>
      <c r="I252" s="218">
        <f>+E249-I250</f>
        <v>9290247.3000000007</v>
      </c>
      <c r="J252" s="151">
        <f>+I252</f>
        <v>9290247.3000000007</v>
      </c>
      <c r="K252" s="151"/>
      <c r="L252" s="151"/>
      <c r="M252" s="151"/>
      <c r="N252" s="151">
        <v>0</v>
      </c>
      <c r="O252" s="263"/>
      <c r="P252" s="294"/>
      <c r="Q252" s="134"/>
      <c r="R252" s="83"/>
    </row>
    <row r="253" spans="1:21" s="96" customFormat="1" ht="12.75" x14ac:dyDescent="0.2">
      <c r="A253" s="268"/>
      <c r="B253" s="177"/>
      <c r="C253" s="178"/>
      <c r="D253" s="178"/>
      <c r="E253" s="178"/>
      <c r="F253" s="179"/>
      <c r="G253" s="180"/>
      <c r="H253" s="181"/>
      <c r="I253" s="182"/>
      <c r="J253" s="182"/>
      <c r="K253" s="182"/>
      <c r="L253" s="182"/>
      <c r="M253" s="182"/>
      <c r="N253" s="183"/>
      <c r="O253" s="269"/>
      <c r="P253" s="294"/>
      <c r="Q253" s="138"/>
      <c r="R253" s="317"/>
    </row>
    <row r="254" spans="1:21" s="113" customFormat="1" ht="12.75" x14ac:dyDescent="0.2">
      <c r="A254" s="127" t="s">
        <v>287</v>
      </c>
      <c r="B254" s="128" t="s">
        <v>587</v>
      </c>
      <c r="C254" s="172"/>
      <c r="D254" s="172">
        <v>0</v>
      </c>
      <c r="E254" s="172">
        <v>131000</v>
      </c>
      <c r="F254" s="173"/>
      <c r="G254" s="174"/>
      <c r="H254" s="175"/>
      <c r="I254" s="154">
        <f t="shared" ref="I254:N254" si="13">SUM(I255:I257)</f>
        <v>0</v>
      </c>
      <c r="J254" s="154">
        <f t="shared" si="13"/>
        <v>0</v>
      </c>
      <c r="K254" s="154">
        <f t="shared" si="13"/>
        <v>0</v>
      </c>
      <c r="L254" s="154">
        <f t="shared" si="13"/>
        <v>0</v>
      </c>
      <c r="M254" s="154">
        <f t="shared" si="13"/>
        <v>0</v>
      </c>
      <c r="N254" s="154">
        <f t="shared" si="13"/>
        <v>131000</v>
      </c>
      <c r="O254" s="267"/>
      <c r="P254" s="294"/>
      <c r="Q254" s="137"/>
      <c r="R254" s="316"/>
      <c r="S254" s="129"/>
      <c r="T254" s="129"/>
      <c r="U254" s="129"/>
    </row>
    <row r="255" spans="1:21" s="113" customFormat="1" ht="12.75" x14ac:dyDescent="0.2">
      <c r="A255" s="266"/>
      <c r="B255" s="171"/>
      <c r="C255" s="172"/>
      <c r="D255" s="172"/>
      <c r="E255" s="172"/>
      <c r="F255" s="221" t="s">
        <v>200</v>
      </c>
      <c r="G255" s="100" t="s">
        <v>250</v>
      </c>
      <c r="H255" s="175" t="s">
        <v>90</v>
      </c>
      <c r="I255" s="176">
        <v>0</v>
      </c>
      <c r="J255" s="176">
        <f>+I255</f>
        <v>0</v>
      </c>
      <c r="K255" s="176"/>
      <c r="L255" s="176"/>
      <c r="M255" s="176"/>
      <c r="N255" s="176"/>
      <c r="O255" s="267"/>
      <c r="P255" s="294"/>
      <c r="Q255" s="137"/>
      <c r="R255" s="316"/>
    </row>
    <row r="256" spans="1:21" s="113" customFormat="1" ht="12.75" x14ac:dyDescent="0.2">
      <c r="A256" s="266"/>
      <c r="B256" s="171"/>
      <c r="C256" s="172"/>
      <c r="D256" s="172"/>
      <c r="E256" s="172"/>
      <c r="F256" s="173" t="s">
        <v>265</v>
      </c>
      <c r="G256" s="174"/>
      <c r="H256" s="175"/>
      <c r="I256" s="176"/>
      <c r="J256" s="176"/>
      <c r="K256" s="176"/>
      <c r="L256" s="176"/>
      <c r="M256" s="176"/>
      <c r="N256" s="176">
        <f>+E254-D254</f>
        <v>131000</v>
      </c>
      <c r="O256" s="267"/>
      <c r="P256" s="294"/>
      <c r="Q256" s="137"/>
      <c r="R256" s="316"/>
    </row>
    <row r="257" spans="1:21" s="96" customFormat="1" ht="12.75" x14ac:dyDescent="0.2">
      <c r="A257" s="268"/>
      <c r="B257" s="177"/>
      <c r="C257" s="178"/>
      <c r="D257" s="178"/>
      <c r="E257" s="178"/>
      <c r="F257" s="179"/>
      <c r="G257" s="180"/>
      <c r="H257" s="181"/>
      <c r="I257" s="182"/>
      <c r="J257" s="182"/>
      <c r="K257" s="182"/>
      <c r="L257" s="182"/>
      <c r="M257" s="182"/>
      <c r="N257" s="183"/>
      <c r="O257" s="269"/>
      <c r="P257" s="294"/>
      <c r="Q257" s="138"/>
      <c r="R257" s="317"/>
    </row>
    <row r="258" spans="1:21" s="126" customFormat="1" ht="12.75" x14ac:dyDescent="0.2">
      <c r="A258" s="92" t="s">
        <v>287</v>
      </c>
      <c r="B258" s="101" t="s">
        <v>288</v>
      </c>
      <c r="C258" s="189"/>
      <c r="D258" s="189">
        <v>10000000</v>
      </c>
      <c r="E258" s="189">
        <f>16558000</f>
        <v>16558000</v>
      </c>
      <c r="F258" s="200"/>
      <c r="G258" s="209"/>
      <c r="H258" s="196"/>
      <c r="I258" s="207">
        <f t="shared" ref="I258:N258" si="14">SUM(I259:I261)</f>
        <v>10000000</v>
      </c>
      <c r="J258" s="207">
        <f t="shared" si="14"/>
        <v>10000000</v>
      </c>
      <c r="K258" s="207">
        <f t="shared" si="14"/>
        <v>0</v>
      </c>
      <c r="L258" s="207">
        <f t="shared" si="14"/>
        <v>0</v>
      </c>
      <c r="M258" s="207">
        <f t="shared" si="14"/>
        <v>0</v>
      </c>
      <c r="N258" s="207">
        <f t="shared" si="14"/>
        <v>6558000</v>
      </c>
      <c r="O258" s="272"/>
      <c r="P258" s="294"/>
      <c r="Q258" s="134"/>
      <c r="R258" s="83"/>
      <c r="S258" s="87"/>
      <c r="T258" s="87"/>
      <c r="U258" s="87"/>
    </row>
    <row r="259" spans="1:21" s="126" customFormat="1" ht="12.75" x14ac:dyDescent="0.2">
      <c r="A259" s="273"/>
      <c r="B259" s="199"/>
      <c r="C259" s="189"/>
      <c r="D259" s="189"/>
      <c r="E259" s="189"/>
      <c r="F259" s="195" t="s">
        <v>200</v>
      </c>
      <c r="G259" s="111" t="s">
        <v>250</v>
      </c>
      <c r="H259" s="196" t="s">
        <v>90</v>
      </c>
      <c r="I259" s="197">
        <v>10000000</v>
      </c>
      <c r="J259" s="197">
        <f>+I259</f>
        <v>10000000</v>
      </c>
      <c r="K259" s="197"/>
      <c r="L259" s="197"/>
      <c r="M259" s="197"/>
      <c r="N259" s="197"/>
      <c r="O259" s="272"/>
      <c r="P259" s="294"/>
      <c r="Q259" s="134"/>
      <c r="R259" s="83"/>
    </row>
    <row r="260" spans="1:21" s="126" customFormat="1" ht="12.75" x14ac:dyDescent="0.2">
      <c r="A260" s="273"/>
      <c r="B260" s="199"/>
      <c r="C260" s="189"/>
      <c r="D260" s="189"/>
      <c r="E260" s="189"/>
      <c r="F260" s="200" t="s">
        <v>265</v>
      </c>
      <c r="G260" s="209"/>
      <c r="H260" s="196"/>
      <c r="I260" s="197"/>
      <c r="J260" s="197"/>
      <c r="K260" s="197"/>
      <c r="L260" s="197"/>
      <c r="M260" s="197"/>
      <c r="N260" s="197">
        <f>+E258-D258</f>
        <v>6558000</v>
      </c>
      <c r="O260" s="272"/>
      <c r="P260" s="294"/>
      <c r="Q260" s="134"/>
      <c r="R260" s="83"/>
    </row>
    <row r="261" spans="1:21" s="96" customFormat="1" ht="12.75" x14ac:dyDescent="0.2">
      <c r="A261" s="268"/>
      <c r="B261" s="177"/>
      <c r="C261" s="178"/>
      <c r="D261" s="178"/>
      <c r="E261" s="178"/>
      <c r="F261" s="179"/>
      <c r="G261" s="180"/>
      <c r="H261" s="181"/>
      <c r="I261" s="182"/>
      <c r="J261" s="182"/>
      <c r="K261" s="182"/>
      <c r="L261" s="182"/>
      <c r="M261" s="182"/>
      <c r="N261" s="183"/>
      <c r="O261" s="269"/>
      <c r="P261" s="294"/>
      <c r="Q261" s="138"/>
      <c r="R261" s="317"/>
    </row>
    <row r="262" spans="1:21" s="88" customFormat="1" ht="25.5" x14ac:dyDescent="0.2">
      <c r="A262" s="275" t="s">
        <v>290</v>
      </c>
      <c r="B262" s="215" t="s">
        <v>289</v>
      </c>
      <c r="C262" s="149"/>
      <c r="D262" s="149">
        <v>72000000</v>
      </c>
      <c r="E262" s="149">
        <v>77860547.540000007</v>
      </c>
      <c r="F262" s="166"/>
      <c r="G262" s="110"/>
      <c r="H262" s="153"/>
      <c r="I262" s="154">
        <f t="shared" ref="I262:N262" si="15">SUM(I263:I271)</f>
        <v>77860547.544</v>
      </c>
      <c r="J262" s="154">
        <f t="shared" si="15"/>
        <v>77573501.544</v>
      </c>
      <c r="K262" s="154">
        <f t="shared" si="15"/>
        <v>287046</v>
      </c>
      <c r="L262" s="154">
        <f t="shared" si="15"/>
        <v>0</v>
      </c>
      <c r="M262" s="154">
        <f t="shared" si="15"/>
        <v>0</v>
      </c>
      <c r="N262" s="154">
        <f t="shared" si="15"/>
        <v>0</v>
      </c>
      <c r="O262" s="263"/>
      <c r="P262" s="294"/>
      <c r="Q262" s="134"/>
      <c r="R262" s="83"/>
      <c r="S262" s="87"/>
      <c r="T262" s="87"/>
      <c r="U262" s="87"/>
    </row>
    <row r="263" spans="1:21" s="88" customFormat="1" ht="12.75" x14ac:dyDescent="0.2">
      <c r="A263" s="265"/>
      <c r="B263" s="163"/>
      <c r="C263" s="149"/>
      <c r="D263" s="149"/>
      <c r="E263" s="149"/>
      <c r="F263" s="152" t="s">
        <v>200</v>
      </c>
      <c r="G263" s="100" t="s">
        <v>250</v>
      </c>
      <c r="H263" s="153" t="s">
        <v>90</v>
      </c>
      <c r="I263" s="151">
        <f>+E262*0.1</f>
        <v>7786054.7540000007</v>
      </c>
      <c r="J263" s="151">
        <f>+I263</f>
        <v>7786054.7540000007</v>
      </c>
      <c r="K263" s="151"/>
      <c r="L263" s="151"/>
      <c r="M263" s="151"/>
      <c r="N263" s="151">
        <v>0</v>
      </c>
      <c r="O263" s="263"/>
      <c r="P263" s="294"/>
      <c r="Q263" s="134"/>
      <c r="R263" s="83"/>
    </row>
    <row r="264" spans="1:21" s="88" customFormat="1" ht="12.75" x14ac:dyDescent="0.2">
      <c r="A264" s="265"/>
      <c r="B264" s="163"/>
      <c r="C264" s="149"/>
      <c r="D264" s="149"/>
      <c r="E264" s="149"/>
      <c r="F264" s="166"/>
      <c r="G264" s="110"/>
      <c r="H264" s="153"/>
      <c r="I264" s="151"/>
      <c r="J264" s="151"/>
      <c r="K264" s="151"/>
      <c r="L264" s="151"/>
      <c r="M264" s="151"/>
      <c r="N264" s="151"/>
      <c r="O264" s="263"/>
      <c r="P264" s="294"/>
      <c r="Q264" s="134"/>
      <c r="R264" s="83"/>
    </row>
    <row r="265" spans="1:21" s="88" customFormat="1" ht="12.75" x14ac:dyDescent="0.2">
      <c r="A265" s="265"/>
      <c r="B265" s="163"/>
      <c r="C265" s="149"/>
      <c r="D265" s="149"/>
      <c r="E265" s="149"/>
      <c r="F265" s="166" t="s">
        <v>187</v>
      </c>
      <c r="G265" s="100" t="s">
        <v>221</v>
      </c>
      <c r="H265" s="153" t="s">
        <v>90</v>
      </c>
      <c r="I265" s="151">
        <f>42468008.61+104918.99+10088673.87</f>
        <v>52661601.469999999</v>
      </c>
      <c r="J265" s="151">
        <f>+I265</f>
        <v>52661601.469999999</v>
      </c>
      <c r="K265" s="151"/>
      <c r="L265" s="151"/>
      <c r="M265" s="151"/>
      <c r="N265" s="151">
        <f>42468008.61+104918.99-I265+809088.08+2526903+112954+1265236+100000+5274492.79</f>
        <v>0</v>
      </c>
      <c r="O265" s="263"/>
      <c r="P265" s="294"/>
      <c r="Q265" s="134"/>
      <c r="R265" s="83"/>
    </row>
    <row r="266" spans="1:21" s="88" customFormat="1" ht="12.75" x14ac:dyDescent="0.2">
      <c r="A266" s="265"/>
      <c r="B266" s="163"/>
      <c r="C266" s="149"/>
      <c r="D266" s="149"/>
      <c r="E266" s="149"/>
      <c r="F266" s="166"/>
      <c r="G266" s="110"/>
      <c r="H266" s="153" t="s">
        <v>91</v>
      </c>
      <c r="I266" s="151">
        <v>8617984.3200000003</v>
      </c>
      <c r="J266" s="151">
        <f>+I266</f>
        <v>8617984.3200000003</v>
      </c>
      <c r="K266" s="151"/>
      <c r="L266" s="151"/>
      <c r="M266" s="151"/>
      <c r="N266" s="151">
        <f>9427072.4-I266-809088.08</f>
        <v>0</v>
      </c>
      <c r="O266" s="263"/>
      <c r="P266" s="294"/>
      <c r="Q266" s="134"/>
      <c r="R266" s="83"/>
    </row>
    <row r="267" spans="1:21" s="88" customFormat="1" ht="12.75" x14ac:dyDescent="0.2">
      <c r="A267" s="265"/>
      <c r="B267" s="163"/>
      <c r="C267" s="149"/>
      <c r="D267" s="149"/>
      <c r="E267" s="149"/>
      <c r="F267" s="166"/>
      <c r="G267" s="110"/>
      <c r="H267" s="153" t="s">
        <v>92</v>
      </c>
      <c r="I267" s="151">
        <v>2273097</v>
      </c>
      <c r="J267" s="151">
        <f>+I267</f>
        <v>2273097</v>
      </c>
      <c r="K267" s="151"/>
      <c r="L267" s="151"/>
      <c r="M267" s="151"/>
      <c r="N267" s="151">
        <f>4800000-I267-2526903</f>
        <v>0</v>
      </c>
      <c r="O267" s="263"/>
      <c r="P267" s="294"/>
      <c r="Q267" s="134"/>
      <c r="R267" s="83"/>
    </row>
    <row r="268" spans="1:21" s="88" customFormat="1" ht="12.75" x14ac:dyDescent="0.2">
      <c r="A268" s="265"/>
      <c r="B268" s="163"/>
      <c r="C268" s="149"/>
      <c r="D268" s="149"/>
      <c r="E268" s="149"/>
      <c r="F268" s="166"/>
      <c r="G268" s="110"/>
      <c r="H268" s="153" t="s">
        <v>94</v>
      </c>
      <c r="I268" s="151">
        <v>287046</v>
      </c>
      <c r="J268" s="151"/>
      <c r="K268" s="151">
        <f>+I268</f>
        <v>287046</v>
      </c>
      <c r="L268" s="151"/>
      <c r="M268" s="151"/>
      <c r="N268" s="151">
        <f>400000-I268-112954</f>
        <v>0</v>
      </c>
      <c r="O268" s="263"/>
      <c r="P268" s="294"/>
      <c r="Q268" s="134"/>
      <c r="R268" s="83"/>
    </row>
    <row r="269" spans="1:21" s="88" customFormat="1" ht="12.75" x14ac:dyDescent="0.2">
      <c r="A269" s="265"/>
      <c r="B269" s="163"/>
      <c r="C269" s="149"/>
      <c r="D269" s="149"/>
      <c r="E269" s="149"/>
      <c r="F269" s="166"/>
      <c r="G269" s="110"/>
      <c r="H269" s="153" t="s">
        <v>95</v>
      </c>
      <c r="I269" s="151">
        <v>6234764</v>
      </c>
      <c r="J269" s="151">
        <f>+I269</f>
        <v>6234764</v>
      </c>
      <c r="K269" s="151"/>
      <c r="L269" s="151"/>
      <c r="M269" s="151"/>
      <c r="N269" s="151">
        <f>7500000-I269-1265236</f>
        <v>0</v>
      </c>
      <c r="O269" s="263"/>
      <c r="P269" s="294"/>
      <c r="Q269" s="134"/>
      <c r="R269" s="83"/>
    </row>
    <row r="270" spans="1:21" s="88" customFormat="1" ht="12.75" x14ac:dyDescent="0.2">
      <c r="A270" s="265"/>
      <c r="B270" s="163"/>
      <c r="C270" s="149"/>
      <c r="D270" s="149"/>
      <c r="E270" s="149"/>
      <c r="F270" s="166"/>
      <c r="G270" s="110"/>
      <c r="H270" s="153" t="s">
        <v>98</v>
      </c>
      <c r="I270" s="151">
        <v>0</v>
      </c>
      <c r="J270" s="151"/>
      <c r="K270" s="151"/>
      <c r="L270" s="151"/>
      <c r="M270" s="151"/>
      <c r="N270" s="151">
        <f>100000-I270-100000</f>
        <v>0</v>
      </c>
      <c r="O270" s="263"/>
      <c r="P270" s="294"/>
      <c r="Q270" s="134"/>
      <c r="R270" s="83"/>
    </row>
    <row r="271" spans="1:21" s="88" customFormat="1" ht="12.75" x14ac:dyDescent="0.2">
      <c r="A271" s="265"/>
      <c r="B271" s="163"/>
      <c r="C271" s="149"/>
      <c r="D271" s="149"/>
      <c r="E271" s="149"/>
      <c r="F271" s="166" t="s">
        <v>265</v>
      </c>
      <c r="G271" s="110"/>
      <c r="H271" s="153"/>
      <c r="I271" s="151"/>
      <c r="J271" s="151"/>
      <c r="K271" s="151"/>
      <c r="L271" s="151"/>
      <c r="M271" s="151"/>
      <c r="N271" s="151">
        <v>0</v>
      </c>
      <c r="O271" s="263"/>
      <c r="P271" s="294"/>
      <c r="Q271" s="134"/>
      <c r="R271" s="83"/>
    </row>
    <row r="272" spans="1:21" s="96" customFormat="1" ht="12.75" x14ac:dyDescent="0.2">
      <c r="A272" s="268"/>
      <c r="B272" s="177"/>
      <c r="C272" s="178"/>
      <c r="D272" s="178"/>
      <c r="E272" s="178"/>
      <c r="F272" s="179"/>
      <c r="G272" s="180"/>
      <c r="H272" s="181"/>
      <c r="I272" s="182"/>
      <c r="J272" s="182"/>
      <c r="K272" s="182"/>
      <c r="L272" s="182"/>
      <c r="M272" s="182"/>
      <c r="N272" s="183"/>
      <c r="O272" s="269"/>
      <c r="P272" s="294"/>
      <c r="Q272" s="138"/>
      <c r="R272" s="317"/>
    </row>
    <row r="273" spans="1:21" s="88" customFormat="1" ht="12.75" x14ac:dyDescent="0.2">
      <c r="A273" s="275" t="s">
        <v>291</v>
      </c>
      <c r="B273" s="148" t="s">
        <v>292</v>
      </c>
      <c r="C273" s="149"/>
      <c r="D273" s="149">
        <v>5000000</v>
      </c>
      <c r="E273" s="149">
        <v>6782000</v>
      </c>
      <c r="F273" s="170"/>
      <c r="G273" s="222"/>
      <c r="H273" s="153"/>
      <c r="I273" s="154">
        <f t="shared" ref="I273:N273" si="16">SUM(I274:I277)</f>
        <v>6782000</v>
      </c>
      <c r="J273" s="154">
        <f t="shared" si="16"/>
        <v>6782000</v>
      </c>
      <c r="K273" s="154">
        <f t="shared" si="16"/>
        <v>0</v>
      </c>
      <c r="L273" s="154">
        <f t="shared" si="16"/>
        <v>0</v>
      </c>
      <c r="M273" s="154">
        <f t="shared" si="16"/>
        <v>0</v>
      </c>
      <c r="N273" s="154">
        <f t="shared" si="16"/>
        <v>0</v>
      </c>
      <c r="O273" s="263"/>
      <c r="P273" s="294"/>
      <c r="Q273" s="134"/>
      <c r="R273" s="83"/>
      <c r="S273" s="87"/>
      <c r="T273" s="87"/>
      <c r="U273" s="87"/>
    </row>
    <row r="274" spans="1:21" s="88" customFormat="1" ht="12.75" x14ac:dyDescent="0.2">
      <c r="A274" s="265"/>
      <c r="B274" s="163"/>
      <c r="C274" s="149"/>
      <c r="D274" s="149"/>
      <c r="E274" s="149"/>
      <c r="F274" s="152" t="s">
        <v>200</v>
      </c>
      <c r="G274" s="100" t="s">
        <v>250</v>
      </c>
      <c r="H274" s="153" t="s">
        <v>90</v>
      </c>
      <c r="I274" s="151">
        <f>+E273*0.1</f>
        <v>678200</v>
      </c>
      <c r="J274" s="151">
        <f>+I274</f>
        <v>678200</v>
      </c>
      <c r="K274" s="151"/>
      <c r="L274" s="151"/>
      <c r="M274" s="151"/>
      <c r="N274" s="151"/>
      <c r="O274" s="263"/>
      <c r="P274" s="294"/>
      <c r="Q274" s="134"/>
      <c r="R274" s="83"/>
    </row>
    <row r="275" spans="1:21" s="88" customFormat="1" ht="12.75" x14ac:dyDescent="0.2">
      <c r="A275" s="265"/>
      <c r="B275" s="163"/>
      <c r="C275" s="149"/>
      <c r="D275" s="149"/>
      <c r="E275" s="149"/>
      <c r="F275" s="166"/>
      <c r="G275" s="110"/>
      <c r="H275" s="153"/>
      <c r="I275" s="151"/>
      <c r="J275" s="151"/>
      <c r="K275" s="151"/>
      <c r="L275" s="151"/>
      <c r="M275" s="151"/>
      <c r="N275" s="151"/>
      <c r="O275" s="263"/>
      <c r="P275" s="294"/>
      <c r="Q275" s="134"/>
      <c r="R275" s="83"/>
    </row>
    <row r="276" spans="1:21" s="88" customFormat="1" ht="12.75" x14ac:dyDescent="0.2">
      <c r="A276" s="265"/>
      <c r="B276" s="163"/>
      <c r="C276" s="149"/>
      <c r="D276" s="149"/>
      <c r="E276" s="149"/>
      <c r="F276" s="166" t="s">
        <v>218</v>
      </c>
      <c r="G276" s="100" t="s">
        <v>217</v>
      </c>
      <c r="H276" s="153" t="s">
        <v>90</v>
      </c>
      <c r="I276" s="210">
        <f>4500000+1603800</f>
        <v>6103800</v>
      </c>
      <c r="J276" s="151">
        <f>+I276</f>
        <v>6103800</v>
      </c>
      <c r="K276" s="151"/>
      <c r="L276" s="151">
        <v>0</v>
      </c>
      <c r="M276" s="151"/>
      <c r="N276" s="151"/>
      <c r="O276" s="263"/>
      <c r="P276" s="294"/>
      <c r="Q276" s="134"/>
      <c r="R276" s="83"/>
    </row>
    <row r="277" spans="1:21" s="96" customFormat="1" ht="12.75" x14ac:dyDescent="0.2">
      <c r="A277" s="268"/>
      <c r="B277" s="177"/>
      <c r="C277" s="178"/>
      <c r="D277" s="178"/>
      <c r="E277" s="178"/>
      <c r="F277" s="179"/>
      <c r="G277" s="180"/>
      <c r="H277" s="181"/>
      <c r="I277" s="182"/>
      <c r="J277" s="182"/>
      <c r="K277" s="182"/>
      <c r="L277" s="182"/>
      <c r="M277" s="182"/>
      <c r="N277" s="183">
        <v>0</v>
      </c>
      <c r="O277" s="269"/>
      <c r="P277" s="294"/>
      <c r="Q277" s="138"/>
      <c r="R277" s="317"/>
    </row>
    <row r="278" spans="1:21" s="88" customFormat="1" ht="12.75" x14ac:dyDescent="0.2">
      <c r="A278" s="265" t="s">
        <v>294</v>
      </c>
      <c r="B278" s="163" t="s">
        <v>293</v>
      </c>
      <c r="C278" s="149"/>
      <c r="D278" s="149">
        <v>750000000</v>
      </c>
      <c r="E278" s="149">
        <v>3320050358.6199999</v>
      </c>
      <c r="F278" s="166"/>
      <c r="G278" s="110"/>
      <c r="H278" s="153"/>
      <c r="I278" s="154">
        <f>SUM(I279:I284)</f>
        <v>460182610.04000002</v>
      </c>
      <c r="J278" s="154">
        <f>SUM(J279:J284)</f>
        <v>460182610.04000002</v>
      </c>
      <c r="K278" s="154">
        <f>SUM(K279:K284)</f>
        <v>0</v>
      </c>
      <c r="L278" s="154">
        <f>SUM(L279:L284)</f>
        <v>0</v>
      </c>
      <c r="M278" s="154">
        <f>SUM(M279:M284)</f>
        <v>0</v>
      </c>
      <c r="N278" s="154">
        <f>SUM(N282:N293)</f>
        <v>2859867748.5762339</v>
      </c>
      <c r="O278" s="263"/>
      <c r="P278" s="294"/>
      <c r="Q278" s="134"/>
      <c r="R278" s="83"/>
      <c r="S278" s="87"/>
      <c r="T278" s="87"/>
      <c r="U278" s="87"/>
    </row>
    <row r="279" spans="1:21" s="88" customFormat="1" ht="12.75" x14ac:dyDescent="0.2">
      <c r="A279" s="265"/>
      <c r="B279" s="149"/>
      <c r="C279" s="149"/>
      <c r="D279" s="149"/>
      <c r="E279" s="149"/>
      <c r="F279" s="152" t="s">
        <v>200</v>
      </c>
      <c r="G279" s="100" t="s">
        <v>295</v>
      </c>
      <c r="H279" s="153" t="s">
        <v>90</v>
      </c>
      <c r="I279" s="151">
        <f>583179112*0.17</f>
        <v>99140449.040000007</v>
      </c>
      <c r="J279" s="151">
        <f>+I279</f>
        <v>99140449.040000007</v>
      </c>
      <c r="K279" s="151"/>
      <c r="L279" s="151"/>
      <c r="M279" s="151"/>
      <c r="N279" s="151"/>
      <c r="O279" s="263"/>
      <c r="P279" s="294"/>
      <c r="Q279" s="134"/>
      <c r="R279" s="83"/>
    </row>
    <row r="280" spans="1:21" s="88" customFormat="1" ht="12.75" x14ac:dyDescent="0.2">
      <c r="A280" s="265"/>
      <c r="B280" s="163"/>
      <c r="C280" s="149"/>
      <c r="D280" s="149"/>
      <c r="E280" s="149"/>
      <c r="F280" s="166"/>
      <c r="G280" s="110"/>
      <c r="H280" s="153" t="s">
        <v>92</v>
      </c>
      <c r="I280" s="151">
        <v>84091676.269999996</v>
      </c>
      <c r="J280" s="151">
        <f>+I280</f>
        <v>84091676.269999996</v>
      </c>
      <c r="K280" s="151"/>
      <c r="L280" s="151"/>
      <c r="M280" s="151"/>
      <c r="N280" s="151"/>
      <c r="O280" s="263"/>
      <c r="P280" s="294"/>
      <c r="Q280" s="134"/>
      <c r="R280" s="83"/>
    </row>
    <row r="281" spans="1:21" s="88" customFormat="1" ht="12.75" x14ac:dyDescent="0.2">
      <c r="A281" s="265"/>
      <c r="B281" s="163"/>
      <c r="C281" s="149"/>
      <c r="D281" s="149"/>
      <c r="E281" s="149"/>
      <c r="F281" s="166"/>
      <c r="G281" s="110"/>
      <c r="H281" s="170"/>
      <c r="I281" s="151">
        <v>276950484.73000002</v>
      </c>
      <c r="J281" s="151">
        <f>+I281</f>
        <v>276950484.73000002</v>
      </c>
      <c r="K281" s="151"/>
      <c r="L281" s="151"/>
      <c r="M281" s="151"/>
      <c r="N281" s="151"/>
      <c r="O281" s="263"/>
      <c r="P281" s="294"/>
      <c r="Q281" s="134"/>
      <c r="R281" s="83"/>
    </row>
    <row r="282" spans="1:21" s="88" customFormat="1" ht="16.5" x14ac:dyDescent="0.2">
      <c r="A282" s="265"/>
      <c r="B282" s="149"/>
      <c r="C282" s="149"/>
      <c r="D282" s="149"/>
      <c r="E282" s="149"/>
      <c r="F282" s="166"/>
      <c r="G282" s="100" t="s">
        <v>297</v>
      </c>
      <c r="H282" s="153" t="s">
        <v>95</v>
      </c>
      <c r="I282" s="223"/>
      <c r="J282" s="151"/>
      <c r="K282" s="151"/>
      <c r="L282" s="151"/>
      <c r="M282" s="151"/>
      <c r="N282" s="322">
        <v>497634228.61000001</v>
      </c>
      <c r="O282" s="276"/>
      <c r="P282" s="301"/>
      <c r="Q282" s="134"/>
      <c r="R282" s="83"/>
    </row>
    <row r="283" spans="1:21" s="88" customFormat="1" ht="12.75" x14ac:dyDescent="0.2">
      <c r="A283" s="265"/>
      <c r="B283" s="163"/>
      <c r="C283" s="149"/>
      <c r="D283" s="149"/>
      <c r="E283" s="149"/>
      <c r="F283" s="166"/>
      <c r="G283" s="100" t="s">
        <v>296</v>
      </c>
      <c r="H283" s="153"/>
      <c r="I283" s="151"/>
      <c r="J283" s="151"/>
      <c r="K283" s="151"/>
      <c r="L283" s="151"/>
      <c r="M283" s="151"/>
      <c r="N283" s="322">
        <f>7017420.58+62818641.11+345885382.35+40008492.85+39792424.75-I280-I281</f>
        <v>134480200.64000005</v>
      </c>
      <c r="O283" s="276"/>
      <c r="P283" s="301"/>
      <c r="Q283" s="134"/>
      <c r="R283" s="83"/>
    </row>
    <row r="284" spans="1:21" s="88" customFormat="1" ht="12.75" x14ac:dyDescent="0.2">
      <c r="A284" s="265"/>
      <c r="B284" s="163"/>
      <c r="C284" s="149"/>
      <c r="D284" s="149"/>
      <c r="E284" s="149"/>
      <c r="F284" s="166"/>
      <c r="G284" s="100" t="s">
        <v>432</v>
      </c>
      <c r="H284" s="153"/>
      <c r="I284" s="151"/>
      <c r="J284" s="151"/>
      <c r="K284" s="151"/>
      <c r="L284" s="151"/>
      <c r="M284" s="151"/>
      <c r="N284" s="176">
        <f>583179112.003986-N285-N286-N287-I279</f>
        <v>414057169.52350771</v>
      </c>
      <c r="O284" s="276"/>
      <c r="P284" s="301"/>
      <c r="Q284" s="134"/>
      <c r="R284" s="83"/>
    </row>
    <row r="285" spans="1:21" s="107" customFormat="1" ht="12.75" x14ac:dyDescent="0.2">
      <c r="A285" s="265"/>
      <c r="B285" s="163"/>
      <c r="C285" s="149"/>
      <c r="D285" s="149"/>
      <c r="E285" s="149"/>
      <c r="F285" s="173" t="s">
        <v>201</v>
      </c>
      <c r="G285" s="100" t="s">
        <v>213</v>
      </c>
      <c r="H285" s="175" t="s">
        <v>95</v>
      </c>
      <c r="I285" s="151"/>
      <c r="J285" s="151"/>
      <c r="K285" s="151"/>
      <c r="L285" s="151"/>
      <c r="M285" s="151"/>
      <c r="N285" s="176">
        <v>8747686.6800597869</v>
      </c>
      <c r="O285" s="276"/>
      <c r="P285" s="301"/>
      <c r="Q285" s="134"/>
      <c r="R285" s="83"/>
    </row>
    <row r="286" spans="1:21" s="107" customFormat="1" ht="12.75" x14ac:dyDescent="0.2">
      <c r="A286" s="265"/>
      <c r="B286" s="163"/>
      <c r="C286" s="149"/>
      <c r="D286" s="149"/>
      <c r="E286" s="149"/>
      <c r="F286" s="173" t="s">
        <v>201</v>
      </c>
      <c r="G286" s="100" t="s">
        <v>214</v>
      </c>
      <c r="H286" s="175" t="s">
        <v>95</v>
      </c>
      <c r="I286" s="151"/>
      <c r="J286" s="151"/>
      <c r="K286" s="151"/>
      <c r="L286" s="151"/>
      <c r="M286" s="151"/>
      <c r="N286" s="176">
        <v>58317911.200398579</v>
      </c>
      <c r="O286" s="276"/>
      <c r="P286" s="301"/>
      <c r="Q286" s="134"/>
      <c r="R286" s="83"/>
    </row>
    <row r="287" spans="1:21" s="107" customFormat="1" ht="12.75" x14ac:dyDescent="0.2">
      <c r="A287" s="265"/>
      <c r="B287" s="163"/>
      <c r="C287" s="149"/>
      <c r="D287" s="149"/>
      <c r="E287" s="149"/>
      <c r="F287" s="173" t="s">
        <v>201</v>
      </c>
      <c r="G287" s="100" t="s">
        <v>215</v>
      </c>
      <c r="H287" s="153" t="s">
        <v>95</v>
      </c>
      <c r="I287" s="151"/>
      <c r="J287" s="151"/>
      <c r="K287" s="151"/>
      <c r="L287" s="151"/>
      <c r="M287" s="151"/>
      <c r="N287" s="176">
        <v>2915895.560019929</v>
      </c>
      <c r="O287" s="276"/>
      <c r="P287" s="301"/>
      <c r="Q287" s="134"/>
      <c r="R287" s="83"/>
    </row>
    <row r="288" spans="1:21" s="107" customFormat="1" ht="12.75" x14ac:dyDescent="0.2">
      <c r="A288" s="265"/>
      <c r="B288" s="163"/>
      <c r="C288" s="149"/>
      <c r="D288" s="149"/>
      <c r="E288" s="149"/>
      <c r="F288" s="166"/>
      <c r="G288" s="100" t="s">
        <v>433</v>
      </c>
      <c r="H288" s="153"/>
      <c r="I288" s="151"/>
      <c r="J288" s="151"/>
      <c r="K288" s="151"/>
      <c r="L288" s="151"/>
      <c r="M288" s="151"/>
      <c r="N288" s="176">
        <f>1090467506.50612-N284-N285-N286-N287-I279</f>
        <v>507288394.50213391</v>
      </c>
      <c r="O288" s="276"/>
      <c r="P288" s="301"/>
      <c r="Q288" s="134"/>
      <c r="R288" s="83"/>
    </row>
    <row r="289" spans="1:21" s="88" customFormat="1" ht="12.75" x14ac:dyDescent="0.2">
      <c r="A289" s="265"/>
      <c r="B289" s="163"/>
      <c r="C289" s="149"/>
      <c r="D289" s="149"/>
      <c r="E289" s="149"/>
      <c r="F289" s="166"/>
      <c r="G289" s="100" t="s">
        <v>252</v>
      </c>
      <c r="H289" s="153"/>
      <c r="I289" s="151"/>
      <c r="J289" s="151"/>
      <c r="K289" s="151"/>
      <c r="L289" s="151"/>
      <c r="M289" s="151"/>
      <c r="N289" s="176">
        <v>563387093.12543428</v>
      </c>
      <c r="O289" s="263"/>
      <c r="P289" s="294"/>
      <c r="Q289" s="134"/>
      <c r="R289" s="83"/>
    </row>
    <row r="290" spans="1:21" s="88" customFormat="1" ht="12.75" x14ac:dyDescent="0.2">
      <c r="A290" s="265"/>
      <c r="B290" s="163"/>
      <c r="C290" s="149"/>
      <c r="D290" s="149"/>
      <c r="E290" s="149"/>
      <c r="F290" s="166"/>
      <c r="G290" s="100" t="s">
        <v>299</v>
      </c>
      <c r="H290" s="153"/>
      <c r="I290" s="151"/>
      <c r="J290" s="151"/>
      <c r="K290" s="151"/>
      <c r="L290" s="151"/>
      <c r="M290" s="151"/>
      <c r="N290" s="176">
        <v>102931339.69336025</v>
      </c>
      <c r="O290" s="263"/>
      <c r="P290" s="294"/>
      <c r="Q290" s="134"/>
      <c r="R290" s="83"/>
    </row>
    <row r="291" spans="1:21" s="88" customFormat="1" ht="12.75" x14ac:dyDescent="0.2">
      <c r="A291" s="265"/>
      <c r="B291" s="163"/>
      <c r="C291" s="149"/>
      <c r="D291" s="149"/>
      <c r="E291" s="149"/>
      <c r="F291" s="166"/>
      <c r="G291" s="100" t="s">
        <v>300</v>
      </c>
      <c r="H291" s="153"/>
      <c r="I291" s="151"/>
      <c r="J291" s="151"/>
      <c r="K291" s="151"/>
      <c r="L291" s="151"/>
      <c r="M291" s="151"/>
      <c r="N291" s="176">
        <v>92658645.551719517</v>
      </c>
      <c r="O291" s="263"/>
      <c r="P291" s="294"/>
      <c r="Q291" s="134"/>
      <c r="R291" s="83"/>
    </row>
    <row r="292" spans="1:21" s="88" customFormat="1" ht="12.75" x14ac:dyDescent="0.2">
      <c r="A292" s="265"/>
      <c r="B292" s="163"/>
      <c r="C292" s="149"/>
      <c r="D292" s="149"/>
      <c r="E292" s="149"/>
      <c r="F292" s="166"/>
      <c r="G292" s="100" t="s">
        <v>298</v>
      </c>
      <c r="H292" s="153"/>
      <c r="I292" s="151"/>
      <c r="J292" s="151"/>
      <c r="K292" s="151"/>
      <c r="L292" s="151"/>
      <c r="M292" s="151"/>
      <c r="N292" s="176">
        <v>29441193.739599612</v>
      </c>
      <c r="O292" s="263"/>
      <c r="P292" s="294"/>
      <c r="Q292" s="134"/>
      <c r="R292" s="83"/>
    </row>
    <row r="293" spans="1:21" s="88" customFormat="1" ht="12.75" x14ac:dyDescent="0.2">
      <c r="A293" s="265"/>
      <c r="B293" s="163"/>
      <c r="C293" s="149"/>
      <c r="D293" s="149"/>
      <c r="E293" s="149"/>
      <c r="F293" s="166"/>
      <c r="G293" s="100" t="s">
        <v>274</v>
      </c>
      <c r="H293" s="153"/>
      <c r="I293" s="151"/>
      <c r="J293" s="151"/>
      <c r="K293" s="151"/>
      <c r="L293" s="151"/>
      <c r="M293" s="151"/>
      <c r="N293" s="176">
        <v>448007989.75</v>
      </c>
      <c r="O293" s="263"/>
      <c r="P293" s="294"/>
      <c r="Q293" s="134"/>
      <c r="R293" s="83"/>
    </row>
    <row r="294" spans="1:21" s="96" customFormat="1" ht="12.75" x14ac:dyDescent="0.2">
      <c r="A294" s="268"/>
      <c r="B294" s="177"/>
      <c r="C294" s="178"/>
      <c r="D294" s="178"/>
      <c r="E294" s="178"/>
      <c r="F294" s="179"/>
      <c r="G294" s="180"/>
      <c r="H294" s="181"/>
      <c r="I294" s="182"/>
      <c r="J294" s="182"/>
      <c r="K294" s="182"/>
      <c r="L294" s="182"/>
      <c r="M294" s="182"/>
      <c r="N294" s="183">
        <v>0</v>
      </c>
      <c r="O294" s="269"/>
      <c r="P294" s="294"/>
      <c r="Q294" s="138"/>
      <c r="R294" s="317"/>
    </row>
    <row r="295" spans="1:21" s="98" customFormat="1" ht="12.75" x14ac:dyDescent="0.2">
      <c r="A295" s="92" t="s">
        <v>294</v>
      </c>
      <c r="B295" s="101" t="s">
        <v>317</v>
      </c>
      <c r="C295" s="189"/>
      <c r="D295" s="189">
        <v>0</v>
      </c>
      <c r="E295" s="189">
        <v>13459190.359999999</v>
      </c>
      <c r="F295" s="200"/>
      <c r="G295" s="209"/>
      <c r="H295" s="196"/>
      <c r="I295" s="207">
        <f t="shared" ref="I295:N295" si="17">SUM(I296:I296)</f>
        <v>0</v>
      </c>
      <c r="J295" s="207">
        <f t="shared" si="17"/>
        <v>0</v>
      </c>
      <c r="K295" s="207">
        <f t="shared" si="17"/>
        <v>0</v>
      </c>
      <c r="L295" s="207">
        <f t="shared" si="17"/>
        <v>0</v>
      </c>
      <c r="M295" s="207">
        <f t="shared" si="17"/>
        <v>0</v>
      </c>
      <c r="N295" s="207">
        <f t="shared" si="17"/>
        <v>13459190.359999999</v>
      </c>
      <c r="O295" s="272"/>
      <c r="P295" s="294"/>
      <c r="Q295" s="134"/>
      <c r="R295" s="83"/>
      <c r="S295" s="87"/>
      <c r="T295" s="87"/>
      <c r="U295" s="87"/>
    </row>
    <row r="296" spans="1:21" s="98" customFormat="1" ht="12.75" x14ac:dyDescent="0.2">
      <c r="A296" s="273"/>
      <c r="B296" s="199"/>
      <c r="C296" s="189"/>
      <c r="D296" s="189"/>
      <c r="E296" s="189"/>
      <c r="F296" s="200" t="s">
        <v>265</v>
      </c>
      <c r="G296" s="195"/>
      <c r="H296" s="196"/>
      <c r="I296" s="197"/>
      <c r="J296" s="197"/>
      <c r="K296" s="197"/>
      <c r="L296" s="197"/>
      <c r="M296" s="197"/>
      <c r="N296" s="197">
        <f>+E295</f>
        <v>13459190.359999999</v>
      </c>
      <c r="O296" s="272"/>
      <c r="P296" s="294"/>
      <c r="Q296" s="134"/>
      <c r="R296" s="83"/>
    </row>
    <row r="297" spans="1:21" s="98" customFormat="1" ht="12.75" x14ac:dyDescent="0.2">
      <c r="A297" s="273"/>
      <c r="B297" s="199"/>
      <c r="C297" s="189"/>
      <c r="D297" s="189"/>
      <c r="E297" s="189"/>
      <c r="F297" s="200"/>
      <c r="G297" s="195"/>
      <c r="H297" s="196"/>
      <c r="I297" s="197"/>
      <c r="J297" s="197"/>
      <c r="K297" s="197"/>
      <c r="L297" s="197"/>
      <c r="M297" s="197"/>
      <c r="N297" s="197"/>
      <c r="O297" s="272"/>
      <c r="P297" s="294"/>
      <c r="Q297" s="134"/>
      <c r="R297" s="83"/>
    </row>
    <row r="298" spans="1:21" s="96" customFormat="1" ht="12.75" x14ac:dyDescent="0.2">
      <c r="A298" s="268"/>
      <c r="B298" s="177"/>
      <c r="C298" s="178"/>
      <c r="D298" s="178"/>
      <c r="E298" s="178"/>
      <c r="F298" s="179"/>
      <c r="G298" s="180"/>
      <c r="H298" s="181"/>
      <c r="I298" s="182"/>
      <c r="J298" s="182"/>
      <c r="K298" s="182"/>
      <c r="L298" s="182"/>
      <c r="M298" s="182"/>
      <c r="N298" s="183"/>
      <c r="O298" s="269"/>
      <c r="P298" s="294"/>
      <c r="Q298" s="138"/>
      <c r="R298" s="317"/>
    </row>
    <row r="299" spans="1:21" s="88" customFormat="1" ht="12.75" x14ac:dyDescent="0.2">
      <c r="A299" s="275" t="s">
        <v>301</v>
      </c>
      <c r="B299" s="148" t="s">
        <v>302</v>
      </c>
      <c r="C299" s="149"/>
      <c r="D299" s="149">
        <v>127000000</v>
      </c>
      <c r="E299" s="149">
        <v>78600946</v>
      </c>
      <c r="F299" s="166"/>
      <c r="G299" s="110"/>
      <c r="H299" s="153"/>
      <c r="I299" s="154">
        <f t="shared" ref="I299:N299" si="18">SUM(I300)</f>
        <v>78600946</v>
      </c>
      <c r="J299" s="154">
        <f t="shared" si="18"/>
        <v>78600946</v>
      </c>
      <c r="K299" s="154">
        <f t="shared" si="18"/>
        <v>0</v>
      </c>
      <c r="L299" s="154">
        <f t="shared" si="18"/>
        <v>0</v>
      </c>
      <c r="M299" s="154">
        <f t="shared" si="18"/>
        <v>0</v>
      </c>
      <c r="N299" s="154">
        <f t="shared" si="18"/>
        <v>0</v>
      </c>
      <c r="O299" s="263"/>
      <c r="P299" s="294"/>
      <c r="Q299" s="134"/>
      <c r="R299" s="83"/>
      <c r="S299" s="87"/>
      <c r="T299" s="87"/>
      <c r="U299" s="87"/>
    </row>
    <row r="300" spans="1:21" s="88" customFormat="1" ht="12.75" x14ac:dyDescent="0.2">
      <c r="A300" s="265"/>
      <c r="B300" s="163"/>
      <c r="C300" s="149"/>
      <c r="D300" s="149"/>
      <c r="E300" s="149"/>
      <c r="F300" s="166" t="s">
        <v>187</v>
      </c>
      <c r="G300" s="110" t="s">
        <v>221</v>
      </c>
      <c r="H300" s="153" t="s">
        <v>90</v>
      </c>
      <c r="I300" s="151">
        <f>173103163.07-I265-I37</f>
        <v>78600946</v>
      </c>
      <c r="J300" s="151">
        <f>+I300</f>
        <v>78600946</v>
      </c>
      <c r="K300" s="151"/>
      <c r="L300" s="151"/>
      <c r="M300" s="151"/>
      <c r="N300" s="151">
        <v>0</v>
      </c>
      <c r="O300" s="263"/>
      <c r="P300" s="294"/>
      <c r="Q300" s="134"/>
      <c r="R300" s="83"/>
    </row>
    <row r="301" spans="1:21" s="96" customFormat="1" ht="12.75" x14ac:dyDescent="0.2">
      <c r="A301" s="268"/>
      <c r="B301" s="177"/>
      <c r="C301" s="178"/>
      <c r="D301" s="178"/>
      <c r="E301" s="178"/>
      <c r="F301" s="179"/>
      <c r="G301" s="180"/>
      <c r="H301" s="181"/>
      <c r="I301" s="182"/>
      <c r="J301" s="182"/>
      <c r="K301" s="182"/>
      <c r="L301" s="182"/>
      <c r="M301" s="182"/>
      <c r="N301" s="183"/>
      <c r="O301" s="269"/>
      <c r="P301" s="294"/>
      <c r="Q301" s="138"/>
      <c r="R301" s="317"/>
    </row>
    <row r="302" spans="1:21" s="88" customFormat="1" ht="25.5" x14ac:dyDescent="0.2">
      <c r="A302" s="92" t="s">
        <v>304</v>
      </c>
      <c r="B302" s="101" t="s">
        <v>303</v>
      </c>
      <c r="C302" s="189"/>
      <c r="D302" s="189">
        <v>191100000</v>
      </c>
      <c r="E302" s="189">
        <v>686399056.73000002</v>
      </c>
      <c r="F302" s="200"/>
      <c r="G302" s="209"/>
      <c r="H302" s="196"/>
      <c r="I302" s="207">
        <f t="shared" ref="I302:N302" si="19">SUM(I303:I306)</f>
        <v>191100000</v>
      </c>
      <c r="J302" s="207">
        <f t="shared" si="19"/>
        <v>191100000</v>
      </c>
      <c r="K302" s="207">
        <f t="shared" si="19"/>
        <v>0</v>
      </c>
      <c r="L302" s="207">
        <f t="shared" si="19"/>
        <v>0</v>
      </c>
      <c r="M302" s="207">
        <f t="shared" si="19"/>
        <v>0</v>
      </c>
      <c r="N302" s="207">
        <f t="shared" si="19"/>
        <v>495299056.73000002</v>
      </c>
      <c r="O302" s="272"/>
      <c r="P302" s="294"/>
      <c r="Q302" s="134"/>
      <c r="R302" s="83"/>
      <c r="S302" s="87"/>
      <c r="T302" s="87"/>
      <c r="U302" s="87"/>
    </row>
    <row r="303" spans="1:21" s="88" customFormat="1" ht="12.75" x14ac:dyDescent="0.2">
      <c r="A303" s="273"/>
      <c r="B303" s="199"/>
      <c r="C303" s="189"/>
      <c r="D303" s="189"/>
      <c r="E303" s="189"/>
      <c r="F303" s="200" t="s">
        <v>244</v>
      </c>
      <c r="G303" s="195" t="s">
        <v>235</v>
      </c>
      <c r="H303" s="196" t="s">
        <v>95</v>
      </c>
      <c r="I303" s="197">
        <v>156100000</v>
      </c>
      <c r="J303" s="197">
        <f>+I303</f>
        <v>156100000</v>
      </c>
      <c r="K303" s="197"/>
      <c r="L303" s="197"/>
      <c r="M303" s="197"/>
      <c r="N303" s="197"/>
      <c r="O303" s="272"/>
      <c r="P303" s="294"/>
      <c r="Q303" s="134"/>
      <c r="R303" s="83"/>
    </row>
    <row r="304" spans="1:21" s="88" customFormat="1" ht="12.75" x14ac:dyDescent="0.2">
      <c r="A304" s="273"/>
      <c r="B304" s="199"/>
      <c r="C304" s="189"/>
      <c r="D304" s="189"/>
      <c r="E304" s="189"/>
      <c r="F304" s="200"/>
      <c r="G304" s="195"/>
      <c r="H304" s="196"/>
      <c r="I304" s="197"/>
      <c r="J304" s="197"/>
      <c r="K304" s="197"/>
      <c r="L304" s="197"/>
      <c r="M304" s="197"/>
      <c r="N304" s="197"/>
      <c r="O304" s="272"/>
      <c r="P304" s="294"/>
      <c r="Q304" s="134"/>
      <c r="R304" s="83"/>
    </row>
    <row r="305" spans="1:21" s="88" customFormat="1" ht="12.75" x14ac:dyDescent="0.2">
      <c r="A305" s="273"/>
      <c r="B305" s="199"/>
      <c r="C305" s="189"/>
      <c r="D305" s="189"/>
      <c r="E305" s="189"/>
      <c r="F305" s="200" t="s">
        <v>244</v>
      </c>
      <c r="G305" s="195" t="s">
        <v>305</v>
      </c>
      <c r="H305" s="196" t="s">
        <v>95</v>
      </c>
      <c r="I305" s="197">
        <v>35000000</v>
      </c>
      <c r="J305" s="197">
        <f>+I305</f>
        <v>35000000</v>
      </c>
      <c r="K305" s="197"/>
      <c r="L305" s="197"/>
      <c r="M305" s="197"/>
      <c r="N305" s="197"/>
      <c r="O305" s="272"/>
      <c r="P305" s="294"/>
      <c r="Q305" s="134"/>
      <c r="R305" s="83"/>
    </row>
    <row r="306" spans="1:21" s="88" customFormat="1" ht="12.75" x14ac:dyDescent="0.2">
      <c r="A306" s="273"/>
      <c r="B306" s="199"/>
      <c r="C306" s="189"/>
      <c r="D306" s="189"/>
      <c r="E306" s="189"/>
      <c r="F306" s="200" t="s">
        <v>265</v>
      </c>
      <c r="G306" s="195"/>
      <c r="H306" s="196"/>
      <c r="I306" s="197"/>
      <c r="J306" s="197"/>
      <c r="K306" s="197"/>
      <c r="L306" s="197"/>
      <c r="M306" s="197"/>
      <c r="N306" s="197">
        <f>+E302-D302</f>
        <v>495299056.73000002</v>
      </c>
      <c r="O306" s="272"/>
      <c r="P306" s="294"/>
      <c r="Q306" s="134"/>
      <c r="R306" s="83"/>
    </row>
    <row r="307" spans="1:21" s="96" customFormat="1" ht="12.75" x14ac:dyDescent="0.2">
      <c r="A307" s="268"/>
      <c r="B307" s="177"/>
      <c r="C307" s="178"/>
      <c r="D307" s="178"/>
      <c r="E307" s="178"/>
      <c r="F307" s="179"/>
      <c r="G307" s="180"/>
      <c r="H307" s="181"/>
      <c r="I307" s="182"/>
      <c r="J307" s="182"/>
      <c r="K307" s="182"/>
      <c r="L307" s="182"/>
      <c r="M307" s="182"/>
      <c r="N307" s="183"/>
      <c r="O307" s="269"/>
      <c r="P307" s="294"/>
      <c r="Q307" s="138"/>
      <c r="R307" s="317"/>
    </row>
    <row r="308" spans="1:21" s="88" customFormat="1" ht="12.75" x14ac:dyDescent="0.2">
      <c r="A308" s="92" t="s">
        <v>306</v>
      </c>
      <c r="B308" s="101" t="s">
        <v>307</v>
      </c>
      <c r="C308" s="189"/>
      <c r="D308" s="189">
        <v>141812576.22</v>
      </c>
      <c r="E308" s="189">
        <v>301733245.82999998</v>
      </c>
      <c r="F308" s="200"/>
      <c r="G308" s="209"/>
      <c r="H308" s="196"/>
      <c r="I308" s="207">
        <f t="shared" ref="I308:N308" si="20">SUM(I309:I316)</f>
        <v>89617378.439999998</v>
      </c>
      <c r="J308" s="207">
        <f t="shared" si="20"/>
        <v>81164098.439999998</v>
      </c>
      <c r="K308" s="207">
        <f t="shared" si="20"/>
        <v>8453280</v>
      </c>
      <c r="L308" s="207">
        <f t="shared" si="20"/>
        <v>0</v>
      </c>
      <c r="M308" s="207">
        <f t="shared" si="20"/>
        <v>0</v>
      </c>
      <c r="N308" s="207">
        <f t="shared" si="20"/>
        <v>212115867.38999999</v>
      </c>
      <c r="O308" s="272"/>
      <c r="P308" s="294"/>
      <c r="Q308" s="134"/>
      <c r="R308" s="83"/>
      <c r="S308" s="87"/>
      <c r="T308" s="87"/>
      <c r="U308" s="87"/>
    </row>
    <row r="309" spans="1:21" s="88" customFormat="1" ht="12.75" x14ac:dyDescent="0.2">
      <c r="A309" s="273"/>
      <c r="B309" s="199"/>
      <c r="C309" s="189"/>
      <c r="D309" s="189"/>
      <c r="E309" s="189"/>
      <c r="F309" s="200" t="s">
        <v>201</v>
      </c>
      <c r="G309" s="195" t="s">
        <v>295</v>
      </c>
      <c r="H309" s="196" t="s">
        <v>90</v>
      </c>
      <c r="I309" s="197">
        <v>0</v>
      </c>
      <c r="J309" s="197">
        <f>+I309</f>
        <v>0</v>
      </c>
      <c r="K309" s="197"/>
      <c r="L309" s="197"/>
      <c r="M309" s="197"/>
      <c r="N309" s="197">
        <f>50487523.67-I309</f>
        <v>50487523.670000002</v>
      </c>
      <c r="O309" s="272"/>
      <c r="P309" s="294"/>
      <c r="Q309" s="134"/>
      <c r="R309" s="83"/>
    </row>
    <row r="310" spans="1:21" s="88" customFormat="1" ht="12.75" x14ac:dyDescent="0.2">
      <c r="A310" s="273"/>
      <c r="B310" s="199"/>
      <c r="C310" s="189"/>
      <c r="D310" s="189"/>
      <c r="E310" s="189"/>
      <c r="F310" s="200"/>
      <c r="G310" s="195"/>
      <c r="H310" s="196"/>
      <c r="I310" s="197"/>
      <c r="J310" s="197"/>
      <c r="K310" s="197"/>
      <c r="L310" s="197"/>
      <c r="M310" s="197"/>
      <c r="N310" s="197"/>
      <c r="O310" s="272"/>
      <c r="P310" s="294"/>
      <c r="Q310" s="134"/>
      <c r="R310" s="83"/>
    </row>
    <row r="311" spans="1:21" s="88" customFormat="1" ht="12.75" x14ac:dyDescent="0.2">
      <c r="A311" s="273"/>
      <c r="B311" s="199"/>
      <c r="C311" s="189"/>
      <c r="D311" s="189"/>
      <c r="E311" s="189"/>
      <c r="F311" s="200" t="s">
        <v>189</v>
      </c>
      <c r="G311" s="195" t="s">
        <v>286</v>
      </c>
      <c r="H311" s="196" t="s">
        <v>90</v>
      </c>
      <c r="I311" s="197">
        <f>78800901.31-I252</f>
        <v>69510654.010000005</v>
      </c>
      <c r="J311" s="197">
        <f>+I311</f>
        <v>69510654.010000005</v>
      </c>
      <c r="K311" s="197"/>
      <c r="L311" s="197"/>
      <c r="M311" s="197"/>
      <c r="N311" s="197">
        <f>61683983.83-I311+6422679.52+909182+494808.66</f>
        <v>-7.6252035796642303E-9</v>
      </c>
      <c r="O311" s="272"/>
      <c r="P311" s="294"/>
      <c r="Q311" s="134"/>
      <c r="R311" s="83"/>
    </row>
    <row r="312" spans="1:21" s="88" customFormat="1" ht="12.75" x14ac:dyDescent="0.2">
      <c r="A312" s="273"/>
      <c r="B312" s="199"/>
      <c r="C312" s="189"/>
      <c r="D312" s="189"/>
      <c r="E312" s="189"/>
      <c r="F312" s="200"/>
      <c r="G312" s="195"/>
      <c r="H312" s="196" t="s">
        <v>91</v>
      </c>
      <c r="I312" s="197">
        <v>5761889.1900000004</v>
      </c>
      <c r="J312" s="197">
        <f>+I312</f>
        <v>5761889.1900000004</v>
      </c>
      <c r="K312" s="197"/>
      <c r="L312" s="197"/>
      <c r="M312" s="197"/>
      <c r="N312" s="197">
        <f>12184568.71-I312-6422679.52</f>
        <v>0</v>
      </c>
      <c r="O312" s="272"/>
      <c r="P312" s="294"/>
      <c r="Q312" s="134"/>
      <c r="R312" s="83"/>
    </row>
    <row r="313" spans="1:21" s="88" customFormat="1" ht="12.75" x14ac:dyDescent="0.2">
      <c r="A313" s="273"/>
      <c r="B313" s="199"/>
      <c r="C313" s="189"/>
      <c r="D313" s="189"/>
      <c r="E313" s="189"/>
      <c r="F313" s="200"/>
      <c r="G313" s="195"/>
      <c r="H313" s="196" t="s">
        <v>92</v>
      </c>
      <c r="I313" s="197">
        <v>1507318</v>
      </c>
      <c r="J313" s="197">
        <f>+I313</f>
        <v>1507318</v>
      </c>
      <c r="K313" s="197"/>
      <c r="L313" s="197"/>
      <c r="M313" s="197"/>
      <c r="N313" s="197">
        <f>2416500-I313-909182</f>
        <v>0</v>
      </c>
      <c r="O313" s="272"/>
      <c r="P313" s="294"/>
      <c r="Q313" s="134"/>
      <c r="R313" s="83"/>
    </row>
    <row r="314" spans="1:21" s="88" customFormat="1" ht="12.75" x14ac:dyDescent="0.2">
      <c r="A314" s="273"/>
      <c r="B314" s="199"/>
      <c r="C314" s="189"/>
      <c r="D314" s="189"/>
      <c r="E314" s="189"/>
      <c r="F314" s="200"/>
      <c r="G314" s="195"/>
      <c r="H314" s="196" t="s">
        <v>94</v>
      </c>
      <c r="I314" s="197">
        <v>8453280</v>
      </c>
      <c r="J314" s="197"/>
      <c r="K314" s="197">
        <f>+I314</f>
        <v>8453280</v>
      </c>
      <c r="L314" s="197"/>
      <c r="M314" s="197"/>
      <c r="N314" s="197">
        <f>12540000-I314-494808.66-1884237.23</f>
        <v>1707674.1099999999</v>
      </c>
      <c r="O314" s="272"/>
      <c r="P314" s="294"/>
      <c r="Q314" s="134"/>
      <c r="R314" s="83"/>
    </row>
    <row r="315" spans="1:21" s="88" customFormat="1" ht="12.75" x14ac:dyDescent="0.2">
      <c r="A315" s="273"/>
      <c r="B315" s="199"/>
      <c r="C315" s="189"/>
      <c r="D315" s="189"/>
      <c r="E315" s="189"/>
      <c r="F315" s="200"/>
      <c r="G315" s="195"/>
      <c r="H315" s="196" t="s">
        <v>95</v>
      </c>
      <c r="I315" s="197">
        <v>4384237.24</v>
      </c>
      <c r="J315" s="197">
        <f>+I315</f>
        <v>4384237.24</v>
      </c>
      <c r="K315" s="197"/>
      <c r="L315" s="197"/>
      <c r="M315" s="197"/>
      <c r="N315" s="197">
        <f>2500000-I315+1884237.24</f>
        <v>0</v>
      </c>
      <c r="O315" s="272"/>
      <c r="P315" s="294"/>
      <c r="Q315" s="134"/>
      <c r="R315" s="83"/>
    </row>
    <row r="316" spans="1:21" s="88" customFormat="1" ht="12.75" x14ac:dyDescent="0.2">
      <c r="A316" s="273"/>
      <c r="B316" s="199"/>
      <c r="C316" s="189"/>
      <c r="D316" s="189"/>
      <c r="E316" s="189"/>
      <c r="F316" s="200"/>
      <c r="G316" s="209" t="s">
        <v>265</v>
      </c>
      <c r="H316" s="196"/>
      <c r="I316" s="197"/>
      <c r="J316" s="197"/>
      <c r="K316" s="197"/>
      <c r="L316" s="197"/>
      <c r="M316" s="197"/>
      <c r="N316" s="197">
        <f>+E308-D308</f>
        <v>159920669.60999998</v>
      </c>
      <c r="O316" s="272"/>
      <c r="P316" s="294"/>
      <c r="Q316" s="134"/>
      <c r="R316" s="83"/>
    </row>
    <row r="317" spans="1:21" s="96" customFormat="1" ht="12.75" x14ac:dyDescent="0.2">
      <c r="A317" s="268"/>
      <c r="B317" s="177"/>
      <c r="C317" s="178"/>
      <c r="D317" s="178"/>
      <c r="E317" s="178"/>
      <c r="F317" s="179"/>
      <c r="G317" s="180"/>
      <c r="H317" s="181"/>
      <c r="I317" s="182"/>
      <c r="J317" s="182"/>
      <c r="K317" s="182"/>
      <c r="L317" s="182"/>
      <c r="M317" s="182"/>
      <c r="N317" s="183"/>
      <c r="O317" s="269"/>
      <c r="P317" s="294"/>
      <c r="Q317" s="138"/>
      <c r="R317" s="317"/>
    </row>
    <row r="318" spans="1:21" s="88" customFormat="1" ht="12.75" x14ac:dyDescent="0.2">
      <c r="A318" s="92" t="s">
        <v>308</v>
      </c>
      <c r="B318" s="101" t="s">
        <v>309</v>
      </c>
      <c r="C318" s="189"/>
      <c r="D318" s="189">
        <v>475000000</v>
      </c>
      <c r="E318" s="189">
        <v>717473723.61000001</v>
      </c>
      <c r="F318" s="200"/>
      <c r="G318" s="209"/>
      <c r="H318" s="196"/>
      <c r="I318" s="207">
        <f t="shared" ref="I318:N318" si="21">SUM(I319:I322)</f>
        <v>475000000</v>
      </c>
      <c r="J318" s="207">
        <f t="shared" si="21"/>
        <v>475000000</v>
      </c>
      <c r="K318" s="207">
        <f t="shared" si="21"/>
        <v>0</v>
      </c>
      <c r="L318" s="207">
        <f t="shared" si="21"/>
        <v>0</v>
      </c>
      <c r="M318" s="207">
        <f t="shared" si="21"/>
        <v>0</v>
      </c>
      <c r="N318" s="207">
        <f t="shared" si="21"/>
        <v>242473723.61000001</v>
      </c>
      <c r="O318" s="272"/>
      <c r="P318" s="294"/>
      <c r="Q318" s="134"/>
      <c r="R318" s="83"/>
      <c r="S318" s="87"/>
      <c r="T318" s="87"/>
      <c r="U318" s="87"/>
    </row>
    <row r="319" spans="1:21" s="88" customFormat="1" ht="12.75" x14ac:dyDescent="0.2">
      <c r="A319" s="273"/>
      <c r="B319" s="199"/>
      <c r="C319" s="189"/>
      <c r="D319" s="189"/>
      <c r="E319" s="189"/>
      <c r="F319" s="200" t="s">
        <v>201</v>
      </c>
      <c r="G319" s="195" t="s">
        <v>310</v>
      </c>
      <c r="H319" s="196" t="s">
        <v>95</v>
      </c>
      <c r="I319" s="197">
        <v>129395179.31</v>
      </c>
      <c r="J319" s="197">
        <f>+I319</f>
        <v>129395179.31</v>
      </c>
      <c r="K319" s="197"/>
      <c r="L319" s="197"/>
      <c r="M319" s="197"/>
      <c r="N319" s="197"/>
      <c r="O319" s="272"/>
      <c r="P319" s="294"/>
      <c r="Q319" s="134"/>
      <c r="R319" s="83"/>
    </row>
    <row r="320" spans="1:21" s="88" customFormat="1" ht="12.75" x14ac:dyDescent="0.2">
      <c r="A320" s="273"/>
      <c r="B320" s="199"/>
      <c r="C320" s="189"/>
      <c r="D320" s="189"/>
      <c r="E320" s="189"/>
      <c r="F320" s="200"/>
      <c r="G320" s="195"/>
      <c r="H320" s="196"/>
      <c r="I320" s="197"/>
      <c r="J320" s="197"/>
      <c r="K320" s="197"/>
      <c r="L320" s="197"/>
      <c r="M320" s="197"/>
      <c r="N320" s="197"/>
      <c r="O320" s="272"/>
      <c r="P320" s="294"/>
      <c r="Q320" s="134"/>
      <c r="R320" s="83"/>
    </row>
    <row r="321" spans="1:21" s="88" customFormat="1" ht="12.75" x14ac:dyDescent="0.2">
      <c r="A321" s="273"/>
      <c r="B321" s="199"/>
      <c r="C321" s="189"/>
      <c r="D321" s="189"/>
      <c r="E321" s="189"/>
      <c r="F321" s="200" t="s">
        <v>201</v>
      </c>
      <c r="G321" s="195" t="s">
        <v>235</v>
      </c>
      <c r="H321" s="196" t="s">
        <v>95</v>
      </c>
      <c r="I321" s="197">
        <v>345604820.69</v>
      </c>
      <c r="J321" s="197">
        <f>+I321</f>
        <v>345604820.69</v>
      </c>
      <c r="K321" s="197"/>
      <c r="L321" s="197"/>
      <c r="M321" s="197"/>
      <c r="N321" s="197"/>
      <c r="O321" s="272"/>
      <c r="P321" s="294"/>
      <c r="Q321" s="134"/>
      <c r="R321" s="83"/>
    </row>
    <row r="322" spans="1:21" s="88" customFormat="1" ht="12.75" x14ac:dyDescent="0.2">
      <c r="A322" s="273"/>
      <c r="B322" s="199"/>
      <c r="C322" s="189"/>
      <c r="D322" s="189"/>
      <c r="E322" s="189"/>
      <c r="F322" s="200" t="s">
        <v>265</v>
      </c>
      <c r="G322" s="195"/>
      <c r="H322" s="196"/>
      <c r="I322" s="197"/>
      <c r="J322" s="197"/>
      <c r="K322" s="197"/>
      <c r="L322" s="197"/>
      <c r="M322" s="197"/>
      <c r="N322" s="197">
        <f>+E318-D318</f>
        <v>242473723.61000001</v>
      </c>
      <c r="O322" s="272"/>
      <c r="P322" s="294"/>
      <c r="Q322" s="134"/>
      <c r="R322" s="83"/>
    </row>
    <row r="323" spans="1:21" s="96" customFormat="1" ht="12.75" x14ac:dyDescent="0.2">
      <c r="A323" s="268"/>
      <c r="B323" s="177"/>
      <c r="C323" s="178"/>
      <c r="D323" s="178"/>
      <c r="E323" s="178"/>
      <c r="F323" s="179"/>
      <c r="G323" s="180"/>
      <c r="H323" s="181"/>
      <c r="I323" s="182"/>
      <c r="J323" s="182"/>
      <c r="K323" s="182"/>
      <c r="L323" s="182"/>
      <c r="M323" s="182"/>
      <c r="N323" s="183"/>
      <c r="O323" s="269"/>
      <c r="P323" s="294"/>
      <c r="Q323" s="138"/>
      <c r="R323" s="317"/>
    </row>
    <row r="324" spans="1:21" s="98" customFormat="1" ht="12.75" x14ac:dyDescent="0.2">
      <c r="A324" s="92" t="s">
        <v>314</v>
      </c>
      <c r="B324" s="101" t="s">
        <v>315</v>
      </c>
      <c r="C324" s="189"/>
      <c r="D324" s="189">
        <v>0</v>
      </c>
      <c r="E324" s="189">
        <v>160339101.97</v>
      </c>
      <c r="F324" s="200"/>
      <c r="G324" s="209"/>
      <c r="H324" s="196"/>
      <c r="I324" s="207">
        <f t="shared" ref="I324:N324" si="22">SUM(I325:I325)</f>
        <v>0</v>
      </c>
      <c r="J324" s="207">
        <f t="shared" si="22"/>
        <v>0</v>
      </c>
      <c r="K324" s="207">
        <f t="shared" si="22"/>
        <v>0</v>
      </c>
      <c r="L324" s="207">
        <f t="shared" si="22"/>
        <v>0</v>
      </c>
      <c r="M324" s="207">
        <f t="shared" si="22"/>
        <v>0</v>
      </c>
      <c r="N324" s="207">
        <f t="shared" si="22"/>
        <v>160339101.97</v>
      </c>
      <c r="O324" s="272"/>
      <c r="P324" s="294"/>
      <c r="Q324" s="134"/>
      <c r="R324" s="83"/>
      <c r="S324" s="87"/>
      <c r="T324" s="87"/>
      <c r="U324" s="87"/>
    </row>
    <row r="325" spans="1:21" s="98" customFormat="1" ht="12.75" x14ac:dyDescent="0.2">
      <c r="A325" s="273"/>
      <c r="B325" s="199"/>
      <c r="C325" s="189"/>
      <c r="D325" s="189"/>
      <c r="E325" s="189"/>
      <c r="F325" s="200" t="s">
        <v>265</v>
      </c>
      <c r="G325" s="195"/>
      <c r="H325" s="196"/>
      <c r="I325" s="197"/>
      <c r="J325" s="197"/>
      <c r="K325" s="197"/>
      <c r="L325" s="197"/>
      <c r="M325" s="197"/>
      <c r="N325" s="197">
        <f>+E324</f>
        <v>160339101.97</v>
      </c>
      <c r="O325" s="272"/>
      <c r="P325" s="294"/>
      <c r="Q325" s="134"/>
      <c r="R325" s="83"/>
    </row>
    <row r="326" spans="1:21" s="98" customFormat="1" ht="12.75" x14ac:dyDescent="0.2">
      <c r="A326" s="273"/>
      <c r="B326" s="199"/>
      <c r="C326" s="189"/>
      <c r="D326" s="189"/>
      <c r="E326" s="189"/>
      <c r="F326" s="200"/>
      <c r="G326" s="195"/>
      <c r="H326" s="196"/>
      <c r="I326" s="197"/>
      <c r="J326" s="197"/>
      <c r="K326" s="197"/>
      <c r="L326" s="197"/>
      <c r="M326" s="197"/>
      <c r="N326" s="197"/>
      <c r="O326" s="272"/>
      <c r="P326" s="294"/>
      <c r="Q326" s="134"/>
      <c r="R326" s="83"/>
    </row>
    <row r="327" spans="1:21" s="96" customFormat="1" ht="12.75" x14ac:dyDescent="0.2">
      <c r="A327" s="268"/>
      <c r="B327" s="177"/>
      <c r="C327" s="178"/>
      <c r="D327" s="178"/>
      <c r="E327" s="178"/>
      <c r="F327" s="179"/>
      <c r="G327" s="180"/>
      <c r="H327" s="181"/>
      <c r="I327" s="182"/>
      <c r="J327" s="182"/>
      <c r="K327" s="182"/>
      <c r="L327" s="182"/>
      <c r="M327" s="182"/>
      <c r="N327" s="183"/>
      <c r="O327" s="269"/>
      <c r="P327" s="294"/>
      <c r="Q327" s="138"/>
      <c r="R327" s="317"/>
    </row>
    <row r="328" spans="1:21" s="88" customFormat="1" ht="12.75" x14ac:dyDescent="0.2">
      <c r="A328" s="277" t="s">
        <v>311</v>
      </c>
      <c r="B328" s="224" t="s">
        <v>312</v>
      </c>
      <c r="C328" s="225" t="s">
        <v>313</v>
      </c>
      <c r="D328" s="212">
        <v>103200000</v>
      </c>
      <c r="E328" s="149">
        <v>61598011.43</v>
      </c>
      <c r="F328" s="166"/>
      <c r="G328" s="110"/>
      <c r="H328" s="153"/>
      <c r="I328" s="154">
        <f t="shared" ref="I328:N328" si="23">SUM(I329:I331)</f>
        <v>61598011.429999992</v>
      </c>
      <c r="J328" s="154">
        <f t="shared" si="23"/>
        <v>61598011.429999992</v>
      </c>
      <c r="K328" s="154">
        <f t="shared" si="23"/>
        <v>0</v>
      </c>
      <c r="L328" s="154">
        <f t="shared" si="23"/>
        <v>0</v>
      </c>
      <c r="M328" s="154">
        <f t="shared" si="23"/>
        <v>0</v>
      </c>
      <c r="N328" s="154">
        <f t="shared" si="23"/>
        <v>0</v>
      </c>
      <c r="O328" s="263"/>
      <c r="P328" s="294"/>
      <c r="Q328" s="134"/>
      <c r="R328" s="83"/>
      <c r="S328" s="87"/>
      <c r="T328" s="87"/>
      <c r="U328" s="87"/>
    </row>
    <row r="329" spans="1:21" s="88" customFormat="1" ht="12.75" x14ac:dyDescent="0.2">
      <c r="A329" s="265"/>
      <c r="B329" s="163"/>
      <c r="C329" s="149"/>
      <c r="D329" s="149"/>
      <c r="E329" s="149"/>
      <c r="F329" s="149" t="s">
        <v>316</v>
      </c>
      <c r="G329" s="110" t="s">
        <v>223</v>
      </c>
      <c r="H329" s="153" t="s">
        <v>90</v>
      </c>
      <c r="I329" s="151">
        <f>215311423.84-I43</f>
        <v>53478323.00999999</v>
      </c>
      <c r="J329" s="151">
        <f>+I329</f>
        <v>53478323.00999999</v>
      </c>
      <c r="K329" s="151"/>
      <c r="L329" s="151"/>
      <c r="M329" s="151"/>
      <c r="N329" s="151">
        <v>0</v>
      </c>
      <c r="O329" s="263"/>
      <c r="P329" s="294"/>
      <c r="Q329" s="134"/>
      <c r="R329" s="83"/>
    </row>
    <row r="330" spans="1:21" s="88" customFormat="1" ht="12.75" x14ac:dyDescent="0.2">
      <c r="A330" s="265"/>
      <c r="B330" s="163"/>
      <c r="C330" s="149"/>
      <c r="D330" s="149"/>
      <c r="E330" s="149"/>
      <c r="F330" s="166"/>
      <c r="G330" s="110"/>
      <c r="H330" s="153" t="s">
        <v>91</v>
      </c>
      <c r="I330" s="151">
        <v>1827801.44</v>
      </c>
      <c r="J330" s="151">
        <f>+I330</f>
        <v>1827801.44</v>
      </c>
      <c r="K330" s="151"/>
      <c r="L330" s="151"/>
      <c r="M330" s="151"/>
      <c r="N330" s="151"/>
      <c r="O330" s="263"/>
      <c r="P330" s="294"/>
      <c r="Q330" s="134"/>
      <c r="R330" s="83"/>
    </row>
    <row r="331" spans="1:21" s="88" customFormat="1" ht="12.75" x14ac:dyDescent="0.2">
      <c r="A331" s="265"/>
      <c r="B331" s="163"/>
      <c r="C331" s="149"/>
      <c r="D331" s="149"/>
      <c r="E331" s="149"/>
      <c r="F331" s="166"/>
      <c r="G331" s="110"/>
      <c r="H331" s="153" t="s">
        <v>95</v>
      </c>
      <c r="I331" s="151">
        <v>6291886.9800000004</v>
      </c>
      <c r="J331" s="151">
        <f>+I331</f>
        <v>6291886.9800000004</v>
      </c>
      <c r="K331" s="151"/>
      <c r="L331" s="151"/>
      <c r="M331" s="151"/>
      <c r="N331" s="151"/>
      <c r="O331" s="263"/>
      <c r="P331" s="294"/>
      <c r="Q331" s="134"/>
      <c r="R331" s="83"/>
    </row>
    <row r="332" spans="1:21" s="96" customFormat="1" ht="12.75" x14ac:dyDescent="0.2">
      <c r="A332" s="268"/>
      <c r="B332" s="177"/>
      <c r="C332" s="178"/>
      <c r="D332" s="178"/>
      <c r="E332" s="178"/>
      <c r="F332" s="179"/>
      <c r="G332" s="180"/>
      <c r="H332" s="181"/>
      <c r="I332" s="182"/>
      <c r="J332" s="182"/>
      <c r="K332" s="182"/>
      <c r="L332" s="182"/>
      <c r="M332" s="182"/>
      <c r="N332" s="183"/>
      <c r="O332" s="269"/>
      <c r="P332" s="294"/>
      <c r="Q332" s="138"/>
      <c r="R332" s="317"/>
    </row>
    <row r="333" spans="1:21" s="98" customFormat="1" ht="25.5" x14ac:dyDescent="0.2">
      <c r="A333" s="92" t="s">
        <v>318</v>
      </c>
      <c r="B333" s="101" t="s">
        <v>319</v>
      </c>
      <c r="C333" s="189" t="s">
        <v>320</v>
      </c>
      <c r="D333" s="189">
        <v>68564775.730000004</v>
      </c>
      <c r="E333" s="189">
        <v>94774583.280000001</v>
      </c>
      <c r="F333" s="200"/>
      <c r="G333" s="209"/>
      <c r="H333" s="196"/>
      <c r="I333" s="207">
        <f>SUM(I334:I334)</f>
        <v>0</v>
      </c>
      <c r="J333" s="207">
        <f>SUM(J334:J334)</f>
        <v>0</v>
      </c>
      <c r="K333" s="207">
        <f>SUM(K334:K334)</f>
        <v>0</v>
      </c>
      <c r="L333" s="207">
        <f>SUM(L334:L334)</f>
        <v>0</v>
      </c>
      <c r="M333" s="207">
        <f>SUM(M334:M334)</f>
        <v>0</v>
      </c>
      <c r="N333" s="207">
        <f>SUM(N334:N335)</f>
        <v>94774583.280000001</v>
      </c>
      <c r="O333" s="274">
        <f>SUM(O334:O334)</f>
        <v>0</v>
      </c>
      <c r="P333" s="298"/>
      <c r="Q333" s="134"/>
      <c r="R333" s="83"/>
      <c r="S333" s="87"/>
      <c r="T333" s="87"/>
      <c r="U333" s="87"/>
    </row>
    <row r="334" spans="1:21" s="98" customFormat="1" ht="12.75" x14ac:dyDescent="0.2">
      <c r="A334" s="273"/>
      <c r="B334" s="199"/>
      <c r="C334" s="189"/>
      <c r="D334" s="189"/>
      <c r="E334" s="189"/>
      <c r="F334" s="200" t="s">
        <v>200</v>
      </c>
      <c r="G334" s="195" t="s">
        <v>250</v>
      </c>
      <c r="H334" s="196" t="s">
        <v>90</v>
      </c>
      <c r="I334" s="197"/>
      <c r="J334" s="197"/>
      <c r="K334" s="197"/>
      <c r="L334" s="197"/>
      <c r="M334" s="197"/>
      <c r="N334" s="197">
        <v>68564775.730000004</v>
      </c>
      <c r="O334" s="272"/>
      <c r="P334" s="294"/>
      <c r="Q334" s="134"/>
      <c r="R334" s="83"/>
    </row>
    <row r="335" spans="1:21" s="98" customFormat="1" ht="12.75" x14ac:dyDescent="0.2">
      <c r="A335" s="273"/>
      <c r="B335" s="199"/>
      <c r="C335" s="189"/>
      <c r="D335" s="189"/>
      <c r="E335" s="189"/>
      <c r="F335" s="200" t="s">
        <v>265</v>
      </c>
      <c r="G335" s="195"/>
      <c r="H335" s="196"/>
      <c r="I335" s="197"/>
      <c r="J335" s="197"/>
      <c r="K335" s="197"/>
      <c r="L335" s="197"/>
      <c r="M335" s="197"/>
      <c r="N335" s="197">
        <f>+E333-D333</f>
        <v>26209807.549999997</v>
      </c>
      <c r="O335" s="272"/>
      <c r="P335" s="294"/>
      <c r="Q335" s="134"/>
      <c r="R335" s="83"/>
    </row>
    <row r="336" spans="1:21" s="96" customFormat="1" ht="12.75" x14ac:dyDescent="0.2">
      <c r="A336" s="268"/>
      <c r="B336" s="177"/>
      <c r="C336" s="178"/>
      <c r="D336" s="178"/>
      <c r="E336" s="178"/>
      <c r="F336" s="179"/>
      <c r="G336" s="180"/>
      <c r="H336" s="181"/>
      <c r="I336" s="182"/>
      <c r="J336" s="182"/>
      <c r="K336" s="182"/>
      <c r="L336" s="182"/>
      <c r="M336" s="182"/>
      <c r="N336" s="183"/>
      <c r="O336" s="269"/>
      <c r="P336" s="294"/>
      <c r="Q336" s="138"/>
      <c r="R336" s="317"/>
    </row>
    <row r="337" spans="1:21" s="88" customFormat="1" ht="12.75" x14ac:dyDescent="0.2">
      <c r="A337" s="277" t="s">
        <v>321</v>
      </c>
      <c r="B337" s="224" t="s">
        <v>322</v>
      </c>
      <c r="C337" s="149"/>
      <c r="D337" s="149">
        <v>3000000</v>
      </c>
      <c r="E337" s="149">
        <v>8137752.4800000004</v>
      </c>
      <c r="F337" s="166"/>
      <c r="G337" s="110"/>
      <c r="H337" s="153"/>
      <c r="I337" s="154">
        <f t="shared" ref="I337:N337" si="24">SUM(I338:I339)</f>
        <v>0</v>
      </c>
      <c r="J337" s="154">
        <f t="shared" si="24"/>
        <v>0</v>
      </c>
      <c r="K337" s="154">
        <f t="shared" si="24"/>
        <v>0</v>
      </c>
      <c r="L337" s="154">
        <f t="shared" si="24"/>
        <v>0</v>
      </c>
      <c r="M337" s="154">
        <f t="shared" si="24"/>
        <v>0</v>
      </c>
      <c r="N337" s="154">
        <f t="shared" si="24"/>
        <v>8137752.4800000004</v>
      </c>
      <c r="O337" s="263"/>
      <c r="P337" s="294"/>
      <c r="Q337" s="134"/>
      <c r="R337" s="83"/>
      <c r="S337" s="87"/>
      <c r="T337" s="87"/>
      <c r="U337" s="87"/>
    </row>
    <row r="338" spans="1:21" s="88" customFormat="1" ht="12.75" x14ac:dyDescent="0.2">
      <c r="A338" s="265"/>
      <c r="B338" s="163"/>
      <c r="C338" s="149"/>
      <c r="D338" s="149"/>
      <c r="E338" s="149"/>
      <c r="F338" s="166" t="s">
        <v>251</v>
      </c>
      <c r="G338" s="110" t="s">
        <v>323</v>
      </c>
      <c r="H338" s="153" t="s">
        <v>95</v>
      </c>
      <c r="I338" s="151">
        <v>0</v>
      </c>
      <c r="J338" s="151">
        <f>+I338</f>
        <v>0</v>
      </c>
      <c r="K338" s="151"/>
      <c r="L338" s="151"/>
      <c r="M338" s="151"/>
      <c r="N338" s="176">
        <v>3000000</v>
      </c>
      <c r="O338" s="263"/>
      <c r="P338" s="294"/>
      <c r="Q338" s="134"/>
      <c r="R338" s="83"/>
    </row>
    <row r="339" spans="1:21" s="88" customFormat="1" ht="12.75" x14ac:dyDescent="0.2">
      <c r="A339" s="265"/>
      <c r="B339" s="163"/>
      <c r="C339" s="149"/>
      <c r="D339" s="149"/>
      <c r="E339" s="149"/>
      <c r="F339" s="166"/>
      <c r="G339" s="110"/>
      <c r="H339" s="153"/>
      <c r="I339" s="151"/>
      <c r="J339" s="151"/>
      <c r="K339" s="151"/>
      <c r="L339" s="151"/>
      <c r="M339" s="151"/>
      <c r="N339" s="176">
        <f>+E337-D337</f>
        <v>5137752.4800000004</v>
      </c>
      <c r="O339" s="263"/>
      <c r="P339" s="294"/>
      <c r="Q339" s="134"/>
      <c r="R339" s="83"/>
    </row>
    <row r="340" spans="1:21" s="96" customFormat="1" ht="12.75" x14ac:dyDescent="0.2">
      <c r="A340" s="268"/>
      <c r="B340" s="177"/>
      <c r="C340" s="178"/>
      <c r="D340" s="178"/>
      <c r="E340" s="178"/>
      <c r="F340" s="179"/>
      <c r="G340" s="180"/>
      <c r="H340" s="181"/>
      <c r="I340" s="182"/>
      <c r="J340" s="182"/>
      <c r="K340" s="182"/>
      <c r="L340" s="182"/>
      <c r="M340" s="182"/>
      <c r="N340" s="183"/>
      <c r="O340" s="269"/>
      <c r="P340" s="294"/>
      <c r="Q340" s="138"/>
      <c r="R340" s="317"/>
    </row>
    <row r="341" spans="1:21" s="88" customFormat="1" ht="25.5" x14ac:dyDescent="0.2">
      <c r="A341" s="277" t="s">
        <v>324</v>
      </c>
      <c r="B341" s="225" t="s">
        <v>325</v>
      </c>
      <c r="C341" s="225" t="s">
        <v>326</v>
      </c>
      <c r="D341" s="149">
        <v>1073302108</v>
      </c>
      <c r="E341" s="149">
        <v>1073302108</v>
      </c>
      <c r="F341" s="166"/>
      <c r="G341" s="110"/>
      <c r="H341" s="153"/>
      <c r="I341" s="154">
        <f t="shared" ref="I341:N341" si="25">SUM(I342:I343)</f>
        <v>1073302108</v>
      </c>
      <c r="J341" s="154">
        <f t="shared" si="25"/>
        <v>0</v>
      </c>
      <c r="K341" s="154">
        <f t="shared" si="25"/>
        <v>1073302108</v>
      </c>
      <c r="L341" s="154">
        <f t="shared" si="25"/>
        <v>0</v>
      </c>
      <c r="M341" s="154">
        <f t="shared" si="25"/>
        <v>0</v>
      </c>
      <c r="N341" s="154">
        <f t="shared" si="25"/>
        <v>0</v>
      </c>
      <c r="O341" s="263"/>
      <c r="P341" s="294"/>
      <c r="Q341" s="134"/>
      <c r="R341" s="83"/>
      <c r="S341" s="87"/>
      <c r="T341" s="87"/>
      <c r="U341" s="87"/>
    </row>
    <row r="342" spans="1:21" s="88" customFormat="1" ht="12.75" x14ac:dyDescent="0.2">
      <c r="A342" s="265"/>
      <c r="B342" s="163"/>
      <c r="C342" s="149"/>
      <c r="D342" s="149"/>
      <c r="E342" s="149"/>
      <c r="F342" s="153" t="s">
        <v>133</v>
      </c>
      <c r="G342" s="225" t="s">
        <v>367</v>
      </c>
      <c r="H342" s="153" t="s">
        <v>94</v>
      </c>
      <c r="I342" s="151">
        <v>1073302108</v>
      </c>
      <c r="J342" s="151"/>
      <c r="K342" s="151">
        <f>+I342</f>
        <v>1073302108</v>
      </c>
      <c r="L342" s="151"/>
      <c r="M342" s="151"/>
      <c r="N342" s="151">
        <v>0</v>
      </c>
      <c r="O342" s="263"/>
      <c r="P342" s="294"/>
      <c r="Q342" s="134"/>
      <c r="R342" s="83"/>
    </row>
    <row r="343" spans="1:21" s="96" customFormat="1" ht="12.75" x14ac:dyDescent="0.2">
      <c r="A343" s="268"/>
      <c r="B343" s="177"/>
      <c r="C343" s="178"/>
      <c r="D343" s="178"/>
      <c r="E343" s="178"/>
      <c r="F343" s="179"/>
      <c r="G343" s="180"/>
      <c r="H343" s="181"/>
      <c r="I343" s="182"/>
      <c r="J343" s="182"/>
      <c r="K343" s="182"/>
      <c r="L343" s="182"/>
      <c r="M343" s="182"/>
      <c r="N343" s="183"/>
      <c r="O343" s="269"/>
      <c r="P343" s="294"/>
      <c r="Q343" s="138"/>
      <c r="R343" s="317"/>
    </row>
    <row r="344" spans="1:21" s="88" customFormat="1" ht="12.75" x14ac:dyDescent="0.2">
      <c r="A344" s="265" t="s">
        <v>327</v>
      </c>
      <c r="B344" s="225" t="s">
        <v>328</v>
      </c>
      <c r="C344" s="225" t="s">
        <v>329</v>
      </c>
      <c r="D344" s="212">
        <v>558720000</v>
      </c>
      <c r="E344" s="149">
        <v>558720000</v>
      </c>
      <c r="F344" s="166"/>
      <c r="G344" s="110"/>
      <c r="H344" s="153"/>
      <c r="I344" s="154">
        <f t="shared" ref="I344:N344" si="26">SUM(I345:I350)</f>
        <v>250457468.67000002</v>
      </c>
      <c r="J344" s="154">
        <f t="shared" si="26"/>
        <v>172901580.71000001</v>
      </c>
      <c r="K344" s="154">
        <f t="shared" si="26"/>
        <v>0</v>
      </c>
      <c r="L344" s="154">
        <f t="shared" si="26"/>
        <v>77555887.959999993</v>
      </c>
      <c r="M344" s="154">
        <f t="shared" si="26"/>
        <v>0</v>
      </c>
      <c r="N344" s="154">
        <f t="shared" si="26"/>
        <v>308262531.32999998</v>
      </c>
      <c r="O344" s="263"/>
      <c r="P344" s="294"/>
      <c r="Q344" s="134"/>
      <c r="R344" s="83"/>
      <c r="S344" s="87"/>
      <c r="T344" s="87"/>
      <c r="U344" s="87"/>
    </row>
    <row r="345" spans="1:21" s="98" customFormat="1" ht="12.75" x14ac:dyDescent="0.2">
      <c r="A345" s="265"/>
      <c r="B345" s="163"/>
      <c r="C345" s="149"/>
      <c r="D345" s="212"/>
      <c r="E345" s="149"/>
      <c r="F345" s="166" t="s">
        <v>261</v>
      </c>
      <c r="G345" s="110" t="s">
        <v>299</v>
      </c>
      <c r="H345" s="153" t="s">
        <v>97</v>
      </c>
      <c r="I345" s="151">
        <v>0</v>
      </c>
      <c r="J345" s="151"/>
      <c r="K345" s="151"/>
      <c r="L345" s="151"/>
      <c r="M345" s="151"/>
      <c r="N345" s="176">
        <v>8000000</v>
      </c>
      <c r="O345" s="263"/>
      <c r="P345" s="294"/>
      <c r="Q345" s="134"/>
      <c r="R345" s="83"/>
    </row>
    <row r="346" spans="1:21" s="98" customFormat="1" ht="12.75" x14ac:dyDescent="0.2">
      <c r="A346" s="265"/>
      <c r="B346" s="163"/>
      <c r="C346" s="149"/>
      <c r="D346" s="212"/>
      <c r="E346" s="149"/>
      <c r="F346" s="166"/>
      <c r="G346" s="110"/>
      <c r="H346" s="153"/>
      <c r="I346" s="151"/>
      <c r="J346" s="151"/>
      <c r="K346" s="151"/>
      <c r="L346" s="151"/>
      <c r="M346" s="151"/>
      <c r="N346" s="176"/>
      <c r="O346" s="263"/>
      <c r="P346" s="294"/>
      <c r="Q346" s="134"/>
      <c r="R346" s="83"/>
    </row>
    <row r="347" spans="1:21" s="88" customFormat="1" ht="12.75" x14ac:dyDescent="0.2">
      <c r="A347" s="265"/>
      <c r="B347" s="163"/>
      <c r="C347" s="149"/>
      <c r="D347" s="149"/>
      <c r="E347" s="149"/>
      <c r="F347" s="166" t="s">
        <v>182</v>
      </c>
      <c r="G347" s="110" t="s">
        <v>300</v>
      </c>
      <c r="H347" s="153" t="s">
        <v>93</v>
      </c>
      <c r="I347" s="151">
        <v>172901580.71000001</v>
      </c>
      <c r="J347" s="151">
        <f>+I347</f>
        <v>172901580.71000001</v>
      </c>
      <c r="K347" s="151"/>
      <c r="L347" s="151"/>
      <c r="M347" s="151"/>
      <c r="N347" s="210">
        <f>205372319.75-I347</f>
        <v>32470739.039999992</v>
      </c>
      <c r="O347" s="263"/>
      <c r="P347" s="294"/>
      <c r="Q347" s="134"/>
      <c r="R347" s="83"/>
    </row>
    <row r="348" spans="1:21" s="88" customFormat="1" ht="12.75" x14ac:dyDescent="0.2">
      <c r="A348" s="265"/>
      <c r="B348" s="163"/>
      <c r="C348" s="149"/>
      <c r="D348" s="149"/>
      <c r="E348" s="149"/>
      <c r="F348" s="166"/>
      <c r="G348" s="110"/>
      <c r="H348" s="153" t="s">
        <v>97</v>
      </c>
      <c r="I348" s="151">
        <v>77555887.959999993</v>
      </c>
      <c r="J348" s="151"/>
      <c r="K348" s="151"/>
      <c r="L348" s="151">
        <f>+I348</f>
        <v>77555887.959999993</v>
      </c>
      <c r="M348" s="151"/>
      <c r="N348" s="210">
        <f>86627680.25-I348</f>
        <v>9071792.2900000066</v>
      </c>
      <c r="O348" s="263"/>
      <c r="P348" s="294"/>
      <c r="Q348" s="134"/>
      <c r="R348" s="83"/>
    </row>
    <row r="349" spans="1:21" s="98" customFormat="1" ht="12.75" x14ac:dyDescent="0.2">
      <c r="A349" s="265"/>
      <c r="B349" s="163"/>
      <c r="C349" s="149"/>
      <c r="D349" s="149"/>
      <c r="E349" s="149"/>
      <c r="F349" s="166"/>
      <c r="G349" s="110"/>
      <c r="H349" s="153"/>
      <c r="I349" s="151"/>
      <c r="J349" s="151"/>
      <c r="K349" s="151"/>
      <c r="L349" s="151"/>
      <c r="M349" s="151"/>
      <c r="N349" s="210"/>
      <c r="O349" s="263"/>
      <c r="P349" s="294"/>
      <c r="Q349" s="134"/>
      <c r="R349" s="83"/>
    </row>
    <row r="350" spans="1:21" s="88" customFormat="1" ht="12.75" x14ac:dyDescent="0.2">
      <c r="A350" s="265"/>
      <c r="B350" s="163"/>
      <c r="C350" s="149"/>
      <c r="D350" s="149"/>
      <c r="E350" s="170"/>
      <c r="F350" s="149" t="s">
        <v>330</v>
      </c>
      <c r="G350" s="110" t="s">
        <v>331</v>
      </c>
      <c r="H350" s="153" t="s">
        <v>94</v>
      </c>
      <c r="I350" s="151">
        <v>0</v>
      </c>
      <c r="J350" s="151"/>
      <c r="K350" s="151"/>
      <c r="L350" s="151"/>
      <c r="M350" s="151"/>
      <c r="N350" s="176">
        <v>258720000</v>
      </c>
      <c r="O350" s="263"/>
      <c r="P350" s="294"/>
      <c r="Q350" s="134"/>
      <c r="R350" s="83"/>
    </row>
    <row r="351" spans="1:21" s="96" customFormat="1" ht="12.75" x14ac:dyDescent="0.2">
      <c r="A351" s="268"/>
      <c r="B351" s="177"/>
      <c r="C351" s="178"/>
      <c r="D351" s="178"/>
      <c r="E351" s="178"/>
      <c r="F351" s="179"/>
      <c r="G351" s="180"/>
      <c r="H351" s="181"/>
      <c r="I351" s="182"/>
      <c r="J351" s="182"/>
      <c r="K351" s="182"/>
      <c r="L351" s="182"/>
      <c r="M351" s="182"/>
      <c r="N351" s="183"/>
      <c r="O351" s="269"/>
      <c r="P351" s="294"/>
      <c r="Q351" s="138"/>
      <c r="R351" s="317"/>
    </row>
    <row r="352" spans="1:21" s="88" customFormat="1" ht="25.5" x14ac:dyDescent="0.2">
      <c r="A352" s="265" t="s">
        <v>332</v>
      </c>
      <c r="B352" s="225" t="s">
        <v>86</v>
      </c>
      <c r="C352" s="225" t="s">
        <v>86</v>
      </c>
      <c r="D352" s="149">
        <v>1200000000</v>
      </c>
      <c r="E352" s="149">
        <v>1200000000</v>
      </c>
      <c r="F352" s="166"/>
      <c r="G352" s="110"/>
      <c r="H352" s="153"/>
      <c r="I352" s="154">
        <f t="shared" ref="I352:N352" si="27">SUM(I353:I353)</f>
        <v>0</v>
      </c>
      <c r="J352" s="154">
        <f t="shared" si="27"/>
        <v>0</v>
      </c>
      <c r="K352" s="154">
        <f t="shared" si="27"/>
        <v>0</v>
      </c>
      <c r="L352" s="154">
        <f t="shared" si="27"/>
        <v>0</v>
      </c>
      <c r="M352" s="154">
        <f t="shared" si="27"/>
        <v>0</v>
      </c>
      <c r="N352" s="154">
        <f t="shared" si="27"/>
        <v>1200000000</v>
      </c>
      <c r="O352" s="263"/>
      <c r="P352" s="294"/>
      <c r="Q352" s="134"/>
      <c r="R352" s="83"/>
      <c r="S352" s="87"/>
      <c r="T352" s="87"/>
      <c r="U352" s="87"/>
    </row>
    <row r="353" spans="1:21" s="88" customFormat="1" ht="25.5" x14ac:dyDescent="0.2">
      <c r="A353" s="265"/>
      <c r="B353" s="163"/>
      <c r="C353" s="149"/>
      <c r="D353" s="149"/>
      <c r="E353" s="149"/>
      <c r="F353" s="166" t="s">
        <v>178</v>
      </c>
      <c r="G353" s="110" t="s">
        <v>333</v>
      </c>
      <c r="H353" s="153" t="s">
        <v>94</v>
      </c>
      <c r="I353" s="151">
        <v>0</v>
      </c>
      <c r="J353" s="151"/>
      <c r="K353" s="151"/>
      <c r="L353" s="151"/>
      <c r="M353" s="151"/>
      <c r="N353" s="176">
        <v>1200000000</v>
      </c>
      <c r="O353" s="263"/>
      <c r="P353" s="294"/>
      <c r="Q353" s="134"/>
      <c r="R353" s="83"/>
    </row>
    <row r="354" spans="1:21" s="96" customFormat="1" ht="12.75" x14ac:dyDescent="0.2">
      <c r="A354" s="268"/>
      <c r="B354" s="177"/>
      <c r="C354" s="178"/>
      <c r="D354" s="178"/>
      <c r="E354" s="178"/>
      <c r="F354" s="179"/>
      <c r="G354" s="180"/>
      <c r="H354" s="181"/>
      <c r="I354" s="182"/>
      <c r="J354" s="182"/>
      <c r="K354" s="182"/>
      <c r="L354" s="182"/>
      <c r="M354" s="182"/>
      <c r="N354" s="183"/>
      <c r="O354" s="269"/>
      <c r="P354" s="294"/>
      <c r="Q354" s="138"/>
      <c r="R354" s="317"/>
    </row>
    <row r="355" spans="1:21" s="102" customFormat="1" ht="25.5" x14ac:dyDescent="0.2">
      <c r="A355" s="277" t="s">
        <v>334</v>
      </c>
      <c r="B355" s="225" t="s">
        <v>335</v>
      </c>
      <c r="C355" s="225" t="s">
        <v>320</v>
      </c>
      <c r="D355" s="149">
        <v>23979905.52</v>
      </c>
      <c r="E355" s="149">
        <v>22810162.93</v>
      </c>
      <c r="F355" s="166"/>
      <c r="G355" s="110"/>
      <c r="H355" s="153"/>
      <c r="I355" s="154">
        <f t="shared" ref="I355:N355" si="28">SUM(I356:I356)</f>
        <v>22810162.93</v>
      </c>
      <c r="J355" s="154">
        <f t="shared" si="28"/>
        <v>0</v>
      </c>
      <c r="K355" s="154">
        <f t="shared" si="28"/>
        <v>22810162.93</v>
      </c>
      <c r="L355" s="154">
        <f t="shared" si="28"/>
        <v>0</v>
      </c>
      <c r="M355" s="154">
        <f t="shared" si="28"/>
        <v>0</v>
      </c>
      <c r="N355" s="154">
        <f t="shared" si="28"/>
        <v>0</v>
      </c>
      <c r="O355" s="263"/>
      <c r="P355" s="294"/>
      <c r="Q355" s="134"/>
      <c r="R355" s="83"/>
      <c r="S355" s="87"/>
      <c r="T355" s="87"/>
      <c r="U355" s="87"/>
    </row>
    <row r="356" spans="1:21" s="102" customFormat="1" ht="12.75" x14ac:dyDescent="0.2">
      <c r="A356" s="265"/>
      <c r="B356" s="163"/>
      <c r="C356" s="149"/>
      <c r="D356" s="149"/>
      <c r="E356" s="149"/>
      <c r="F356" s="166" t="s">
        <v>132</v>
      </c>
      <c r="G356" s="110" t="s">
        <v>228</v>
      </c>
      <c r="H356" s="153" t="s">
        <v>94</v>
      </c>
      <c r="I356" s="151">
        <v>22810162.93</v>
      </c>
      <c r="J356" s="151"/>
      <c r="K356" s="151">
        <f>+I356</f>
        <v>22810162.93</v>
      </c>
      <c r="L356" s="151"/>
      <c r="M356" s="151"/>
      <c r="N356" s="151"/>
      <c r="O356" s="263"/>
      <c r="P356" s="294"/>
      <c r="Q356" s="134"/>
      <c r="R356" s="83"/>
    </row>
    <row r="357" spans="1:21" s="102" customFormat="1" ht="12.75" x14ac:dyDescent="0.2">
      <c r="A357" s="265"/>
      <c r="B357" s="163"/>
      <c r="C357" s="149"/>
      <c r="D357" s="149"/>
      <c r="E357" s="149"/>
      <c r="F357" s="166"/>
      <c r="G357" s="110"/>
      <c r="H357" s="153"/>
      <c r="I357" s="151"/>
      <c r="J357" s="151"/>
      <c r="K357" s="151"/>
      <c r="L357" s="151"/>
      <c r="M357" s="151"/>
      <c r="N357" s="151"/>
      <c r="O357" s="263"/>
      <c r="P357" s="294"/>
      <c r="Q357" s="134"/>
      <c r="R357" s="83"/>
    </row>
    <row r="358" spans="1:21" s="96" customFormat="1" ht="12.75" x14ac:dyDescent="0.2">
      <c r="A358" s="268"/>
      <c r="B358" s="177"/>
      <c r="C358" s="178"/>
      <c r="D358" s="178"/>
      <c r="E358" s="178"/>
      <c r="F358" s="179"/>
      <c r="G358" s="180"/>
      <c r="H358" s="181"/>
      <c r="I358" s="182"/>
      <c r="J358" s="182"/>
      <c r="K358" s="182"/>
      <c r="L358" s="182"/>
      <c r="M358" s="182"/>
      <c r="N358" s="183"/>
      <c r="O358" s="269"/>
      <c r="P358" s="294"/>
      <c r="Q358" s="138"/>
      <c r="R358" s="317"/>
    </row>
    <row r="359" spans="1:21" s="315" customFormat="1" ht="25.5" x14ac:dyDescent="0.2">
      <c r="A359" s="265" t="s">
        <v>332</v>
      </c>
      <c r="B359" s="225" t="s">
        <v>86</v>
      </c>
      <c r="C359" s="225" t="s">
        <v>86</v>
      </c>
      <c r="D359" s="149">
        <v>320135224.63</v>
      </c>
      <c r="E359" s="149">
        <v>0</v>
      </c>
      <c r="F359" s="166"/>
      <c r="G359" s="110"/>
      <c r="H359" s="153"/>
      <c r="I359" s="154">
        <f t="shared" ref="I359:N359" si="29">SUM(I360:I360)</f>
        <v>0</v>
      </c>
      <c r="J359" s="154">
        <f t="shared" si="29"/>
        <v>0</v>
      </c>
      <c r="K359" s="154">
        <f t="shared" si="29"/>
        <v>0</v>
      </c>
      <c r="L359" s="154">
        <f t="shared" si="29"/>
        <v>0</v>
      </c>
      <c r="M359" s="154">
        <f t="shared" si="29"/>
        <v>0</v>
      </c>
      <c r="N359" s="154">
        <f t="shared" si="29"/>
        <v>0</v>
      </c>
      <c r="O359" s="263"/>
      <c r="P359" s="294"/>
      <c r="Q359" s="134"/>
      <c r="R359" s="83"/>
      <c r="S359" s="87"/>
      <c r="T359" s="87"/>
      <c r="U359" s="87"/>
    </row>
    <row r="360" spans="1:21" s="315" customFormat="1" ht="12.75" x14ac:dyDescent="0.2">
      <c r="A360" s="265"/>
      <c r="B360" s="163"/>
      <c r="C360" s="149"/>
      <c r="D360" s="149"/>
      <c r="E360" s="149"/>
      <c r="F360" s="166"/>
      <c r="G360" s="110"/>
      <c r="H360" s="153"/>
      <c r="I360" s="151">
        <v>0</v>
      </c>
      <c r="J360" s="151"/>
      <c r="K360" s="151"/>
      <c r="L360" s="151"/>
      <c r="M360" s="151"/>
      <c r="N360" s="176"/>
      <c r="O360" s="263"/>
      <c r="P360" s="294"/>
      <c r="Q360" s="134"/>
      <c r="R360" s="83"/>
    </row>
    <row r="361" spans="1:21" s="103" customFormat="1" ht="12.75" x14ac:dyDescent="0.2">
      <c r="A361" s="278"/>
      <c r="B361" s="226"/>
      <c r="C361" s="227"/>
      <c r="D361" s="227"/>
      <c r="E361" s="227"/>
      <c r="F361" s="228"/>
      <c r="G361" s="229"/>
      <c r="H361" s="230"/>
      <c r="I361" s="231"/>
      <c r="J361" s="231"/>
      <c r="K361" s="231"/>
      <c r="L361" s="231"/>
      <c r="M361" s="231"/>
      <c r="N361" s="231"/>
      <c r="O361" s="279"/>
      <c r="P361" s="294"/>
      <c r="Q361" s="139"/>
      <c r="R361" s="318"/>
    </row>
    <row r="362" spans="1:21" s="104" customFormat="1" ht="12.75" x14ac:dyDescent="0.2">
      <c r="A362" s="280" t="s">
        <v>336</v>
      </c>
      <c r="B362" s="232"/>
      <c r="C362" s="233"/>
      <c r="D362" s="233">
        <f>+D333+D324++D318+D308+D302+D295+D132+D119+D115+D111+D106+D98+D258</f>
        <v>5979971351.9499998</v>
      </c>
      <c r="E362" s="233">
        <f>+E333+E324++E318+E308+E302+E295+E132+E119+E115+E111+E106+E98+E258</f>
        <v>9855692722.9700012</v>
      </c>
      <c r="F362" s="234"/>
      <c r="G362" s="235"/>
      <c r="H362" s="236"/>
      <c r="I362" s="233">
        <f t="shared" ref="I362:N362" si="30">+I333+I324++I318+I308+I302+I295+I132+I119+I115+I111+I106+I98+I258</f>
        <v>4636840771.5828009</v>
      </c>
      <c r="J362" s="233">
        <f t="shared" si="30"/>
        <v>4413160646.3728008</v>
      </c>
      <c r="K362" s="233">
        <f t="shared" si="30"/>
        <v>223680125.21000001</v>
      </c>
      <c r="L362" s="233">
        <f t="shared" si="30"/>
        <v>0</v>
      </c>
      <c r="M362" s="233">
        <f t="shared" si="30"/>
        <v>0</v>
      </c>
      <c r="N362" s="233">
        <f t="shared" si="30"/>
        <v>5218851951.3871994</v>
      </c>
      <c r="O362" s="281"/>
      <c r="P362" s="294"/>
      <c r="Q362" s="140"/>
      <c r="R362" s="319"/>
    </row>
    <row r="363" spans="1:21" s="106" customFormat="1" ht="12.75" x14ac:dyDescent="0.2">
      <c r="A363" s="282" t="s">
        <v>337</v>
      </c>
      <c r="B363" s="237"/>
      <c r="C363" s="238"/>
      <c r="D363" s="238">
        <f>+D355+D352+D344+D341+D337+D328+D299+D278+D273+D262++D249+D238+D227+D214+D207+D194+D179+D173+D163+D148+D142+D103+D91+D11+D254+D359</f>
        <v>22751221843.310001</v>
      </c>
      <c r="E363" s="238">
        <f>+E355+E352+E344+E341+E337+E328+E299+E278+E273+E262+E249+E238+E227+E214+E207+E194+E179+E173+E163+E148+E142+E103+E91+E11+E254</f>
        <v>28419239103.060001</v>
      </c>
      <c r="F363" s="239"/>
      <c r="G363" s="240"/>
      <c r="H363" s="186"/>
      <c r="I363" s="238">
        <f t="shared" ref="I363:N363" si="31">+I355+I352+I344+I341+I337+I328+I299+I278+I273+I262+I249+I238+I227+I214+I207+I194+I179+I173+I163+I148+I142+I103+I91+I11+I254</f>
        <v>13267250696.695202</v>
      </c>
      <c r="J363" s="238">
        <f t="shared" si="31"/>
        <v>10231714630.495201</v>
      </c>
      <c r="K363" s="238">
        <f t="shared" si="31"/>
        <v>2553171780.21</v>
      </c>
      <c r="L363" s="238">
        <f t="shared" si="31"/>
        <v>482364285.99000001</v>
      </c>
      <c r="M363" s="238">
        <f t="shared" si="31"/>
        <v>0</v>
      </c>
      <c r="N363" s="238">
        <f t="shared" si="31"/>
        <v>14808115041.989634</v>
      </c>
      <c r="O363" s="283"/>
      <c r="P363" s="302"/>
      <c r="Q363" s="141"/>
      <c r="R363" s="105"/>
    </row>
    <row r="364" spans="1:21" s="88" customFormat="1" ht="12.75" x14ac:dyDescent="0.2">
      <c r="A364" s="265" t="s">
        <v>338</v>
      </c>
      <c r="B364" s="163"/>
      <c r="C364" s="149"/>
      <c r="D364" s="149">
        <f>+D362+D363</f>
        <v>28731193195.260002</v>
      </c>
      <c r="E364" s="149">
        <f>+E362+E363</f>
        <v>38274931826.029999</v>
      </c>
      <c r="F364" s="241">
        <f>+E362+495522361.65</f>
        <v>10351215084.620001</v>
      </c>
      <c r="G364" s="110"/>
      <c r="H364" s="153"/>
      <c r="I364" s="149">
        <f>SUM(I362:I363)</f>
        <v>17904091468.278004</v>
      </c>
      <c r="J364" s="149">
        <f>SUM(J362:J363)</f>
        <v>14644875276.868002</v>
      </c>
      <c r="K364" s="149">
        <f>SUM(K362:K363)</f>
        <v>2776851905.4200001</v>
      </c>
      <c r="L364" s="149">
        <f>SUM(L362:L363)</f>
        <v>482364285.99000001</v>
      </c>
      <c r="M364" s="149">
        <f>SUM(M11:M357)</f>
        <v>0</v>
      </c>
      <c r="N364" s="149">
        <f>SUM(N362:N363)</f>
        <v>20026966993.376831</v>
      </c>
      <c r="O364" s="263"/>
      <c r="P364" s="294"/>
      <c r="Q364" s="134"/>
      <c r="R364" s="83"/>
      <c r="S364" s="87"/>
      <c r="T364" s="87"/>
      <c r="U364" s="87"/>
    </row>
    <row r="365" spans="1:21" s="88" customFormat="1" ht="12.75" hidden="1" x14ac:dyDescent="0.2">
      <c r="A365" s="265"/>
      <c r="B365" s="163"/>
      <c r="C365" s="149"/>
      <c r="D365" s="149">
        <f>25552055957.11+2859002013.52</f>
        <v>28411057970.630001</v>
      </c>
      <c r="E365" s="149">
        <f>2862970023.41+35411961802.61</f>
        <v>38274931826.020004</v>
      </c>
      <c r="F365" s="241">
        <f>+E362+I280+I281+N283</f>
        <v>10351215084.610001</v>
      </c>
      <c r="G365" s="110"/>
      <c r="H365" s="153"/>
      <c r="I365" s="151">
        <f>+I362+I280+I281</f>
        <v>4997882932.5828018</v>
      </c>
      <c r="J365" s="151"/>
      <c r="K365" s="151"/>
      <c r="L365" s="151"/>
      <c r="M365" s="151">
        <f>SUM(J364:L364)</f>
        <v>17904091468.278004</v>
      </c>
      <c r="N365" s="151">
        <f>+N362+N283</f>
        <v>5353332152.0271997</v>
      </c>
      <c r="O365" s="276">
        <f>+N365+O367</f>
        <v>11113088636.9072</v>
      </c>
      <c r="P365" s="301"/>
      <c r="Q365" s="134"/>
      <c r="R365" s="83"/>
    </row>
    <row r="366" spans="1:21" s="88" customFormat="1" ht="12.75" hidden="1" x14ac:dyDescent="0.2">
      <c r="A366" s="265"/>
      <c r="B366" s="163"/>
      <c r="C366" s="149"/>
      <c r="D366" s="149">
        <f>+D364-D365</f>
        <v>320135224.63000107</v>
      </c>
      <c r="E366" s="149">
        <f>+E364-E365</f>
        <v>9.9945068359375E-3</v>
      </c>
      <c r="F366" s="241">
        <v>10351215084.610001</v>
      </c>
      <c r="G366" s="110"/>
      <c r="H366" s="153"/>
      <c r="I366" s="151">
        <f>+'[2]RECURSOS LIBRES'!$E$26</f>
        <v>4997882932.5757999</v>
      </c>
      <c r="J366" s="151"/>
      <c r="K366" s="151"/>
      <c r="L366" s="151"/>
      <c r="M366" s="151">
        <f>+I364-M365</f>
        <v>0</v>
      </c>
      <c r="N366" s="151">
        <f>+E364-I364</f>
        <v>20370840357.751995</v>
      </c>
      <c r="O366" s="284">
        <f>+N362+N283</f>
        <v>5353332152.0271997</v>
      </c>
      <c r="P366" s="303"/>
      <c r="Q366" s="134"/>
      <c r="R366" s="83"/>
    </row>
    <row r="367" spans="1:21" s="88" customFormat="1" ht="12.75" hidden="1" x14ac:dyDescent="0.2">
      <c r="A367" s="265"/>
      <c r="B367" s="163"/>
      <c r="C367" s="149"/>
      <c r="D367" s="149"/>
      <c r="E367" s="149"/>
      <c r="F367" s="241">
        <f>+F365-F366</f>
        <v>0</v>
      </c>
      <c r="G367" s="110"/>
      <c r="H367" s="153"/>
      <c r="I367" s="151">
        <f>+I365-I366</f>
        <v>7.0018768310546875E-3</v>
      </c>
      <c r="J367" s="151"/>
      <c r="K367" s="151"/>
      <c r="L367" s="151"/>
      <c r="M367" s="151">
        <f>+N365-O366</f>
        <v>0</v>
      </c>
      <c r="N367" s="151">
        <f>+N364-N366</f>
        <v>-343873364.37516403</v>
      </c>
      <c r="O367" s="276">
        <f>+N369+N282</f>
        <v>5759756484.8800001</v>
      </c>
      <c r="P367" s="301"/>
      <c r="Q367" s="134"/>
      <c r="R367" s="83"/>
    </row>
    <row r="368" spans="1:21" s="103" customFormat="1" ht="12.75" x14ac:dyDescent="0.2">
      <c r="A368" s="278"/>
      <c r="B368" s="226"/>
      <c r="C368" s="227"/>
      <c r="D368" s="227"/>
      <c r="E368" s="227"/>
      <c r="F368" s="228"/>
      <c r="G368" s="229"/>
      <c r="H368" s="230"/>
      <c r="I368" s="231"/>
      <c r="J368" s="231"/>
      <c r="K368" s="231"/>
      <c r="L368" s="231"/>
      <c r="M368" s="231"/>
      <c r="N368" s="231"/>
      <c r="O368" s="279"/>
      <c r="P368" s="294"/>
      <c r="Q368" s="139"/>
      <c r="R368" s="318"/>
    </row>
    <row r="369" spans="1:21" s="102" customFormat="1" ht="12.75" x14ac:dyDescent="0.2">
      <c r="A369" s="92" t="s">
        <v>339</v>
      </c>
      <c r="B369" s="101" t="s">
        <v>340</v>
      </c>
      <c r="C369" s="189"/>
      <c r="D369" s="189">
        <f>5445411567.32+1226697903.53+1672200626.67</f>
        <v>8344310097.5199995</v>
      </c>
      <c r="E369" s="189">
        <f>8537578918+2016072123.2</f>
        <v>10553651041.200001</v>
      </c>
      <c r="F369" s="200"/>
      <c r="G369" s="209"/>
      <c r="H369" s="196"/>
      <c r="I369" s="207">
        <f t="shared" ref="I369:N369" si="32">SUM(I370:I465)</f>
        <v>5291528784.9299994</v>
      </c>
      <c r="J369" s="207">
        <f t="shared" si="32"/>
        <v>382185557.81</v>
      </c>
      <c r="K369" s="207">
        <f t="shared" si="32"/>
        <v>4909343227.1199999</v>
      </c>
      <c r="L369" s="207">
        <f t="shared" si="32"/>
        <v>0</v>
      </c>
      <c r="M369" s="207">
        <f t="shared" si="32"/>
        <v>0</v>
      </c>
      <c r="N369" s="207">
        <f t="shared" si="32"/>
        <v>5262122256.2700005</v>
      </c>
      <c r="O369" s="274">
        <f>SUM(O370:O464)</f>
        <v>0</v>
      </c>
      <c r="P369" s="298"/>
      <c r="Q369" s="134"/>
      <c r="R369" s="83"/>
      <c r="S369" s="87"/>
      <c r="T369" s="87"/>
      <c r="U369" s="87"/>
    </row>
    <row r="370" spans="1:21" s="102" customFormat="1" ht="12.75" x14ac:dyDescent="0.2">
      <c r="A370" s="273"/>
      <c r="B370" s="199"/>
      <c r="C370" s="189"/>
      <c r="D370" s="189"/>
      <c r="E370" s="189"/>
      <c r="F370" s="200" t="s">
        <v>200</v>
      </c>
      <c r="G370" s="195" t="s">
        <v>241</v>
      </c>
      <c r="H370" s="196" t="s">
        <v>91</v>
      </c>
      <c r="I370" s="197">
        <v>0</v>
      </c>
      <c r="J370" s="197">
        <f>+I370</f>
        <v>0</v>
      </c>
      <c r="K370" s="197"/>
      <c r="L370" s="197"/>
      <c r="M370" s="197"/>
      <c r="N370" s="197">
        <f>160504299.6-60000000</f>
        <v>100504299.59999999</v>
      </c>
      <c r="O370" s="272"/>
      <c r="P370" s="294"/>
      <c r="Q370" s="134"/>
      <c r="R370" s="83"/>
    </row>
    <row r="371" spans="1:21" s="102" customFormat="1" ht="12.75" x14ac:dyDescent="0.2">
      <c r="A371" s="273"/>
      <c r="B371" s="199"/>
      <c r="C371" s="189"/>
      <c r="D371" s="189"/>
      <c r="E371" s="189"/>
      <c r="F371" s="200"/>
      <c r="G371" s="195"/>
      <c r="H371" s="196" t="s">
        <v>92</v>
      </c>
      <c r="I371" s="197">
        <v>0</v>
      </c>
      <c r="J371" s="197"/>
      <c r="K371" s="197"/>
      <c r="L371" s="197"/>
      <c r="M371" s="197"/>
      <c r="N371" s="197">
        <v>2966495.98</v>
      </c>
      <c r="O371" s="272"/>
      <c r="P371" s="294"/>
      <c r="Q371" s="134"/>
      <c r="R371" s="83"/>
    </row>
    <row r="372" spans="1:21" s="102" customFormat="1" ht="12.75" x14ac:dyDescent="0.2">
      <c r="A372" s="273"/>
      <c r="B372" s="199"/>
      <c r="C372" s="189"/>
      <c r="D372" s="189"/>
      <c r="E372" s="189"/>
      <c r="F372" s="200"/>
      <c r="G372" s="195"/>
      <c r="H372" s="196"/>
      <c r="I372" s="197"/>
      <c r="J372" s="197"/>
      <c r="K372" s="197"/>
      <c r="L372" s="197"/>
      <c r="M372" s="197"/>
      <c r="N372" s="197"/>
      <c r="O372" s="272"/>
      <c r="P372" s="294"/>
      <c r="Q372" s="134"/>
      <c r="R372" s="83"/>
    </row>
    <row r="373" spans="1:21" s="102" customFormat="1" ht="12.75" x14ac:dyDescent="0.2">
      <c r="A373" s="273"/>
      <c r="B373" s="199"/>
      <c r="C373" s="189"/>
      <c r="D373" s="189"/>
      <c r="E373" s="189"/>
      <c r="F373" s="200" t="s">
        <v>211</v>
      </c>
      <c r="G373" s="195" t="s">
        <v>233</v>
      </c>
      <c r="H373" s="196" t="s">
        <v>94</v>
      </c>
      <c r="I373" s="197">
        <v>0</v>
      </c>
      <c r="J373" s="197"/>
      <c r="K373" s="197">
        <f>+I373</f>
        <v>0</v>
      </c>
      <c r="L373" s="197"/>
      <c r="M373" s="197"/>
      <c r="N373" s="197">
        <f>107600000+25420000</f>
        <v>133020000</v>
      </c>
      <c r="O373" s="272"/>
      <c r="P373" s="294"/>
      <c r="Q373" s="134"/>
      <c r="R373" s="83"/>
    </row>
    <row r="374" spans="1:21" s="102" customFormat="1" ht="12.75" x14ac:dyDescent="0.2">
      <c r="A374" s="273"/>
      <c r="B374" s="199"/>
      <c r="C374" s="189"/>
      <c r="D374" s="189"/>
      <c r="E374" s="189"/>
      <c r="F374" s="200"/>
      <c r="G374" s="195"/>
      <c r="H374" s="196"/>
      <c r="I374" s="197"/>
      <c r="J374" s="197"/>
      <c r="K374" s="197"/>
      <c r="L374" s="197"/>
      <c r="M374" s="197"/>
      <c r="N374" s="197"/>
      <c r="O374" s="272"/>
      <c r="P374" s="294"/>
      <c r="Q374" s="134"/>
      <c r="R374" s="83"/>
    </row>
    <row r="375" spans="1:21" s="102" customFormat="1" ht="12.75" x14ac:dyDescent="0.2">
      <c r="A375" s="273"/>
      <c r="B375" s="199"/>
      <c r="C375" s="189"/>
      <c r="D375" s="189"/>
      <c r="E375" s="189"/>
      <c r="F375" s="200" t="s">
        <v>201</v>
      </c>
      <c r="G375" s="195" t="s">
        <v>341</v>
      </c>
      <c r="H375" s="196"/>
      <c r="I375" s="197"/>
      <c r="J375" s="197"/>
      <c r="K375" s="197"/>
      <c r="L375" s="197"/>
      <c r="M375" s="197"/>
      <c r="N375" s="197"/>
      <c r="O375" s="272"/>
      <c r="P375" s="294"/>
      <c r="Q375" s="134"/>
      <c r="R375" s="83"/>
    </row>
    <row r="376" spans="1:21" s="102" customFormat="1" ht="12.75" x14ac:dyDescent="0.2">
      <c r="A376" s="273"/>
      <c r="B376" s="199"/>
      <c r="C376" s="189"/>
      <c r="D376" s="189"/>
      <c r="E376" s="189"/>
      <c r="F376" s="200" t="s">
        <v>384</v>
      </c>
      <c r="G376" s="195" t="s">
        <v>342</v>
      </c>
      <c r="H376" s="196" t="s">
        <v>90</v>
      </c>
      <c r="I376" s="197">
        <f>31809153.74-I56</f>
        <v>7427693.8499999978</v>
      </c>
      <c r="J376" s="197">
        <f>+I376</f>
        <v>7427693.8499999978</v>
      </c>
      <c r="K376" s="197"/>
      <c r="L376" s="197"/>
      <c r="M376" s="197"/>
      <c r="N376" s="197">
        <v>0</v>
      </c>
      <c r="O376" s="272"/>
      <c r="P376" s="294"/>
      <c r="Q376" s="134"/>
      <c r="R376" s="83"/>
    </row>
    <row r="377" spans="1:21" s="102" customFormat="1" ht="12.75" x14ac:dyDescent="0.2">
      <c r="A377" s="273"/>
      <c r="B377" s="199"/>
      <c r="C377" s="189"/>
      <c r="D377" s="189"/>
      <c r="E377" s="189"/>
      <c r="F377" s="200"/>
      <c r="G377" s="195"/>
      <c r="H377" s="196" t="s">
        <v>91</v>
      </c>
      <c r="I377" s="197">
        <v>77540713.349999994</v>
      </c>
      <c r="J377" s="197">
        <f>+I377</f>
        <v>77540713.349999994</v>
      </c>
      <c r="K377" s="197"/>
      <c r="L377" s="197"/>
      <c r="M377" s="197"/>
      <c r="N377" s="197">
        <v>0</v>
      </c>
      <c r="O377" s="272"/>
      <c r="P377" s="294"/>
      <c r="Q377" s="134"/>
      <c r="R377" s="83"/>
    </row>
    <row r="378" spans="1:21" s="102" customFormat="1" ht="12.75" x14ac:dyDescent="0.2">
      <c r="A378" s="273"/>
      <c r="B378" s="199"/>
      <c r="C378" s="189"/>
      <c r="D378" s="189"/>
      <c r="E378" s="189"/>
      <c r="F378" s="200"/>
      <c r="G378" s="195"/>
      <c r="H378" s="196" t="s">
        <v>92</v>
      </c>
      <c r="I378" s="197">
        <v>500000</v>
      </c>
      <c r="J378" s="197">
        <f>+I378</f>
        <v>500000</v>
      </c>
      <c r="K378" s="197"/>
      <c r="L378" s="197"/>
      <c r="M378" s="197"/>
      <c r="N378" s="197">
        <v>0</v>
      </c>
      <c r="O378" s="272"/>
      <c r="P378" s="294"/>
      <c r="Q378" s="134"/>
      <c r="R378" s="83"/>
    </row>
    <row r="379" spans="1:21" s="102" customFormat="1" ht="12.75" x14ac:dyDescent="0.2">
      <c r="A379" s="273"/>
      <c r="B379" s="199"/>
      <c r="C379" s="189"/>
      <c r="D379" s="189"/>
      <c r="E379" s="189"/>
      <c r="F379" s="200"/>
      <c r="G379" s="195"/>
      <c r="H379" s="196" t="s">
        <v>94</v>
      </c>
      <c r="I379" s="197">
        <v>6234741.7999999998</v>
      </c>
      <c r="J379" s="197"/>
      <c r="K379" s="197">
        <f>+I379</f>
        <v>6234741.7999999998</v>
      </c>
      <c r="L379" s="197"/>
      <c r="M379" s="197"/>
      <c r="N379" s="197">
        <v>0</v>
      </c>
      <c r="O379" s="272"/>
      <c r="P379" s="294"/>
      <c r="Q379" s="134"/>
      <c r="R379" s="83"/>
    </row>
    <row r="380" spans="1:21" s="102" customFormat="1" ht="12.75" x14ac:dyDescent="0.2">
      <c r="A380" s="273"/>
      <c r="B380" s="199"/>
      <c r="C380" s="189"/>
      <c r="D380" s="189"/>
      <c r="E380" s="189"/>
      <c r="F380" s="200"/>
      <c r="G380" s="195"/>
      <c r="H380" s="196"/>
      <c r="I380" s="197"/>
      <c r="J380" s="197"/>
      <c r="K380" s="197"/>
      <c r="L380" s="197"/>
      <c r="M380" s="197"/>
      <c r="N380" s="197"/>
      <c r="O380" s="272"/>
      <c r="P380" s="294"/>
      <c r="Q380" s="134"/>
      <c r="R380" s="83"/>
    </row>
    <row r="381" spans="1:21" s="102" customFormat="1" ht="25.5" x14ac:dyDescent="0.2">
      <c r="A381" s="273"/>
      <c r="B381" s="199"/>
      <c r="C381" s="189"/>
      <c r="D381" s="189"/>
      <c r="E381" s="189"/>
      <c r="F381" s="200" t="s">
        <v>189</v>
      </c>
      <c r="G381" s="195" t="s">
        <v>343</v>
      </c>
      <c r="H381" s="196"/>
      <c r="I381" s="197"/>
      <c r="J381" s="197"/>
      <c r="K381" s="197"/>
      <c r="L381" s="197"/>
      <c r="M381" s="197"/>
      <c r="N381" s="197"/>
      <c r="O381" s="272"/>
      <c r="P381" s="294"/>
      <c r="Q381" s="134"/>
      <c r="R381" s="83"/>
    </row>
    <row r="382" spans="1:21" s="102" customFormat="1" ht="12.75" x14ac:dyDescent="0.2">
      <c r="A382" s="273"/>
      <c r="B382" s="199"/>
      <c r="C382" s="189"/>
      <c r="D382" s="189"/>
      <c r="E382" s="189"/>
      <c r="F382" s="200"/>
      <c r="G382" s="195"/>
      <c r="H382" s="196"/>
      <c r="I382" s="197"/>
      <c r="J382" s="197"/>
      <c r="K382" s="197"/>
      <c r="L382" s="197"/>
      <c r="M382" s="197"/>
      <c r="N382" s="197"/>
      <c r="O382" s="272"/>
      <c r="P382" s="294"/>
      <c r="Q382" s="134"/>
      <c r="R382" s="83"/>
    </row>
    <row r="383" spans="1:21" s="102" customFormat="1" ht="12.75" x14ac:dyDescent="0.2">
      <c r="A383" s="273"/>
      <c r="B383" s="199"/>
      <c r="C383" s="189"/>
      <c r="D383" s="189"/>
      <c r="E383" s="189"/>
      <c r="F383" s="200" t="s">
        <v>183</v>
      </c>
      <c r="G383" s="195" t="s">
        <v>344</v>
      </c>
      <c r="H383" s="196" t="s">
        <v>91</v>
      </c>
      <c r="I383" s="197">
        <v>136018000</v>
      </c>
      <c r="J383" s="197">
        <v>0</v>
      </c>
      <c r="K383" s="197">
        <f>+I383</f>
        <v>136018000</v>
      </c>
      <c r="L383" s="197"/>
      <c r="M383" s="197"/>
      <c r="N383" s="197">
        <v>0</v>
      </c>
      <c r="O383" s="272"/>
      <c r="P383" s="294"/>
      <c r="Q383" s="134"/>
      <c r="R383" s="83"/>
    </row>
    <row r="384" spans="1:21" s="102" customFormat="1" ht="12.75" x14ac:dyDescent="0.2">
      <c r="A384" s="273"/>
      <c r="B384" s="199"/>
      <c r="C384" s="189"/>
      <c r="D384" s="189"/>
      <c r="E384" s="189"/>
      <c r="F384" s="200"/>
      <c r="G384" s="195"/>
      <c r="H384" s="196" t="s">
        <v>94</v>
      </c>
      <c r="I384" s="197">
        <f>1770558615.6-I537-I128</f>
        <v>99389026.669999838</v>
      </c>
      <c r="J384" s="197"/>
      <c r="K384" s="197">
        <f>+I384</f>
        <v>99389026.669999838</v>
      </c>
      <c r="L384" s="197"/>
      <c r="M384" s="197"/>
      <c r="N384" s="197">
        <v>0</v>
      </c>
      <c r="O384" s="272"/>
      <c r="P384" s="294"/>
      <c r="Q384" s="134"/>
      <c r="R384" s="83"/>
    </row>
    <row r="385" spans="1:18" s="102" customFormat="1" ht="12.75" x14ac:dyDescent="0.2">
      <c r="A385" s="273"/>
      <c r="B385" s="199"/>
      <c r="C385" s="189"/>
      <c r="D385" s="189"/>
      <c r="E385" s="189"/>
      <c r="F385" s="200"/>
      <c r="G385" s="195"/>
      <c r="H385" s="196"/>
      <c r="I385" s="199"/>
      <c r="J385" s="197"/>
      <c r="K385" s="197"/>
      <c r="L385" s="197"/>
      <c r="M385" s="197"/>
      <c r="N385" s="197"/>
      <c r="O385" s="272"/>
      <c r="P385" s="294"/>
      <c r="Q385" s="134"/>
      <c r="R385" s="83"/>
    </row>
    <row r="386" spans="1:18" s="102" customFormat="1" ht="12.75" x14ac:dyDescent="0.2">
      <c r="A386" s="273"/>
      <c r="B386" s="199"/>
      <c r="C386" s="189"/>
      <c r="D386" s="189"/>
      <c r="E386" s="189"/>
      <c r="F386" s="200" t="s">
        <v>385</v>
      </c>
      <c r="G386" s="195" t="s">
        <v>345</v>
      </c>
      <c r="H386" s="196" t="s">
        <v>94</v>
      </c>
      <c r="I386" s="197">
        <v>0</v>
      </c>
      <c r="J386" s="197"/>
      <c r="K386" s="197">
        <f>+I386</f>
        <v>0</v>
      </c>
      <c r="L386" s="197"/>
      <c r="M386" s="197"/>
      <c r="N386" s="197">
        <v>78000000</v>
      </c>
      <c r="O386" s="272"/>
      <c r="P386" s="294"/>
      <c r="Q386" s="134"/>
      <c r="R386" s="83"/>
    </row>
    <row r="387" spans="1:18" s="102" customFormat="1" ht="12.75" x14ac:dyDescent="0.2">
      <c r="A387" s="273"/>
      <c r="B387" s="199"/>
      <c r="C387" s="189"/>
      <c r="D387" s="189"/>
      <c r="E387" s="189"/>
      <c r="F387" s="200"/>
      <c r="G387" s="195"/>
      <c r="H387" s="196"/>
      <c r="I387" s="197"/>
      <c r="J387" s="197"/>
      <c r="K387" s="197"/>
      <c r="L387" s="197"/>
      <c r="M387" s="197"/>
      <c r="N387" s="197"/>
      <c r="O387" s="272"/>
      <c r="P387" s="294"/>
      <c r="Q387" s="134"/>
      <c r="R387" s="83"/>
    </row>
    <row r="388" spans="1:18" s="102" customFormat="1" ht="27.6" customHeight="1" x14ac:dyDescent="0.2">
      <c r="A388" s="273"/>
      <c r="B388" s="199"/>
      <c r="C388" s="189"/>
      <c r="D388" s="189"/>
      <c r="E388" s="189"/>
      <c r="F388" s="200" t="s">
        <v>386</v>
      </c>
      <c r="G388" s="195" t="s">
        <v>346</v>
      </c>
      <c r="H388" s="196" t="s">
        <v>94</v>
      </c>
      <c r="I388" s="197">
        <v>0</v>
      </c>
      <c r="J388" s="197"/>
      <c r="K388" s="197">
        <f>+I388</f>
        <v>0</v>
      </c>
      <c r="L388" s="197"/>
      <c r="M388" s="197"/>
      <c r="N388" s="197">
        <v>43263528.840000004</v>
      </c>
      <c r="O388" s="272"/>
      <c r="P388" s="294"/>
      <c r="Q388" s="134"/>
      <c r="R388" s="83"/>
    </row>
    <row r="389" spans="1:18" s="102" customFormat="1" ht="12.75" x14ac:dyDescent="0.2">
      <c r="A389" s="273"/>
      <c r="B389" s="199"/>
      <c r="C389" s="189"/>
      <c r="D389" s="189"/>
      <c r="E389" s="189"/>
      <c r="F389" s="200"/>
      <c r="G389" s="195"/>
      <c r="H389" s="196"/>
      <c r="I389" s="197"/>
      <c r="J389" s="197"/>
      <c r="K389" s="197"/>
      <c r="L389" s="197"/>
      <c r="M389" s="197"/>
      <c r="N389" s="197"/>
      <c r="O389" s="272"/>
      <c r="P389" s="294"/>
      <c r="Q389" s="134"/>
      <c r="R389" s="83"/>
    </row>
    <row r="390" spans="1:18" s="102" customFormat="1" ht="12.75" x14ac:dyDescent="0.2">
      <c r="A390" s="273"/>
      <c r="B390" s="199"/>
      <c r="C390" s="189"/>
      <c r="D390" s="189"/>
      <c r="E390" s="189"/>
      <c r="F390" s="200" t="s">
        <v>126</v>
      </c>
      <c r="G390" s="195" t="s">
        <v>347</v>
      </c>
      <c r="H390" s="196" t="s">
        <v>94</v>
      </c>
      <c r="I390" s="197">
        <v>53600000</v>
      </c>
      <c r="J390" s="197"/>
      <c r="K390" s="197">
        <f>+I390</f>
        <v>53600000</v>
      </c>
      <c r="L390" s="197"/>
      <c r="M390" s="197"/>
      <c r="N390" s="197">
        <v>0</v>
      </c>
      <c r="O390" s="272"/>
      <c r="P390" s="294"/>
      <c r="Q390" s="134"/>
      <c r="R390" s="83"/>
    </row>
    <row r="391" spans="1:18" s="102" customFormat="1" ht="12.75" x14ac:dyDescent="0.2">
      <c r="A391" s="273"/>
      <c r="B391" s="199"/>
      <c r="C391" s="189"/>
      <c r="D391" s="189"/>
      <c r="E391" s="189"/>
      <c r="F391" s="200"/>
      <c r="G391" s="195"/>
      <c r="H391" s="196"/>
      <c r="I391" s="197"/>
      <c r="J391" s="197"/>
      <c r="K391" s="197"/>
      <c r="L391" s="197"/>
      <c r="M391" s="197"/>
      <c r="N391" s="197"/>
      <c r="O391" s="272"/>
      <c r="P391" s="294"/>
      <c r="Q391" s="134"/>
      <c r="R391" s="83"/>
    </row>
    <row r="392" spans="1:18" s="102" customFormat="1" ht="25.5" x14ac:dyDescent="0.2">
      <c r="A392" s="273"/>
      <c r="B392" s="199"/>
      <c r="C392" s="189"/>
      <c r="D392" s="189"/>
      <c r="E392" s="189"/>
      <c r="F392" s="200" t="s">
        <v>387</v>
      </c>
      <c r="G392" s="195" t="s">
        <v>348</v>
      </c>
      <c r="H392" s="196" t="s">
        <v>94</v>
      </c>
      <c r="I392" s="197">
        <v>44185567</v>
      </c>
      <c r="J392" s="197"/>
      <c r="K392" s="197">
        <f>+I392</f>
        <v>44185567</v>
      </c>
      <c r="L392" s="197"/>
      <c r="M392" s="197"/>
      <c r="N392" s="197">
        <v>0</v>
      </c>
      <c r="O392" s="272"/>
      <c r="P392" s="294"/>
      <c r="Q392" s="134"/>
      <c r="R392" s="83"/>
    </row>
    <row r="393" spans="1:18" s="102" customFormat="1" ht="12.75" x14ac:dyDescent="0.2">
      <c r="A393" s="273"/>
      <c r="B393" s="199"/>
      <c r="C393" s="189"/>
      <c r="D393" s="189"/>
      <c r="E393" s="189"/>
      <c r="F393" s="200"/>
      <c r="G393" s="195"/>
      <c r="H393" s="196"/>
      <c r="I393" s="197"/>
      <c r="J393" s="197"/>
      <c r="K393" s="197"/>
      <c r="L393" s="197"/>
      <c r="M393" s="197"/>
      <c r="N393" s="197"/>
      <c r="O393" s="272"/>
      <c r="P393" s="294"/>
      <c r="Q393" s="134"/>
      <c r="R393" s="83"/>
    </row>
    <row r="394" spans="1:18" s="102" customFormat="1" ht="12.75" x14ac:dyDescent="0.2">
      <c r="A394" s="273"/>
      <c r="B394" s="199"/>
      <c r="C394" s="189"/>
      <c r="D394" s="189"/>
      <c r="E394" s="189"/>
      <c r="F394" s="200" t="s">
        <v>388</v>
      </c>
      <c r="G394" s="195" t="s">
        <v>349</v>
      </c>
      <c r="H394" s="196" t="s">
        <v>94</v>
      </c>
      <c r="I394" s="197">
        <v>0</v>
      </c>
      <c r="J394" s="197"/>
      <c r="K394" s="197"/>
      <c r="L394" s="197"/>
      <c r="M394" s="197"/>
      <c r="N394" s="197">
        <v>4063703.47</v>
      </c>
      <c r="O394" s="272"/>
      <c r="P394" s="294"/>
      <c r="Q394" s="134"/>
      <c r="R394" s="83"/>
    </row>
    <row r="395" spans="1:18" s="102" customFormat="1" ht="12.75" x14ac:dyDescent="0.2">
      <c r="A395" s="273"/>
      <c r="B395" s="199"/>
      <c r="C395" s="189"/>
      <c r="D395" s="189"/>
      <c r="E395" s="189"/>
      <c r="F395" s="200"/>
      <c r="G395" s="195"/>
      <c r="H395" s="196"/>
      <c r="I395" s="197"/>
      <c r="J395" s="197"/>
      <c r="K395" s="197"/>
      <c r="L395" s="197"/>
      <c r="M395" s="197"/>
      <c r="N395" s="197"/>
      <c r="O395" s="272"/>
      <c r="P395" s="294"/>
      <c r="Q395" s="134"/>
      <c r="R395" s="83"/>
    </row>
    <row r="396" spans="1:18" s="102" customFormat="1" ht="12.75" x14ac:dyDescent="0.2">
      <c r="A396" s="273"/>
      <c r="B396" s="199"/>
      <c r="C396" s="189"/>
      <c r="D396" s="189"/>
      <c r="E396" s="189"/>
      <c r="F396" s="200" t="s">
        <v>389</v>
      </c>
      <c r="G396" s="195" t="s">
        <v>350</v>
      </c>
      <c r="H396" s="196" t="s">
        <v>94</v>
      </c>
      <c r="I396" s="197">
        <v>0</v>
      </c>
      <c r="J396" s="197"/>
      <c r="K396" s="197"/>
      <c r="L396" s="197"/>
      <c r="M396" s="197"/>
      <c r="N396" s="197">
        <v>89524307.189999998</v>
      </c>
      <c r="O396" s="272"/>
      <c r="P396" s="294"/>
      <c r="Q396" s="134"/>
      <c r="R396" s="83"/>
    </row>
    <row r="397" spans="1:18" s="102" customFormat="1" ht="12.75" x14ac:dyDescent="0.2">
      <c r="A397" s="273"/>
      <c r="B397" s="199"/>
      <c r="C397" s="189"/>
      <c r="D397" s="189"/>
      <c r="E397" s="189"/>
      <c r="F397" s="200"/>
      <c r="G397" s="195"/>
      <c r="H397" s="196"/>
      <c r="I397" s="197"/>
      <c r="J397" s="197"/>
      <c r="K397" s="197"/>
      <c r="L397" s="197"/>
      <c r="M397" s="197"/>
      <c r="N397" s="197"/>
      <c r="O397" s="272"/>
      <c r="P397" s="294"/>
      <c r="Q397" s="134"/>
      <c r="R397" s="83"/>
    </row>
    <row r="398" spans="1:18" s="102" customFormat="1" ht="12.75" x14ac:dyDescent="0.2">
      <c r="A398" s="273"/>
      <c r="B398" s="199"/>
      <c r="C398" s="189"/>
      <c r="D398" s="189"/>
      <c r="E398" s="189"/>
      <c r="F398" s="200" t="s">
        <v>390</v>
      </c>
      <c r="G398" s="195" t="s">
        <v>351</v>
      </c>
      <c r="H398" s="196" t="s">
        <v>94</v>
      </c>
      <c r="I398" s="197">
        <v>5244360.78</v>
      </c>
      <c r="J398" s="197"/>
      <c r="K398" s="197">
        <f>+I398</f>
        <v>5244360.78</v>
      </c>
      <c r="L398" s="197"/>
      <c r="M398" s="197"/>
      <c r="N398" s="197"/>
      <c r="O398" s="272"/>
      <c r="P398" s="294"/>
      <c r="Q398" s="134"/>
      <c r="R398" s="83"/>
    </row>
    <row r="399" spans="1:18" s="102" customFormat="1" ht="12.75" x14ac:dyDescent="0.2">
      <c r="A399" s="273"/>
      <c r="B399" s="199"/>
      <c r="C399" s="189"/>
      <c r="D399" s="189"/>
      <c r="E399" s="189"/>
      <c r="F399" s="200"/>
      <c r="G399" s="195"/>
      <c r="H399" s="196"/>
      <c r="I399" s="197"/>
      <c r="J399" s="197"/>
      <c r="K399" s="197"/>
      <c r="L399" s="197"/>
      <c r="M399" s="197"/>
      <c r="N399" s="197"/>
      <c r="O399" s="272"/>
      <c r="P399" s="294"/>
      <c r="Q399" s="134"/>
      <c r="R399" s="83"/>
    </row>
    <row r="400" spans="1:18" s="102" customFormat="1" ht="12.75" x14ac:dyDescent="0.2">
      <c r="A400" s="273"/>
      <c r="B400" s="199"/>
      <c r="C400" s="189"/>
      <c r="D400" s="189"/>
      <c r="E400" s="189"/>
      <c r="F400" s="200" t="s">
        <v>391</v>
      </c>
      <c r="G400" s="195" t="s">
        <v>352</v>
      </c>
      <c r="H400" s="196" t="s">
        <v>94</v>
      </c>
      <c r="I400" s="197">
        <f>1824924.99+58051500</f>
        <v>59876424.990000002</v>
      </c>
      <c r="J400" s="197"/>
      <c r="K400" s="197">
        <f>+I400</f>
        <v>59876424.990000002</v>
      </c>
      <c r="L400" s="197"/>
      <c r="M400" s="197"/>
      <c r="N400" s="197">
        <v>0</v>
      </c>
      <c r="O400" s="272"/>
      <c r="P400" s="294"/>
      <c r="Q400" s="134"/>
      <c r="R400" s="83"/>
    </row>
    <row r="401" spans="1:18" s="102" customFormat="1" ht="12.75" x14ac:dyDescent="0.2">
      <c r="A401" s="273"/>
      <c r="B401" s="199"/>
      <c r="C401" s="189"/>
      <c r="D401" s="189"/>
      <c r="E401" s="189"/>
      <c r="F401" s="200"/>
      <c r="G401" s="195"/>
      <c r="H401" s="196"/>
      <c r="I401" s="197"/>
      <c r="J401" s="197"/>
      <c r="K401" s="197"/>
      <c r="L401" s="197"/>
      <c r="M401" s="197"/>
      <c r="N401" s="197"/>
      <c r="O401" s="272"/>
      <c r="P401" s="294"/>
      <c r="Q401" s="134"/>
      <c r="R401" s="83"/>
    </row>
    <row r="402" spans="1:18" s="102" customFormat="1" ht="12.75" x14ac:dyDescent="0.2">
      <c r="A402" s="273"/>
      <c r="B402" s="199"/>
      <c r="C402" s="189"/>
      <c r="D402" s="189"/>
      <c r="E402" s="189"/>
      <c r="F402" s="200" t="s">
        <v>392</v>
      </c>
      <c r="G402" s="195" t="s">
        <v>353</v>
      </c>
      <c r="H402" s="196" t="s">
        <v>94</v>
      </c>
      <c r="I402" s="197">
        <v>0</v>
      </c>
      <c r="J402" s="197"/>
      <c r="K402" s="197"/>
      <c r="L402" s="197"/>
      <c r="M402" s="197"/>
      <c r="N402" s="197">
        <v>11168940</v>
      </c>
      <c r="O402" s="272"/>
      <c r="P402" s="294"/>
      <c r="Q402" s="134"/>
      <c r="R402" s="83"/>
    </row>
    <row r="403" spans="1:18" s="102" customFormat="1" ht="12.75" x14ac:dyDescent="0.2">
      <c r="A403" s="273"/>
      <c r="B403" s="199"/>
      <c r="C403" s="189"/>
      <c r="D403" s="189"/>
      <c r="E403" s="189"/>
      <c r="F403" s="200"/>
      <c r="G403" s="195"/>
      <c r="H403" s="196"/>
      <c r="I403" s="197"/>
      <c r="J403" s="197"/>
      <c r="K403" s="197"/>
      <c r="L403" s="197"/>
      <c r="M403" s="197"/>
      <c r="N403" s="197"/>
      <c r="O403" s="272"/>
      <c r="P403" s="294"/>
      <c r="Q403" s="134"/>
      <c r="R403" s="83"/>
    </row>
    <row r="404" spans="1:18" s="102" customFormat="1" ht="25.5" x14ac:dyDescent="0.2">
      <c r="A404" s="273"/>
      <c r="B404" s="199"/>
      <c r="C404" s="189"/>
      <c r="D404" s="189"/>
      <c r="E404" s="189"/>
      <c r="F404" s="200" t="s">
        <v>393</v>
      </c>
      <c r="G404" s="195" t="s">
        <v>354</v>
      </c>
      <c r="H404" s="196" t="s">
        <v>94</v>
      </c>
      <c r="I404" s="197">
        <v>20000000</v>
      </c>
      <c r="J404" s="197"/>
      <c r="K404" s="197">
        <f>+I404</f>
        <v>20000000</v>
      </c>
      <c r="L404" s="197"/>
      <c r="M404" s="197"/>
      <c r="N404" s="197">
        <v>0</v>
      </c>
      <c r="O404" s="272"/>
      <c r="P404" s="294"/>
      <c r="Q404" s="134"/>
      <c r="R404" s="83"/>
    </row>
    <row r="405" spans="1:18" s="102" customFormat="1" ht="12.75" x14ac:dyDescent="0.2">
      <c r="A405" s="273"/>
      <c r="B405" s="199"/>
      <c r="C405" s="189"/>
      <c r="D405" s="189"/>
      <c r="E405" s="189"/>
      <c r="F405" s="200"/>
      <c r="G405" s="195"/>
      <c r="H405" s="196"/>
      <c r="I405" s="197"/>
      <c r="J405" s="197"/>
      <c r="K405" s="197"/>
      <c r="L405" s="197"/>
      <c r="M405" s="197"/>
      <c r="N405" s="197"/>
      <c r="O405" s="272"/>
      <c r="P405" s="294"/>
      <c r="Q405" s="134"/>
      <c r="R405" s="83"/>
    </row>
    <row r="406" spans="1:18" s="102" customFormat="1" ht="25.5" x14ac:dyDescent="0.2">
      <c r="A406" s="273"/>
      <c r="B406" s="199"/>
      <c r="C406" s="189"/>
      <c r="D406" s="189"/>
      <c r="E406" s="189"/>
      <c r="F406" s="200" t="s">
        <v>191</v>
      </c>
      <c r="G406" s="195" t="s">
        <v>355</v>
      </c>
      <c r="H406" s="196" t="s">
        <v>94</v>
      </c>
      <c r="I406" s="197">
        <v>0</v>
      </c>
      <c r="J406" s="197"/>
      <c r="K406" s="197"/>
      <c r="L406" s="197"/>
      <c r="M406" s="197"/>
      <c r="N406" s="197">
        <v>0</v>
      </c>
      <c r="O406" s="272"/>
      <c r="P406" s="294"/>
      <c r="Q406" s="134"/>
      <c r="R406" s="83"/>
    </row>
    <row r="407" spans="1:18" s="102" customFormat="1" ht="12.75" x14ac:dyDescent="0.2">
      <c r="A407" s="273"/>
      <c r="B407" s="199"/>
      <c r="C407" s="189"/>
      <c r="D407" s="189"/>
      <c r="E407" s="189"/>
      <c r="F407" s="200"/>
      <c r="G407" s="195"/>
      <c r="H407" s="196"/>
      <c r="I407" s="197"/>
      <c r="J407" s="197"/>
      <c r="K407" s="197"/>
      <c r="L407" s="197"/>
      <c r="M407" s="197"/>
      <c r="N407" s="197"/>
      <c r="O407" s="272"/>
      <c r="P407" s="294"/>
      <c r="Q407" s="134"/>
      <c r="R407" s="83"/>
    </row>
    <row r="408" spans="1:18" s="102" customFormat="1" ht="30" customHeight="1" x14ac:dyDescent="0.2">
      <c r="A408" s="273"/>
      <c r="B408" s="199"/>
      <c r="C408" s="189"/>
      <c r="D408" s="189"/>
      <c r="E408" s="189"/>
      <c r="F408" s="200" t="s">
        <v>394</v>
      </c>
      <c r="G408" s="195" t="s">
        <v>356</v>
      </c>
      <c r="H408" s="196" t="s">
        <v>94</v>
      </c>
      <c r="I408" s="197">
        <v>0</v>
      </c>
      <c r="J408" s="197"/>
      <c r="K408" s="197"/>
      <c r="L408" s="197"/>
      <c r="M408" s="197"/>
      <c r="N408" s="197">
        <v>37921584</v>
      </c>
      <c r="O408" s="272"/>
      <c r="P408" s="294"/>
      <c r="Q408" s="134"/>
      <c r="R408" s="83"/>
    </row>
    <row r="409" spans="1:18" s="102" customFormat="1" ht="30" customHeight="1" x14ac:dyDescent="0.2">
      <c r="A409" s="273"/>
      <c r="B409" s="199"/>
      <c r="C409" s="189"/>
      <c r="D409" s="189"/>
      <c r="E409" s="189"/>
      <c r="F409" s="200"/>
      <c r="G409" s="195"/>
      <c r="H409" s="196"/>
      <c r="I409" s="197"/>
      <c r="J409" s="197"/>
      <c r="K409" s="197"/>
      <c r="L409" s="197"/>
      <c r="M409" s="197"/>
      <c r="N409" s="197"/>
      <c r="O409" s="272"/>
      <c r="P409" s="294"/>
      <c r="Q409" s="134"/>
      <c r="R409" s="83"/>
    </row>
    <row r="410" spans="1:18" s="102" customFormat="1" ht="12.75" x14ac:dyDescent="0.2">
      <c r="A410" s="273"/>
      <c r="B410" s="199"/>
      <c r="C410" s="189"/>
      <c r="D410" s="189"/>
      <c r="E410" s="189"/>
      <c r="F410" s="200" t="s">
        <v>395</v>
      </c>
      <c r="G410" s="195" t="s">
        <v>357</v>
      </c>
      <c r="H410" s="196" t="s">
        <v>91</v>
      </c>
      <c r="I410" s="197">
        <v>0</v>
      </c>
      <c r="J410" s="197"/>
      <c r="K410" s="197"/>
      <c r="L410" s="197"/>
      <c r="M410" s="197"/>
      <c r="N410" s="197">
        <v>15000000</v>
      </c>
      <c r="O410" s="272"/>
      <c r="P410" s="294"/>
      <c r="Q410" s="134"/>
      <c r="R410" s="83"/>
    </row>
    <row r="411" spans="1:18" s="102" customFormat="1" ht="12.75" x14ac:dyDescent="0.2">
      <c r="A411" s="273"/>
      <c r="B411" s="199"/>
      <c r="C411" s="189"/>
      <c r="D411" s="189"/>
      <c r="E411" s="189"/>
      <c r="F411" s="200"/>
      <c r="G411" s="195"/>
      <c r="H411" s="196"/>
      <c r="I411" s="197"/>
      <c r="J411" s="197"/>
      <c r="K411" s="197"/>
      <c r="L411" s="197"/>
      <c r="M411" s="197"/>
      <c r="N411" s="197"/>
      <c r="O411" s="272"/>
      <c r="P411" s="294"/>
      <c r="Q411" s="134"/>
      <c r="R411" s="83"/>
    </row>
    <row r="412" spans="1:18" s="102" customFormat="1" ht="25.5" x14ac:dyDescent="0.2">
      <c r="A412" s="273"/>
      <c r="B412" s="199"/>
      <c r="C412" s="189"/>
      <c r="D412" s="189"/>
      <c r="E412" s="189"/>
      <c r="F412" s="200" t="s">
        <v>396</v>
      </c>
      <c r="G412" s="195" t="s">
        <v>358</v>
      </c>
      <c r="H412" s="196" t="s">
        <v>94</v>
      </c>
      <c r="I412" s="197">
        <v>0</v>
      </c>
      <c r="J412" s="197"/>
      <c r="K412" s="197"/>
      <c r="L412" s="197"/>
      <c r="M412" s="197"/>
      <c r="N412" s="197">
        <v>20000000</v>
      </c>
      <c r="O412" s="272"/>
      <c r="P412" s="294"/>
      <c r="Q412" s="134"/>
      <c r="R412" s="83"/>
    </row>
    <row r="413" spans="1:18" s="102" customFormat="1" ht="12.75" x14ac:dyDescent="0.2">
      <c r="A413" s="273"/>
      <c r="B413" s="199"/>
      <c r="C413" s="189"/>
      <c r="D413" s="189"/>
      <c r="E413" s="189"/>
      <c r="F413" s="200"/>
      <c r="G413" s="195"/>
      <c r="H413" s="196"/>
      <c r="I413" s="197"/>
      <c r="J413" s="197"/>
      <c r="K413" s="197"/>
      <c r="L413" s="197"/>
      <c r="M413" s="197"/>
      <c r="N413" s="197"/>
      <c r="O413" s="272"/>
      <c r="P413" s="294"/>
      <c r="Q413" s="134"/>
      <c r="R413" s="83"/>
    </row>
    <row r="414" spans="1:18" s="102" customFormat="1" ht="12.75" x14ac:dyDescent="0.2">
      <c r="A414" s="273"/>
      <c r="B414" s="199"/>
      <c r="C414" s="189"/>
      <c r="D414" s="189"/>
      <c r="E414" s="189"/>
      <c r="F414" s="200" t="s">
        <v>397</v>
      </c>
      <c r="G414" s="195" t="s">
        <v>359</v>
      </c>
      <c r="H414" s="196" t="s">
        <v>94</v>
      </c>
      <c r="I414" s="197">
        <v>30000000</v>
      </c>
      <c r="J414" s="197"/>
      <c r="K414" s="197">
        <f>+I414</f>
        <v>30000000</v>
      </c>
      <c r="L414" s="197"/>
      <c r="M414" s="197"/>
      <c r="N414" s="197">
        <v>0</v>
      </c>
      <c r="O414" s="272"/>
      <c r="P414" s="294"/>
      <c r="Q414" s="134"/>
      <c r="R414" s="83"/>
    </row>
    <row r="415" spans="1:18" s="102" customFormat="1" ht="12.75" x14ac:dyDescent="0.2">
      <c r="A415" s="273"/>
      <c r="B415" s="199"/>
      <c r="C415" s="189"/>
      <c r="D415" s="189"/>
      <c r="E415" s="189"/>
      <c r="F415" s="200"/>
      <c r="G415" s="195"/>
      <c r="H415" s="196"/>
      <c r="I415" s="197"/>
      <c r="J415" s="197"/>
      <c r="K415" s="197"/>
      <c r="L415" s="197"/>
      <c r="M415" s="197"/>
      <c r="N415" s="197"/>
      <c r="O415" s="272"/>
      <c r="P415" s="294"/>
      <c r="Q415" s="134"/>
      <c r="R415" s="83"/>
    </row>
    <row r="416" spans="1:18" s="102" customFormat="1" ht="12.75" x14ac:dyDescent="0.2">
      <c r="A416" s="273"/>
      <c r="B416" s="199"/>
      <c r="C416" s="189"/>
      <c r="D416" s="189"/>
      <c r="E416" s="189"/>
      <c r="F416" s="200" t="s">
        <v>127</v>
      </c>
      <c r="G416" s="195" t="s">
        <v>360</v>
      </c>
      <c r="H416" s="196" t="s">
        <v>94</v>
      </c>
      <c r="I416" s="197">
        <v>22632502.530000001</v>
      </c>
      <c r="J416" s="197"/>
      <c r="K416" s="197">
        <f>+I416</f>
        <v>22632502.530000001</v>
      </c>
      <c r="L416" s="197"/>
      <c r="M416" s="197"/>
      <c r="N416" s="197">
        <f>25000000-I416</f>
        <v>2367497.4699999988</v>
      </c>
      <c r="O416" s="272"/>
      <c r="P416" s="294"/>
      <c r="Q416" s="134"/>
      <c r="R416" s="83"/>
    </row>
    <row r="417" spans="1:18" s="102" customFormat="1" ht="12.75" x14ac:dyDescent="0.2">
      <c r="A417" s="273"/>
      <c r="B417" s="199"/>
      <c r="C417" s="189"/>
      <c r="D417" s="189"/>
      <c r="E417" s="189"/>
      <c r="F417" s="200"/>
      <c r="G417" s="195"/>
      <c r="H417" s="196"/>
      <c r="I417" s="197"/>
      <c r="J417" s="197"/>
      <c r="K417" s="197"/>
      <c r="L417" s="197"/>
      <c r="M417" s="197"/>
      <c r="N417" s="197"/>
      <c r="O417" s="272"/>
      <c r="P417" s="294"/>
      <c r="Q417" s="134"/>
      <c r="R417" s="83"/>
    </row>
    <row r="418" spans="1:18" s="102" customFormat="1" ht="12.75" x14ac:dyDescent="0.2">
      <c r="A418" s="273"/>
      <c r="B418" s="199"/>
      <c r="C418" s="189"/>
      <c r="D418" s="189"/>
      <c r="E418" s="189"/>
      <c r="F418" s="200" t="s">
        <v>398</v>
      </c>
      <c r="G418" s="195" t="s">
        <v>361</v>
      </c>
      <c r="H418" s="196" t="s">
        <v>94</v>
      </c>
      <c r="I418" s="197">
        <v>0</v>
      </c>
      <c r="J418" s="197"/>
      <c r="K418" s="197">
        <f>+I418</f>
        <v>0</v>
      </c>
      <c r="L418" s="197"/>
      <c r="M418" s="197"/>
      <c r="N418" s="197">
        <v>80800000</v>
      </c>
      <c r="O418" s="272"/>
      <c r="P418" s="294"/>
      <c r="Q418" s="134"/>
      <c r="R418" s="83"/>
    </row>
    <row r="419" spans="1:18" s="102" customFormat="1" ht="12.75" x14ac:dyDescent="0.2">
      <c r="A419" s="273"/>
      <c r="B419" s="199"/>
      <c r="C419" s="189"/>
      <c r="D419" s="189"/>
      <c r="E419" s="189"/>
      <c r="F419" s="200"/>
      <c r="G419" s="195"/>
      <c r="H419" s="196"/>
      <c r="I419" s="197"/>
      <c r="J419" s="197"/>
      <c r="K419" s="197"/>
      <c r="L419" s="197"/>
      <c r="M419" s="197"/>
      <c r="N419" s="197"/>
      <c r="O419" s="272"/>
      <c r="P419" s="294"/>
      <c r="Q419" s="134"/>
      <c r="R419" s="83"/>
    </row>
    <row r="420" spans="1:18" s="102" customFormat="1" ht="12.75" x14ac:dyDescent="0.2">
      <c r="A420" s="273"/>
      <c r="B420" s="199"/>
      <c r="C420" s="189"/>
      <c r="D420" s="189"/>
      <c r="E420" s="189"/>
      <c r="F420" s="200" t="s">
        <v>399</v>
      </c>
      <c r="G420" s="195" t="s">
        <v>362</v>
      </c>
      <c r="H420" s="196" t="s">
        <v>94</v>
      </c>
      <c r="I420" s="197">
        <v>20000000</v>
      </c>
      <c r="J420" s="197"/>
      <c r="K420" s="197">
        <f>+I420</f>
        <v>20000000</v>
      </c>
      <c r="L420" s="197"/>
      <c r="M420" s="197"/>
      <c r="N420" s="197">
        <v>0</v>
      </c>
      <c r="O420" s="272"/>
      <c r="P420" s="294"/>
      <c r="Q420" s="134"/>
      <c r="R420" s="83"/>
    </row>
    <row r="421" spans="1:18" s="102" customFormat="1" ht="12.75" x14ac:dyDescent="0.2">
      <c r="A421" s="273"/>
      <c r="B421" s="199"/>
      <c r="C421" s="189"/>
      <c r="D421" s="189"/>
      <c r="E421" s="189"/>
      <c r="F421" s="200"/>
      <c r="G421" s="195"/>
      <c r="H421" s="196"/>
      <c r="I421" s="197"/>
      <c r="J421" s="197"/>
      <c r="K421" s="197"/>
      <c r="L421" s="197"/>
      <c r="M421" s="197"/>
      <c r="N421" s="197"/>
      <c r="O421" s="272"/>
      <c r="P421" s="294"/>
      <c r="Q421" s="134"/>
      <c r="R421" s="83"/>
    </row>
    <row r="422" spans="1:18" s="102" customFormat="1" ht="12.75" x14ac:dyDescent="0.2">
      <c r="A422" s="273"/>
      <c r="B422" s="199"/>
      <c r="C422" s="189"/>
      <c r="D422" s="189"/>
      <c r="E422" s="189"/>
      <c r="F422" s="200" t="s">
        <v>400</v>
      </c>
      <c r="G422" s="195" t="s">
        <v>363</v>
      </c>
      <c r="H422" s="196" t="s">
        <v>94</v>
      </c>
      <c r="I422" s="197">
        <v>0</v>
      </c>
      <c r="J422" s="197"/>
      <c r="K422" s="197">
        <f>+I422</f>
        <v>0</v>
      </c>
      <c r="L422" s="197"/>
      <c r="M422" s="197"/>
      <c r="N422" s="197">
        <v>75000000</v>
      </c>
      <c r="O422" s="272"/>
      <c r="P422" s="294"/>
      <c r="Q422" s="134"/>
      <c r="R422" s="83"/>
    </row>
    <row r="423" spans="1:18" s="102" customFormat="1" ht="12.75" x14ac:dyDescent="0.2">
      <c r="A423" s="273"/>
      <c r="B423" s="199"/>
      <c r="C423" s="189"/>
      <c r="D423" s="189"/>
      <c r="E423" s="189"/>
      <c r="F423" s="200"/>
      <c r="G423" s="195"/>
      <c r="H423" s="196"/>
      <c r="I423" s="197"/>
      <c r="J423" s="197"/>
      <c r="K423" s="197"/>
      <c r="L423" s="197"/>
      <c r="M423" s="197"/>
      <c r="N423" s="197"/>
      <c r="O423" s="272"/>
      <c r="P423" s="294"/>
      <c r="Q423" s="134"/>
      <c r="R423" s="83"/>
    </row>
    <row r="424" spans="1:18" s="102" customFormat="1" ht="25.5" x14ac:dyDescent="0.2">
      <c r="A424" s="273"/>
      <c r="B424" s="199"/>
      <c r="C424" s="189"/>
      <c r="D424" s="189"/>
      <c r="E424" s="189"/>
      <c r="F424" s="200" t="s">
        <v>401</v>
      </c>
      <c r="G424" s="195" t="s">
        <v>364</v>
      </c>
      <c r="H424" s="196" t="s">
        <v>94</v>
      </c>
      <c r="I424" s="197">
        <v>15000000</v>
      </c>
      <c r="J424" s="197"/>
      <c r="K424" s="197">
        <f>+I424</f>
        <v>15000000</v>
      </c>
      <c r="L424" s="197"/>
      <c r="M424" s="197"/>
      <c r="N424" s="197"/>
      <c r="O424" s="272"/>
      <c r="P424" s="294"/>
      <c r="Q424" s="134"/>
      <c r="R424" s="83"/>
    </row>
    <row r="425" spans="1:18" s="102" customFormat="1" ht="12.75" x14ac:dyDescent="0.2">
      <c r="A425" s="273"/>
      <c r="B425" s="199"/>
      <c r="C425" s="189"/>
      <c r="D425" s="189"/>
      <c r="E425" s="189"/>
      <c r="F425" s="200"/>
      <c r="G425" s="195"/>
      <c r="H425" s="196"/>
      <c r="I425" s="197"/>
      <c r="J425" s="197"/>
      <c r="K425" s="197"/>
      <c r="L425" s="197"/>
      <c r="M425" s="197"/>
      <c r="N425" s="197"/>
      <c r="O425" s="272"/>
      <c r="P425" s="294"/>
      <c r="Q425" s="134"/>
      <c r="R425" s="83"/>
    </row>
    <row r="426" spans="1:18" s="102" customFormat="1" ht="12.75" x14ac:dyDescent="0.2">
      <c r="A426" s="273"/>
      <c r="B426" s="199"/>
      <c r="C426" s="189"/>
      <c r="D426" s="189"/>
      <c r="E426" s="189"/>
      <c r="F426" s="200" t="s">
        <v>402</v>
      </c>
      <c r="G426" s="195" t="s">
        <v>365</v>
      </c>
      <c r="H426" s="196" t="s">
        <v>94</v>
      </c>
      <c r="I426" s="197">
        <v>212407515</v>
      </c>
      <c r="J426" s="197"/>
      <c r="K426" s="197">
        <f>+I426</f>
        <v>212407515</v>
      </c>
      <c r="L426" s="197"/>
      <c r="M426" s="197"/>
      <c r="N426" s="197">
        <f>230000001.8-I426</f>
        <v>17592486.800000012</v>
      </c>
      <c r="O426" s="272"/>
      <c r="P426" s="294"/>
      <c r="Q426" s="134"/>
      <c r="R426" s="83"/>
    </row>
    <row r="427" spans="1:18" s="102" customFormat="1" ht="12.75" x14ac:dyDescent="0.2">
      <c r="A427" s="273"/>
      <c r="B427" s="199"/>
      <c r="C427" s="189"/>
      <c r="D427" s="189"/>
      <c r="E427" s="189"/>
      <c r="F427" s="200"/>
      <c r="G427" s="195"/>
      <c r="H427" s="196"/>
      <c r="I427" s="197"/>
      <c r="J427" s="197"/>
      <c r="K427" s="197"/>
      <c r="L427" s="197"/>
      <c r="M427" s="197"/>
      <c r="N427" s="197"/>
      <c r="O427" s="272"/>
      <c r="P427" s="294"/>
      <c r="Q427" s="134"/>
      <c r="R427" s="83"/>
    </row>
    <row r="428" spans="1:18" s="102" customFormat="1" ht="12.75" x14ac:dyDescent="0.2">
      <c r="A428" s="273"/>
      <c r="B428" s="199"/>
      <c r="C428" s="189"/>
      <c r="D428" s="189"/>
      <c r="E428" s="189"/>
      <c r="F428" s="200" t="s">
        <v>403</v>
      </c>
      <c r="G428" s="195" t="s">
        <v>366</v>
      </c>
      <c r="H428" s="196" t="s">
        <v>94</v>
      </c>
      <c r="I428" s="197">
        <v>32576000</v>
      </c>
      <c r="J428" s="197"/>
      <c r="K428" s="197">
        <f>+I428</f>
        <v>32576000</v>
      </c>
      <c r="L428" s="197"/>
      <c r="M428" s="197"/>
      <c r="N428" s="197"/>
      <c r="O428" s="272"/>
      <c r="P428" s="294"/>
      <c r="Q428" s="134"/>
      <c r="R428" s="83"/>
    </row>
    <row r="429" spans="1:18" s="102" customFormat="1" ht="12.75" x14ac:dyDescent="0.2">
      <c r="A429" s="273"/>
      <c r="B429" s="199"/>
      <c r="C429" s="189"/>
      <c r="D429" s="189"/>
      <c r="E429" s="189"/>
      <c r="F429" s="200"/>
      <c r="G429" s="195"/>
      <c r="H429" s="196"/>
      <c r="I429" s="197"/>
      <c r="J429" s="197"/>
      <c r="K429" s="197"/>
      <c r="L429" s="197"/>
      <c r="M429" s="197"/>
      <c r="N429" s="197"/>
      <c r="O429" s="272"/>
      <c r="P429" s="294"/>
      <c r="Q429" s="134"/>
      <c r="R429" s="83"/>
    </row>
    <row r="430" spans="1:18" s="102" customFormat="1" ht="12.75" x14ac:dyDescent="0.2">
      <c r="A430" s="273"/>
      <c r="B430" s="199"/>
      <c r="C430" s="189"/>
      <c r="D430" s="189"/>
      <c r="E430" s="189"/>
      <c r="F430" s="200" t="s">
        <v>133</v>
      </c>
      <c r="G430" s="195" t="s">
        <v>367</v>
      </c>
      <c r="H430" s="196" t="s">
        <v>91</v>
      </c>
      <c r="I430" s="197">
        <v>59923550.609999999</v>
      </c>
      <c r="J430" s="197">
        <f>+I430</f>
        <v>59923550.609999999</v>
      </c>
      <c r="K430" s="197">
        <v>0</v>
      </c>
      <c r="L430" s="197"/>
      <c r="M430" s="197"/>
      <c r="N430" s="197">
        <f>70000000-59923550.61</f>
        <v>10076449.390000001</v>
      </c>
      <c r="O430" s="272"/>
      <c r="P430" s="294"/>
      <c r="Q430" s="134"/>
      <c r="R430" s="83"/>
    </row>
    <row r="431" spans="1:18" s="112" customFormat="1" ht="12.75" x14ac:dyDescent="0.2">
      <c r="A431" s="273"/>
      <c r="B431" s="199"/>
      <c r="C431" s="189"/>
      <c r="D431" s="189"/>
      <c r="E431" s="189"/>
      <c r="F431" s="200"/>
      <c r="G431" s="195"/>
      <c r="H431" s="196" t="s">
        <v>94</v>
      </c>
      <c r="I431" s="197">
        <f>3049048727.39+179888847.94</f>
        <v>3228937575.3299999</v>
      </c>
      <c r="J431" s="197"/>
      <c r="K431" s="197">
        <f>+I431</f>
        <v>3228937575.3299999</v>
      </c>
      <c r="L431" s="197"/>
      <c r="M431" s="197"/>
      <c r="N431" s="197"/>
      <c r="O431" s="272"/>
      <c r="P431" s="294"/>
      <c r="Q431" s="134"/>
      <c r="R431" s="83"/>
    </row>
    <row r="432" spans="1:18" s="102" customFormat="1" ht="12.75" x14ac:dyDescent="0.2">
      <c r="A432" s="273"/>
      <c r="B432" s="199"/>
      <c r="C432" s="189"/>
      <c r="D432" s="189"/>
      <c r="E432" s="189"/>
      <c r="F432" s="200"/>
      <c r="G432" s="195"/>
      <c r="H432" s="196"/>
      <c r="I432" s="197"/>
      <c r="J432" s="197"/>
      <c r="K432" s="197"/>
      <c r="L432" s="197"/>
      <c r="M432" s="197"/>
      <c r="N432" s="197"/>
      <c r="O432" s="272"/>
      <c r="P432" s="294"/>
      <c r="Q432" s="134"/>
      <c r="R432" s="83"/>
    </row>
    <row r="433" spans="1:18" s="102" customFormat="1" ht="12.75" x14ac:dyDescent="0.2">
      <c r="A433" s="273"/>
      <c r="B433" s="199"/>
      <c r="C433" s="189"/>
      <c r="D433" s="189"/>
      <c r="E433" s="189"/>
      <c r="F433" s="200" t="s">
        <v>404</v>
      </c>
      <c r="G433" s="195" t="s">
        <v>368</v>
      </c>
      <c r="H433" s="196" t="s">
        <v>94</v>
      </c>
      <c r="I433" s="197">
        <v>85530482</v>
      </c>
      <c r="J433" s="197"/>
      <c r="K433" s="197">
        <f>+I433</f>
        <v>85530482</v>
      </c>
      <c r="L433" s="197"/>
      <c r="M433" s="197"/>
      <c r="N433" s="197">
        <f>200000000+85530482-I433</f>
        <v>200000000</v>
      </c>
      <c r="O433" s="272"/>
      <c r="P433" s="294"/>
      <c r="Q433" s="134"/>
      <c r="R433" s="83"/>
    </row>
    <row r="434" spans="1:18" s="102" customFormat="1" ht="12.75" x14ac:dyDescent="0.2">
      <c r="A434" s="273"/>
      <c r="B434" s="199"/>
      <c r="C434" s="189"/>
      <c r="D434" s="189"/>
      <c r="E434" s="189"/>
      <c r="F434" s="200"/>
      <c r="G434" s="195"/>
      <c r="H434" s="196"/>
      <c r="I434" s="197"/>
      <c r="J434" s="197"/>
      <c r="K434" s="197"/>
      <c r="L434" s="197"/>
      <c r="M434" s="197"/>
      <c r="N434" s="197"/>
      <c r="O434" s="272"/>
      <c r="P434" s="294"/>
      <c r="Q434" s="134"/>
      <c r="R434" s="83"/>
    </row>
    <row r="435" spans="1:18" s="102" customFormat="1" ht="12.75" x14ac:dyDescent="0.2">
      <c r="A435" s="273"/>
      <c r="B435" s="199"/>
      <c r="C435" s="189"/>
      <c r="D435" s="189"/>
      <c r="E435" s="189"/>
      <c r="F435" s="200" t="s">
        <v>405</v>
      </c>
      <c r="G435" s="195" t="s">
        <v>369</v>
      </c>
      <c r="H435" s="196" t="s">
        <v>94</v>
      </c>
      <c r="I435" s="197">
        <f>25851500+13261968</f>
        <v>39113468</v>
      </c>
      <c r="J435" s="197"/>
      <c r="K435" s="197">
        <f>+I435</f>
        <v>39113468</v>
      </c>
      <c r="L435" s="197"/>
      <c r="M435" s="197"/>
      <c r="N435" s="197">
        <v>0</v>
      </c>
      <c r="O435" s="272"/>
      <c r="P435" s="294"/>
      <c r="Q435" s="134"/>
      <c r="R435" s="83"/>
    </row>
    <row r="436" spans="1:18" s="102" customFormat="1" ht="12.75" x14ac:dyDescent="0.2">
      <c r="A436" s="273"/>
      <c r="B436" s="199"/>
      <c r="C436" s="189"/>
      <c r="D436" s="189"/>
      <c r="E436" s="189"/>
      <c r="F436" s="200"/>
      <c r="G436" s="195"/>
      <c r="H436" s="196"/>
      <c r="I436" s="197"/>
      <c r="J436" s="197"/>
      <c r="K436" s="197"/>
      <c r="L436" s="197"/>
      <c r="M436" s="197"/>
      <c r="N436" s="197"/>
      <c r="O436" s="272"/>
      <c r="P436" s="294"/>
      <c r="Q436" s="134"/>
      <c r="R436" s="83"/>
    </row>
    <row r="437" spans="1:18" s="102" customFormat="1" ht="25.5" x14ac:dyDescent="0.2">
      <c r="A437" s="273"/>
      <c r="B437" s="199"/>
      <c r="C437" s="189"/>
      <c r="D437" s="189"/>
      <c r="E437" s="189"/>
      <c r="F437" s="200" t="s">
        <v>406</v>
      </c>
      <c r="G437" s="195" t="s">
        <v>370</v>
      </c>
      <c r="H437" s="196" t="s">
        <v>94</v>
      </c>
      <c r="I437" s="197">
        <v>40000000</v>
      </c>
      <c r="J437" s="197"/>
      <c r="K437" s="197">
        <f>+I437</f>
        <v>40000000</v>
      </c>
      <c r="L437" s="197"/>
      <c r="M437" s="197"/>
      <c r="N437" s="197">
        <v>0</v>
      </c>
      <c r="O437" s="272"/>
      <c r="P437" s="294"/>
      <c r="Q437" s="134"/>
      <c r="R437" s="83"/>
    </row>
    <row r="438" spans="1:18" s="102" customFormat="1" ht="12.75" x14ac:dyDescent="0.2">
      <c r="A438" s="273"/>
      <c r="B438" s="199"/>
      <c r="C438" s="189"/>
      <c r="D438" s="189"/>
      <c r="E438" s="189"/>
      <c r="F438" s="200"/>
      <c r="G438" s="195"/>
      <c r="H438" s="196" t="s">
        <v>94</v>
      </c>
      <c r="I438" s="197"/>
      <c r="J438" s="197"/>
      <c r="K438" s="197">
        <f>+I438</f>
        <v>0</v>
      </c>
      <c r="L438" s="197"/>
      <c r="M438" s="197"/>
      <c r="N438" s="197"/>
      <c r="O438" s="272"/>
      <c r="P438" s="294"/>
      <c r="Q438" s="134"/>
      <c r="R438" s="83"/>
    </row>
    <row r="439" spans="1:18" s="102" customFormat="1" ht="12.75" x14ac:dyDescent="0.2">
      <c r="A439" s="273"/>
      <c r="B439" s="199"/>
      <c r="C439" s="189"/>
      <c r="D439" s="189"/>
      <c r="E439" s="189"/>
      <c r="F439" s="200" t="s">
        <v>407</v>
      </c>
      <c r="G439" s="195" t="s">
        <v>371</v>
      </c>
      <c r="H439" s="196" t="s">
        <v>94</v>
      </c>
      <c r="I439" s="197">
        <v>0</v>
      </c>
      <c r="J439" s="197"/>
      <c r="K439" s="197">
        <f>+I439</f>
        <v>0</v>
      </c>
      <c r="L439" s="197"/>
      <c r="M439" s="197"/>
      <c r="N439" s="197">
        <v>1200000000</v>
      </c>
      <c r="O439" s="272"/>
      <c r="P439" s="294"/>
      <c r="Q439" s="134"/>
      <c r="R439" s="83"/>
    </row>
    <row r="440" spans="1:18" s="102" customFormat="1" ht="12.75" x14ac:dyDescent="0.2">
      <c r="A440" s="273"/>
      <c r="B440" s="199"/>
      <c r="C440" s="189"/>
      <c r="D440" s="189"/>
      <c r="E440" s="189"/>
      <c r="F440" s="200"/>
      <c r="G440" s="195"/>
      <c r="H440" s="196"/>
      <c r="I440" s="197"/>
      <c r="J440" s="197"/>
      <c r="K440" s="197"/>
      <c r="L440" s="197"/>
      <c r="M440" s="197"/>
      <c r="N440" s="197"/>
      <c r="O440" s="272"/>
      <c r="P440" s="294"/>
      <c r="Q440" s="134"/>
      <c r="R440" s="83"/>
    </row>
    <row r="441" spans="1:18" s="102" customFormat="1" ht="25.5" x14ac:dyDescent="0.2">
      <c r="A441" s="273"/>
      <c r="B441" s="199"/>
      <c r="C441" s="189"/>
      <c r="D441" s="189"/>
      <c r="E441" s="189"/>
      <c r="F441" s="200" t="s">
        <v>408</v>
      </c>
      <c r="G441" s="195" t="s">
        <v>372</v>
      </c>
      <c r="H441" s="196" t="s">
        <v>94</v>
      </c>
      <c r="I441" s="197">
        <v>0</v>
      </c>
      <c r="J441" s="197"/>
      <c r="K441" s="197">
        <f>+I441</f>
        <v>0</v>
      </c>
      <c r="L441" s="197"/>
      <c r="M441" s="197"/>
      <c r="N441" s="197">
        <v>303090290</v>
      </c>
      <c r="O441" s="272"/>
      <c r="P441" s="294"/>
      <c r="Q441" s="134"/>
      <c r="R441" s="83"/>
    </row>
    <row r="442" spans="1:18" s="102" customFormat="1" ht="12.75" x14ac:dyDescent="0.2">
      <c r="A442" s="273"/>
      <c r="B442" s="199"/>
      <c r="C442" s="189"/>
      <c r="D442" s="189"/>
      <c r="E442" s="189"/>
      <c r="F442" s="200"/>
      <c r="G442" s="195"/>
      <c r="H442" s="196"/>
      <c r="I442" s="197"/>
      <c r="J442" s="197"/>
      <c r="K442" s="197"/>
      <c r="L442" s="197"/>
      <c r="M442" s="197"/>
      <c r="N442" s="197"/>
      <c r="O442" s="272"/>
      <c r="P442" s="294"/>
      <c r="Q442" s="134"/>
      <c r="R442" s="83"/>
    </row>
    <row r="443" spans="1:18" s="102" customFormat="1" ht="25.5" x14ac:dyDescent="0.2">
      <c r="A443" s="273"/>
      <c r="B443" s="199"/>
      <c r="C443" s="189"/>
      <c r="D443" s="189"/>
      <c r="E443" s="189"/>
      <c r="F443" s="200" t="s">
        <v>409</v>
      </c>
      <c r="G443" s="195" t="str">
        <f>+'[3]Egresos Programa III General'!$B$72</f>
        <v>Mejoras Sistema De Alcantarillado Sanitario Urbanizacion Altos De Montenegro</v>
      </c>
      <c r="H443" s="196" t="s">
        <v>94</v>
      </c>
      <c r="I443" s="197">
        <v>0</v>
      </c>
      <c r="J443" s="197"/>
      <c r="K443" s="197">
        <f>+I443</f>
        <v>0</v>
      </c>
      <c r="L443" s="197"/>
      <c r="M443" s="197"/>
      <c r="N443" s="197">
        <v>300000000</v>
      </c>
      <c r="O443" s="272"/>
      <c r="P443" s="294"/>
      <c r="Q443" s="134"/>
      <c r="R443" s="83"/>
    </row>
    <row r="444" spans="1:18" s="102" customFormat="1" ht="12.75" x14ac:dyDescent="0.2">
      <c r="A444" s="273"/>
      <c r="B444" s="199"/>
      <c r="C444" s="189"/>
      <c r="D444" s="189"/>
      <c r="E444" s="189"/>
      <c r="F444" s="200"/>
      <c r="G444" s="195"/>
      <c r="H444" s="196"/>
      <c r="I444" s="197"/>
      <c r="J444" s="197"/>
      <c r="K444" s="197"/>
      <c r="L444" s="197"/>
      <c r="M444" s="197"/>
      <c r="N444" s="197"/>
      <c r="O444" s="272"/>
      <c r="P444" s="294"/>
      <c r="Q444" s="134"/>
      <c r="R444" s="83"/>
    </row>
    <row r="445" spans="1:18" s="102" customFormat="1" ht="12.75" x14ac:dyDescent="0.2">
      <c r="A445" s="273"/>
      <c r="B445" s="199"/>
      <c r="C445" s="189"/>
      <c r="D445" s="189"/>
      <c r="E445" s="189"/>
      <c r="F445" s="200" t="s">
        <v>410</v>
      </c>
      <c r="G445" s="195" t="s">
        <v>373</v>
      </c>
      <c r="H445" s="196" t="s">
        <v>92</v>
      </c>
      <c r="I445" s="197">
        <v>0</v>
      </c>
      <c r="J445" s="197"/>
      <c r="K445" s="197">
        <f>+I445</f>
        <v>0</v>
      </c>
      <c r="L445" s="197"/>
      <c r="M445" s="197"/>
      <c r="N445" s="197">
        <v>10000000</v>
      </c>
      <c r="O445" s="272"/>
      <c r="P445" s="294"/>
      <c r="Q445" s="134"/>
      <c r="R445" s="83"/>
    </row>
    <row r="446" spans="1:18" s="102" customFormat="1" ht="12.75" x14ac:dyDescent="0.2">
      <c r="A446" s="273"/>
      <c r="B446" s="199"/>
      <c r="C446" s="189"/>
      <c r="D446" s="189"/>
      <c r="E446" s="189"/>
      <c r="F446" s="200"/>
      <c r="G446" s="195"/>
      <c r="H446" s="196"/>
      <c r="I446" s="197"/>
      <c r="J446" s="197"/>
      <c r="K446" s="197"/>
      <c r="L446" s="197"/>
      <c r="M446" s="197"/>
      <c r="N446" s="197"/>
      <c r="O446" s="272"/>
      <c r="P446" s="294"/>
      <c r="Q446" s="134"/>
      <c r="R446" s="83"/>
    </row>
    <row r="447" spans="1:18" s="102" customFormat="1" ht="12.75" x14ac:dyDescent="0.2">
      <c r="A447" s="273"/>
      <c r="B447" s="199"/>
      <c r="C447" s="189"/>
      <c r="D447" s="189"/>
      <c r="E447" s="189"/>
      <c r="F447" s="200" t="s">
        <v>411</v>
      </c>
      <c r="G447" s="195" t="s">
        <v>374</v>
      </c>
      <c r="H447" s="196" t="s">
        <v>94</v>
      </c>
      <c r="I447" s="197">
        <v>400000000</v>
      </c>
      <c r="J447" s="197"/>
      <c r="K447" s="197">
        <f>+I447</f>
        <v>400000000</v>
      </c>
      <c r="L447" s="197"/>
      <c r="M447" s="197"/>
      <c r="N447" s="197">
        <v>0</v>
      </c>
      <c r="O447" s="272"/>
      <c r="P447" s="294"/>
      <c r="Q447" s="134"/>
      <c r="R447" s="83"/>
    </row>
    <row r="448" spans="1:18" s="102" customFormat="1" ht="12.75" x14ac:dyDescent="0.2">
      <c r="A448" s="273"/>
      <c r="B448" s="199"/>
      <c r="C448" s="189"/>
      <c r="D448" s="189"/>
      <c r="E448" s="189"/>
      <c r="F448" s="200"/>
      <c r="G448" s="195"/>
      <c r="H448" s="196"/>
      <c r="I448" s="197"/>
      <c r="J448" s="197"/>
      <c r="K448" s="197"/>
      <c r="L448" s="197"/>
      <c r="M448" s="197"/>
      <c r="N448" s="197"/>
      <c r="O448" s="272"/>
      <c r="P448" s="294"/>
      <c r="Q448" s="134"/>
      <c r="R448" s="83"/>
    </row>
    <row r="449" spans="1:18" s="102" customFormat="1" ht="12.75" x14ac:dyDescent="0.2">
      <c r="A449" s="273"/>
      <c r="B449" s="199"/>
      <c r="C449" s="189"/>
      <c r="D449" s="189"/>
      <c r="E449" s="189"/>
      <c r="F449" s="200" t="s">
        <v>412</v>
      </c>
      <c r="G449" s="195" t="s">
        <v>375</v>
      </c>
      <c r="H449" s="196" t="s">
        <v>91</v>
      </c>
      <c r="I449" s="197">
        <v>236793600</v>
      </c>
      <c r="J449" s="197">
        <f>+I449</f>
        <v>236793600</v>
      </c>
      <c r="K449" s="197"/>
      <c r="L449" s="197"/>
      <c r="M449" s="197"/>
      <c r="N449" s="197">
        <v>0</v>
      </c>
      <c r="O449" s="272"/>
      <c r="P449" s="294"/>
      <c r="Q449" s="134"/>
      <c r="R449" s="83"/>
    </row>
    <row r="450" spans="1:18" s="102" customFormat="1" ht="12.75" x14ac:dyDescent="0.2">
      <c r="A450" s="273"/>
      <c r="B450" s="199"/>
      <c r="C450" s="189"/>
      <c r="D450" s="189"/>
      <c r="E450" s="189"/>
      <c r="F450" s="200"/>
      <c r="G450" s="195"/>
      <c r="H450" s="196"/>
      <c r="I450" s="197"/>
      <c r="J450" s="197"/>
      <c r="K450" s="197"/>
      <c r="L450" s="197"/>
      <c r="M450" s="197"/>
      <c r="N450" s="197"/>
      <c r="O450" s="272"/>
      <c r="P450" s="294"/>
      <c r="Q450" s="134"/>
      <c r="R450" s="83"/>
    </row>
    <row r="451" spans="1:18" s="102" customFormat="1" ht="12.75" x14ac:dyDescent="0.2">
      <c r="A451" s="273"/>
      <c r="B451" s="199"/>
      <c r="C451" s="189"/>
      <c r="D451" s="189"/>
      <c r="E451" s="189"/>
      <c r="F451" s="200" t="s">
        <v>413</v>
      </c>
      <c r="G451" s="195" t="s">
        <v>376</v>
      </c>
      <c r="H451" s="196" t="s">
        <v>94</v>
      </c>
      <c r="I451" s="197">
        <v>0</v>
      </c>
      <c r="J451" s="197"/>
      <c r="K451" s="197"/>
      <c r="L451" s="197"/>
      <c r="M451" s="197"/>
      <c r="N451" s="197">
        <v>35292252</v>
      </c>
      <c r="O451" s="272"/>
      <c r="P451" s="294"/>
      <c r="Q451" s="134"/>
      <c r="R451" s="83"/>
    </row>
    <row r="452" spans="1:18" s="102" customFormat="1" ht="12.75" x14ac:dyDescent="0.2">
      <c r="A452" s="273"/>
      <c r="B452" s="199"/>
      <c r="C452" s="189"/>
      <c r="D452" s="189"/>
      <c r="E452" s="189"/>
      <c r="F452" s="200"/>
      <c r="G452" s="195"/>
      <c r="H452" s="196"/>
      <c r="I452" s="197"/>
      <c r="J452" s="197"/>
      <c r="K452" s="197"/>
      <c r="L452" s="197"/>
      <c r="M452" s="197"/>
      <c r="N452" s="197"/>
      <c r="O452" s="272"/>
      <c r="P452" s="294"/>
      <c r="Q452" s="134"/>
      <c r="R452" s="83"/>
    </row>
    <row r="453" spans="1:18" s="102" customFormat="1" ht="12.75" x14ac:dyDescent="0.2">
      <c r="A453" s="273"/>
      <c r="B453" s="199"/>
      <c r="C453" s="189"/>
      <c r="D453" s="189"/>
      <c r="E453" s="189"/>
      <c r="F453" s="200" t="s">
        <v>414</v>
      </c>
      <c r="G453" s="195" t="s">
        <v>377</v>
      </c>
      <c r="H453" s="196" t="s">
        <v>94</v>
      </c>
      <c r="I453" s="197">
        <v>0</v>
      </c>
      <c r="J453" s="197"/>
      <c r="K453" s="197"/>
      <c r="L453" s="197"/>
      <c r="M453" s="197"/>
      <c r="N453" s="197">
        <v>200000000</v>
      </c>
      <c r="O453" s="272"/>
      <c r="P453" s="294"/>
      <c r="Q453" s="134"/>
      <c r="R453" s="83"/>
    </row>
    <row r="454" spans="1:18" s="102" customFormat="1" ht="12.75" x14ac:dyDescent="0.2">
      <c r="A454" s="273"/>
      <c r="B454" s="199"/>
      <c r="C454" s="189"/>
      <c r="D454" s="189"/>
      <c r="E454" s="189"/>
      <c r="F454" s="200"/>
      <c r="G454" s="195"/>
      <c r="H454" s="196"/>
      <c r="I454" s="197"/>
      <c r="J454" s="197"/>
      <c r="K454" s="197"/>
      <c r="L454" s="197"/>
      <c r="M454" s="197"/>
      <c r="N454" s="197"/>
      <c r="O454" s="272"/>
      <c r="P454" s="294"/>
      <c r="Q454" s="134"/>
      <c r="R454" s="83"/>
    </row>
    <row r="455" spans="1:18" s="102" customFormat="1" ht="25.5" x14ac:dyDescent="0.2">
      <c r="A455" s="273"/>
      <c r="B455" s="199"/>
      <c r="C455" s="189"/>
      <c r="D455" s="189"/>
      <c r="E455" s="189"/>
      <c r="F455" s="200" t="s">
        <v>178</v>
      </c>
      <c r="G455" s="195" t="s">
        <v>333</v>
      </c>
      <c r="H455" s="196" t="s">
        <v>94</v>
      </c>
      <c r="I455" s="197">
        <v>196359460.13</v>
      </c>
      <c r="J455" s="197"/>
      <c r="K455" s="197">
        <f>+I455</f>
        <v>196359460.13</v>
      </c>
      <c r="L455" s="197"/>
      <c r="M455" s="197"/>
      <c r="N455" s="197">
        <v>0</v>
      </c>
      <c r="O455" s="272"/>
      <c r="P455" s="294"/>
      <c r="Q455" s="134"/>
      <c r="R455" s="83"/>
    </row>
    <row r="456" spans="1:18" s="102" customFormat="1" ht="12.75" x14ac:dyDescent="0.2">
      <c r="A456" s="273"/>
      <c r="B456" s="199"/>
      <c r="C456" s="189"/>
      <c r="D456" s="189"/>
      <c r="E456" s="189"/>
      <c r="F456" s="200"/>
      <c r="G456" s="195"/>
      <c r="H456" s="196"/>
      <c r="I456" s="197"/>
      <c r="J456" s="197"/>
      <c r="K456" s="197"/>
      <c r="L456" s="197"/>
      <c r="M456" s="197"/>
      <c r="N456" s="197"/>
      <c r="O456" s="272"/>
      <c r="P456" s="294"/>
      <c r="Q456" s="134"/>
      <c r="R456" s="83"/>
    </row>
    <row r="457" spans="1:18" s="102" customFormat="1" ht="12.75" x14ac:dyDescent="0.2">
      <c r="A457" s="273"/>
      <c r="B457" s="199"/>
      <c r="C457" s="189"/>
      <c r="D457" s="189"/>
      <c r="E457" s="189"/>
      <c r="F457" s="200" t="s">
        <v>415</v>
      </c>
      <c r="G457" s="195" t="s">
        <v>378</v>
      </c>
      <c r="H457" s="196" t="s">
        <v>91</v>
      </c>
      <c r="I457" s="197">
        <v>0</v>
      </c>
      <c r="J457" s="197">
        <v>0</v>
      </c>
      <c r="K457" s="197"/>
      <c r="L457" s="197"/>
      <c r="M457" s="197"/>
      <c r="N457" s="197">
        <v>24353142</v>
      </c>
      <c r="O457" s="272"/>
      <c r="P457" s="294"/>
      <c r="Q457" s="134"/>
      <c r="R457" s="83"/>
    </row>
    <row r="458" spans="1:18" s="102" customFormat="1" ht="12.75" x14ac:dyDescent="0.2">
      <c r="A458" s="273"/>
      <c r="B458" s="199"/>
      <c r="C458" s="189"/>
      <c r="D458" s="189"/>
      <c r="E458" s="189"/>
      <c r="F458" s="200"/>
      <c r="G458" s="195"/>
      <c r="H458" s="196"/>
      <c r="I458" s="197"/>
      <c r="J458" s="197"/>
      <c r="K458" s="197"/>
      <c r="L458" s="197"/>
      <c r="M458" s="197"/>
      <c r="N458" s="197"/>
      <c r="O458" s="272"/>
      <c r="P458" s="294"/>
      <c r="Q458" s="134"/>
      <c r="R458" s="83"/>
    </row>
    <row r="459" spans="1:18" s="102" customFormat="1" ht="25.5" x14ac:dyDescent="0.2">
      <c r="A459" s="273"/>
      <c r="B459" s="199"/>
      <c r="C459" s="189"/>
      <c r="D459" s="189"/>
      <c r="E459" s="189"/>
      <c r="F459" s="200" t="s">
        <v>416</v>
      </c>
      <c r="G459" s="195" t="s">
        <v>379</v>
      </c>
      <c r="H459" s="196" t="s">
        <v>94</v>
      </c>
      <c r="I459" s="197">
        <v>1340724.8</v>
      </c>
      <c r="J459" s="197"/>
      <c r="K459" s="197">
        <f>+I459</f>
        <v>1340724.8</v>
      </c>
      <c r="L459" s="197"/>
      <c r="M459" s="197"/>
      <c r="N459" s="197">
        <f>14908968.15-I459</f>
        <v>13568243.35</v>
      </c>
      <c r="O459" s="272"/>
      <c r="P459" s="294"/>
      <c r="Q459" s="134"/>
      <c r="R459" s="83"/>
    </row>
    <row r="460" spans="1:18" s="102" customFormat="1" ht="12.75" x14ac:dyDescent="0.2">
      <c r="A460" s="273"/>
      <c r="B460" s="199"/>
      <c r="C460" s="189"/>
      <c r="D460" s="189"/>
      <c r="E460" s="189"/>
      <c r="F460" s="200"/>
      <c r="G460" s="195"/>
      <c r="H460" s="196"/>
      <c r="I460" s="197"/>
      <c r="J460" s="197"/>
      <c r="K460" s="197"/>
      <c r="L460" s="197"/>
      <c r="M460" s="197"/>
      <c r="N460" s="197"/>
      <c r="O460" s="272"/>
      <c r="P460" s="294"/>
      <c r="Q460" s="134"/>
      <c r="R460" s="83"/>
    </row>
    <row r="461" spans="1:18" s="102" customFormat="1" ht="25.5" x14ac:dyDescent="0.2">
      <c r="A461" s="273"/>
      <c r="B461" s="199"/>
      <c r="C461" s="189"/>
      <c r="D461" s="189"/>
      <c r="E461" s="189"/>
      <c r="F461" s="200" t="s">
        <v>417</v>
      </c>
      <c r="G461" s="195" t="s">
        <v>380</v>
      </c>
      <c r="H461" s="196" t="s">
        <v>94</v>
      </c>
      <c r="I461" s="197">
        <v>7692000</v>
      </c>
      <c r="J461" s="197"/>
      <c r="K461" s="197">
        <f>+I461</f>
        <v>7692000</v>
      </c>
      <c r="L461" s="197"/>
      <c r="M461" s="197"/>
      <c r="N461" s="197">
        <v>0</v>
      </c>
      <c r="O461" s="272"/>
      <c r="P461" s="294"/>
      <c r="Q461" s="134"/>
      <c r="R461" s="83"/>
    </row>
    <row r="462" spans="1:18" s="102" customFormat="1" ht="12.75" x14ac:dyDescent="0.2">
      <c r="A462" s="273"/>
      <c r="B462" s="199"/>
      <c r="C462" s="189"/>
      <c r="D462" s="189"/>
      <c r="E462" s="189"/>
      <c r="F462" s="200"/>
      <c r="G462" s="195"/>
      <c r="H462" s="196"/>
      <c r="I462" s="197"/>
      <c r="J462" s="197"/>
      <c r="K462" s="197"/>
      <c r="L462" s="197"/>
      <c r="M462" s="197"/>
      <c r="N462" s="197"/>
      <c r="O462" s="272"/>
      <c r="P462" s="294"/>
      <c r="Q462" s="134"/>
      <c r="R462" s="83"/>
    </row>
    <row r="463" spans="1:18" s="102" customFormat="1" ht="12.75" x14ac:dyDescent="0.2">
      <c r="A463" s="273"/>
      <c r="B463" s="199"/>
      <c r="C463" s="189"/>
      <c r="D463" s="189"/>
      <c r="E463" s="189"/>
      <c r="F463" s="200" t="s">
        <v>418</v>
      </c>
      <c r="G463" s="195" t="s">
        <v>381</v>
      </c>
      <c r="H463" s="196" t="s">
        <v>94</v>
      </c>
      <c r="I463" s="197">
        <v>23869351.149999999</v>
      </c>
      <c r="J463" s="197"/>
      <c r="K463" s="197">
        <f>+I463</f>
        <v>23869351.149999999</v>
      </c>
      <c r="L463" s="197"/>
      <c r="M463" s="197"/>
      <c r="N463" s="197">
        <f>25987232.07-I463</f>
        <v>2117880.9200000018</v>
      </c>
      <c r="O463" s="272"/>
      <c r="P463" s="294"/>
      <c r="Q463" s="134"/>
      <c r="R463" s="83"/>
    </row>
    <row r="464" spans="1:18" s="102" customFormat="1" ht="12.75" x14ac:dyDescent="0.2">
      <c r="A464" s="273"/>
      <c r="B464" s="199"/>
      <c r="C464" s="189"/>
      <c r="D464" s="189"/>
      <c r="E464" s="189"/>
      <c r="F464" s="200" t="s">
        <v>419</v>
      </c>
      <c r="G464" s="195" t="s">
        <v>382</v>
      </c>
      <c r="H464" s="196" t="s">
        <v>96</v>
      </c>
      <c r="I464" s="197">
        <v>129336026.94000001</v>
      </c>
      <c r="J464" s="197"/>
      <c r="K464" s="197">
        <f>+I464</f>
        <v>129336026.94000001</v>
      </c>
      <c r="L464" s="197"/>
      <c r="M464" s="197"/>
      <c r="N464" s="197">
        <f>72926238.52+60000000+4500000-I464+35000000</f>
        <v>43090211.579999968</v>
      </c>
      <c r="O464" s="272"/>
      <c r="P464" s="294"/>
      <c r="Q464" s="134"/>
      <c r="R464" s="83"/>
    </row>
    <row r="465" spans="1:21" s="102" customFormat="1" ht="12.75" x14ac:dyDescent="0.2">
      <c r="A465" s="273"/>
      <c r="B465" s="199"/>
      <c r="C465" s="189"/>
      <c r="D465" s="189"/>
      <c r="E465" s="189"/>
      <c r="F465" s="200" t="s">
        <v>265</v>
      </c>
      <c r="G465" s="195"/>
      <c r="H465" s="196"/>
      <c r="I465" s="197"/>
      <c r="J465" s="197"/>
      <c r="K465" s="197"/>
      <c r="L465" s="197"/>
      <c r="M465" s="197"/>
      <c r="N465" s="197">
        <f>+E369-D369</f>
        <v>2209340943.6800013</v>
      </c>
      <c r="O465" s="272"/>
      <c r="P465" s="294"/>
      <c r="Q465" s="134"/>
      <c r="R465" s="83"/>
    </row>
    <row r="466" spans="1:21" s="96" customFormat="1" ht="12.75" x14ac:dyDescent="0.2">
      <c r="A466" s="268"/>
      <c r="B466" s="177"/>
      <c r="C466" s="178"/>
      <c r="D466" s="178"/>
      <c r="E466" s="178"/>
      <c r="F466" s="179"/>
      <c r="G466" s="180"/>
      <c r="H466" s="181"/>
      <c r="I466" s="182"/>
      <c r="J466" s="182"/>
      <c r="K466" s="182"/>
      <c r="L466" s="182"/>
      <c r="M466" s="182"/>
      <c r="N466" s="183"/>
      <c r="O466" s="269"/>
      <c r="P466" s="294"/>
      <c r="Q466" s="138"/>
      <c r="R466" s="317"/>
    </row>
    <row r="467" spans="1:21" s="102" customFormat="1" ht="12.75" x14ac:dyDescent="0.2">
      <c r="A467" s="265" t="s">
        <v>422</v>
      </c>
      <c r="B467" s="163" t="s">
        <v>423</v>
      </c>
      <c r="C467" s="149"/>
      <c r="D467" s="242">
        <v>126241.83</v>
      </c>
      <c r="E467" s="242">
        <v>126241.83</v>
      </c>
      <c r="F467" s="153"/>
      <c r="G467" s="153"/>
      <c r="H467" s="153"/>
      <c r="I467" s="154">
        <f t="shared" ref="I467:N467" si="33">SUM(I468)</f>
        <v>0</v>
      </c>
      <c r="J467" s="154">
        <f t="shared" si="33"/>
        <v>0</v>
      </c>
      <c r="K467" s="154">
        <f t="shared" si="33"/>
        <v>0</v>
      </c>
      <c r="L467" s="154">
        <f t="shared" si="33"/>
        <v>0</v>
      </c>
      <c r="M467" s="154">
        <f t="shared" si="33"/>
        <v>0</v>
      </c>
      <c r="N467" s="154">
        <f t="shared" si="33"/>
        <v>126241.83</v>
      </c>
      <c r="O467" s="263"/>
      <c r="P467" s="294"/>
      <c r="Q467" s="134"/>
      <c r="R467" s="83"/>
      <c r="S467" s="87"/>
      <c r="T467" s="87"/>
      <c r="U467" s="87"/>
    </row>
    <row r="468" spans="1:21" s="102" customFormat="1" ht="12.75" x14ac:dyDescent="0.2">
      <c r="A468" s="265"/>
      <c r="B468" s="163"/>
      <c r="C468" s="149"/>
      <c r="D468" s="149"/>
      <c r="E468" s="149"/>
      <c r="F468" s="153" t="s">
        <v>201</v>
      </c>
      <c r="G468" s="153" t="s">
        <v>247</v>
      </c>
      <c r="H468" s="153" t="s">
        <v>96</v>
      </c>
      <c r="I468" s="151">
        <v>0</v>
      </c>
      <c r="J468" s="151"/>
      <c r="K468" s="151"/>
      <c r="L468" s="151"/>
      <c r="M468" s="151"/>
      <c r="N468" s="328">
        <v>126241.83</v>
      </c>
      <c r="O468" s="263"/>
      <c r="P468" s="294"/>
      <c r="Q468" s="134"/>
      <c r="R468" s="83"/>
    </row>
    <row r="469" spans="1:21" s="96" customFormat="1" ht="12.75" x14ac:dyDescent="0.2">
      <c r="A469" s="268"/>
      <c r="B469" s="177"/>
      <c r="C469" s="178"/>
      <c r="D469" s="178"/>
      <c r="E469" s="178"/>
      <c r="F469" s="179"/>
      <c r="G469" s="180"/>
      <c r="H469" s="181"/>
      <c r="I469" s="182"/>
      <c r="J469" s="182"/>
      <c r="K469" s="182"/>
      <c r="L469" s="182"/>
      <c r="M469" s="182"/>
      <c r="N469" s="183"/>
      <c r="O469" s="269"/>
      <c r="P469" s="294"/>
      <c r="Q469" s="138"/>
      <c r="R469" s="317"/>
    </row>
    <row r="470" spans="1:21" s="102" customFormat="1" ht="25.5" x14ac:dyDescent="0.2">
      <c r="A470" s="265" t="s">
        <v>424</v>
      </c>
      <c r="B470" s="243" t="s">
        <v>425</v>
      </c>
      <c r="C470" s="149"/>
      <c r="D470" s="242">
        <v>21674123.370000001</v>
      </c>
      <c r="E470" s="242">
        <v>21674123.370000001</v>
      </c>
      <c r="F470" s="153"/>
      <c r="G470" s="153"/>
      <c r="H470" s="153"/>
      <c r="I470" s="154">
        <f t="shared" ref="I470:N470" si="34">SUM(I471)</f>
        <v>21674123.370000001</v>
      </c>
      <c r="J470" s="154">
        <f t="shared" si="34"/>
        <v>21674123.370000001</v>
      </c>
      <c r="K470" s="154">
        <f t="shared" si="34"/>
        <v>0</v>
      </c>
      <c r="L470" s="154">
        <f t="shared" si="34"/>
        <v>0</v>
      </c>
      <c r="M470" s="154">
        <f t="shared" si="34"/>
        <v>0</v>
      </c>
      <c r="N470" s="154">
        <f t="shared" si="34"/>
        <v>0</v>
      </c>
      <c r="O470" s="263"/>
      <c r="P470" s="294"/>
      <c r="Q470" s="134"/>
      <c r="R470" s="83"/>
      <c r="S470" s="87"/>
      <c r="T470" s="87"/>
      <c r="U470" s="87"/>
    </row>
    <row r="471" spans="1:21" s="102" customFormat="1" ht="12.75" x14ac:dyDescent="0.2">
      <c r="A471" s="265"/>
      <c r="B471" s="163"/>
      <c r="C471" s="149"/>
      <c r="D471" s="149"/>
      <c r="E471" s="149"/>
      <c r="F471" s="153" t="s">
        <v>201</v>
      </c>
      <c r="G471" s="100" t="s">
        <v>213</v>
      </c>
      <c r="H471" s="153" t="s">
        <v>95</v>
      </c>
      <c r="I471" s="242">
        <v>21674123.370000001</v>
      </c>
      <c r="J471" s="151">
        <f>+I471</f>
        <v>21674123.370000001</v>
      </c>
      <c r="K471" s="151"/>
      <c r="L471" s="151"/>
      <c r="M471" s="151"/>
      <c r="N471" s="150"/>
      <c r="O471" s="263"/>
      <c r="P471" s="294"/>
      <c r="Q471" s="134"/>
      <c r="R471" s="83"/>
    </row>
    <row r="472" spans="1:21" s="96" customFormat="1" ht="12.75" x14ac:dyDescent="0.2">
      <c r="A472" s="268"/>
      <c r="B472" s="177"/>
      <c r="C472" s="178"/>
      <c r="D472" s="178"/>
      <c r="E472" s="178"/>
      <c r="F472" s="179"/>
      <c r="G472" s="180"/>
      <c r="H472" s="181"/>
      <c r="I472" s="182"/>
      <c r="J472" s="182"/>
      <c r="K472" s="182"/>
      <c r="L472" s="182"/>
      <c r="M472" s="182"/>
      <c r="N472" s="183"/>
      <c r="O472" s="269"/>
      <c r="P472" s="294"/>
      <c r="Q472" s="138"/>
      <c r="R472" s="317"/>
    </row>
    <row r="473" spans="1:21" s="102" customFormat="1" ht="25.5" x14ac:dyDescent="0.2">
      <c r="A473" s="265" t="s">
        <v>426</v>
      </c>
      <c r="B473" s="243" t="s">
        <v>427</v>
      </c>
      <c r="C473" s="149"/>
      <c r="D473" s="149">
        <v>47340.69</v>
      </c>
      <c r="E473" s="149">
        <v>47340.69</v>
      </c>
      <c r="F473" s="153"/>
      <c r="G473" s="153"/>
      <c r="H473" s="153"/>
      <c r="I473" s="154">
        <f t="shared" ref="I473:N473" si="35">SUM(I474)</f>
        <v>0</v>
      </c>
      <c r="J473" s="154">
        <f t="shared" si="35"/>
        <v>0</v>
      </c>
      <c r="K473" s="154">
        <f t="shared" si="35"/>
        <v>0</v>
      </c>
      <c r="L473" s="154">
        <f t="shared" si="35"/>
        <v>0</v>
      </c>
      <c r="M473" s="154">
        <f t="shared" si="35"/>
        <v>0</v>
      </c>
      <c r="N473" s="154">
        <f t="shared" si="35"/>
        <v>47340.69</v>
      </c>
      <c r="O473" s="263"/>
      <c r="P473" s="294"/>
      <c r="Q473" s="134"/>
      <c r="R473" s="83"/>
      <c r="S473" s="87"/>
      <c r="T473" s="87"/>
      <c r="U473" s="87"/>
    </row>
    <row r="474" spans="1:21" s="102" customFormat="1" ht="25.5" x14ac:dyDescent="0.2">
      <c r="A474" s="265"/>
      <c r="B474" s="163"/>
      <c r="C474" s="149"/>
      <c r="D474" s="149"/>
      <c r="E474" s="149"/>
      <c r="F474" s="153" t="s">
        <v>201</v>
      </c>
      <c r="G474" s="153" t="s">
        <v>427</v>
      </c>
      <c r="H474" s="153" t="s">
        <v>96</v>
      </c>
      <c r="I474" s="151">
        <v>0</v>
      </c>
      <c r="J474" s="151"/>
      <c r="K474" s="151"/>
      <c r="L474" s="151"/>
      <c r="M474" s="151"/>
      <c r="N474" s="176">
        <v>47340.69</v>
      </c>
      <c r="O474" s="263"/>
      <c r="P474" s="294"/>
      <c r="Q474" s="134"/>
      <c r="R474" s="83"/>
    </row>
    <row r="475" spans="1:21" s="96" customFormat="1" ht="12.75" x14ac:dyDescent="0.2">
      <c r="A475" s="268"/>
      <c r="B475" s="177"/>
      <c r="C475" s="178"/>
      <c r="D475" s="178"/>
      <c r="E475" s="178"/>
      <c r="F475" s="179"/>
      <c r="G475" s="180"/>
      <c r="H475" s="181"/>
      <c r="I475" s="182"/>
      <c r="J475" s="182"/>
      <c r="K475" s="182"/>
      <c r="L475" s="182"/>
      <c r="M475" s="182"/>
      <c r="N475" s="183"/>
      <c r="O475" s="269"/>
      <c r="P475" s="294"/>
      <c r="Q475" s="138"/>
      <c r="R475" s="317"/>
    </row>
    <row r="476" spans="1:21" s="102" customFormat="1" ht="25.5" x14ac:dyDescent="0.2">
      <c r="A476" s="265" t="s">
        <v>428</v>
      </c>
      <c r="B476" s="244" t="s">
        <v>429</v>
      </c>
      <c r="C476" s="149"/>
      <c r="D476" s="242">
        <v>970274225.55999994</v>
      </c>
      <c r="E476" s="242">
        <v>970274225.55999994</v>
      </c>
      <c r="F476" s="153"/>
      <c r="G476" s="153"/>
      <c r="H476" s="153"/>
      <c r="I476" s="154">
        <f t="shared" ref="I476:N476" si="36">SUM(I477)</f>
        <v>970274225.55999994</v>
      </c>
      <c r="J476" s="154">
        <f t="shared" si="36"/>
        <v>970274225.55999994</v>
      </c>
      <c r="K476" s="154">
        <f t="shared" si="36"/>
        <v>0</v>
      </c>
      <c r="L476" s="154">
        <f t="shared" si="36"/>
        <v>0</v>
      </c>
      <c r="M476" s="154">
        <f t="shared" si="36"/>
        <v>0</v>
      </c>
      <c r="N476" s="154">
        <f t="shared" si="36"/>
        <v>0</v>
      </c>
      <c r="O476" s="263"/>
      <c r="P476" s="294"/>
      <c r="Q476" s="134"/>
      <c r="R476" s="83"/>
      <c r="S476" s="87"/>
      <c r="T476" s="87"/>
      <c r="U476" s="87"/>
    </row>
    <row r="477" spans="1:21" s="102" customFormat="1" ht="12.75" x14ac:dyDescent="0.2">
      <c r="A477" s="265"/>
      <c r="B477" s="163"/>
      <c r="C477" s="149"/>
      <c r="D477" s="149"/>
      <c r="E477" s="149"/>
      <c r="F477" s="153" t="s">
        <v>201</v>
      </c>
      <c r="G477" s="100" t="s">
        <v>214</v>
      </c>
      <c r="H477" s="153" t="s">
        <v>95</v>
      </c>
      <c r="I477" s="151">
        <v>970274225.55999994</v>
      </c>
      <c r="J477" s="151">
        <f>+I477</f>
        <v>970274225.55999994</v>
      </c>
      <c r="K477" s="151"/>
      <c r="L477" s="151"/>
      <c r="M477" s="151"/>
      <c r="N477" s="150"/>
      <c r="O477" s="263"/>
      <c r="P477" s="294"/>
      <c r="Q477" s="134"/>
      <c r="R477" s="83"/>
    </row>
    <row r="478" spans="1:21" s="96" customFormat="1" ht="12.75" x14ac:dyDescent="0.2">
      <c r="A478" s="268"/>
      <c r="B478" s="177"/>
      <c r="C478" s="178"/>
      <c r="D478" s="178"/>
      <c r="E478" s="178"/>
      <c r="F478" s="179"/>
      <c r="G478" s="180"/>
      <c r="H478" s="181"/>
      <c r="I478" s="182"/>
      <c r="J478" s="182"/>
      <c r="K478" s="182"/>
      <c r="L478" s="182"/>
      <c r="M478" s="182"/>
      <c r="N478" s="183"/>
      <c r="O478" s="269"/>
      <c r="P478" s="294"/>
      <c r="Q478" s="138"/>
      <c r="R478" s="317"/>
    </row>
    <row r="479" spans="1:21" s="102" customFormat="1" ht="25.5" x14ac:dyDescent="0.2">
      <c r="A479" s="265" t="s">
        <v>430</v>
      </c>
      <c r="B479" s="244" t="s">
        <v>431</v>
      </c>
      <c r="C479" s="149"/>
      <c r="D479" s="149">
        <v>7222207.9299999997</v>
      </c>
      <c r="E479" s="149">
        <v>7222207.9299999997</v>
      </c>
      <c r="F479" s="153"/>
      <c r="G479" s="153"/>
      <c r="H479" s="153"/>
      <c r="I479" s="154">
        <f t="shared" ref="I479:N479" si="37">SUM(I480)</f>
        <v>7222207.9299999997</v>
      </c>
      <c r="J479" s="154">
        <f t="shared" si="37"/>
        <v>7222207.9299999997</v>
      </c>
      <c r="K479" s="154">
        <f t="shared" si="37"/>
        <v>0</v>
      </c>
      <c r="L479" s="154">
        <f t="shared" si="37"/>
        <v>0</v>
      </c>
      <c r="M479" s="154">
        <f t="shared" si="37"/>
        <v>0</v>
      </c>
      <c r="N479" s="154">
        <f t="shared" si="37"/>
        <v>0</v>
      </c>
      <c r="O479" s="263"/>
      <c r="P479" s="294"/>
      <c r="Q479" s="134"/>
      <c r="R479" s="83"/>
      <c r="S479" s="87"/>
      <c r="T479" s="87"/>
      <c r="U479" s="87"/>
    </row>
    <row r="480" spans="1:21" s="102" customFormat="1" ht="12.75" x14ac:dyDescent="0.2">
      <c r="A480" s="265"/>
      <c r="B480" s="163"/>
      <c r="C480" s="149"/>
      <c r="D480" s="149"/>
      <c r="E480" s="149"/>
      <c r="F480" s="153" t="s">
        <v>201</v>
      </c>
      <c r="G480" s="100" t="s">
        <v>215</v>
      </c>
      <c r="H480" s="153" t="s">
        <v>95</v>
      </c>
      <c r="I480" s="149">
        <v>7222207.9299999997</v>
      </c>
      <c r="J480" s="151">
        <f>+I480</f>
        <v>7222207.9299999997</v>
      </c>
      <c r="K480" s="151"/>
      <c r="L480" s="151"/>
      <c r="M480" s="151"/>
      <c r="N480" s="150"/>
      <c r="O480" s="263"/>
      <c r="P480" s="294"/>
      <c r="Q480" s="134"/>
      <c r="R480" s="83"/>
    </row>
    <row r="481" spans="1:21" s="96" customFormat="1" ht="12.75" x14ac:dyDescent="0.2">
      <c r="A481" s="268"/>
      <c r="B481" s="177"/>
      <c r="C481" s="178"/>
      <c r="D481" s="178"/>
      <c r="E481" s="178"/>
      <c r="F481" s="179"/>
      <c r="G481" s="180"/>
      <c r="H481" s="181"/>
      <c r="I481" s="182"/>
      <c r="J481" s="182"/>
      <c r="K481" s="182"/>
      <c r="L481" s="182"/>
      <c r="M481" s="182"/>
      <c r="N481" s="183"/>
      <c r="O481" s="269"/>
      <c r="P481" s="294"/>
      <c r="Q481" s="138"/>
      <c r="R481" s="317"/>
    </row>
    <row r="482" spans="1:21" s="102" customFormat="1" ht="12.75" x14ac:dyDescent="0.2">
      <c r="A482" s="265" t="s">
        <v>434</v>
      </c>
      <c r="B482" s="244" t="s">
        <v>435</v>
      </c>
      <c r="C482" s="149">
        <v>99666958.599999994</v>
      </c>
      <c r="D482" s="149">
        <v>99666958.599999994</v>
      </c>
      <c r="E482" s="149">
        <v>131578572.27</v>
      </c>
      <c r="F482" s="153"/>
      <c r="G482" s="153"/>
      <c r="H482" s="153"/>
      <c r="I482" s="154">
        <f t="shared" ref="I482:N482" si="38">SUM(I483:I484)</f>
        <v>99666958.599999994</v>
      </c>
      <c r="J482" s="154">
        <f t="shared" si="38"/>
        <v>0</v>
      </c>
      <c r="K482" s="154">
        <f t="shared" si="38"/>
        <v>99666958.599999994</v>
      </c>
      <c r="L482" s="154">
        <f t="shared" si="38"/>
        <v>0</v>
      </c>
      <c r="M482" s="154">
        <f t="shared" si="38"/>
        <v>0</v>
      </c>
      <c r="N482" s="154">
        <f t="shared" si="38"/>
        <v>31911613.670000002</v>
      </c>
      <c r="O482" s="263"/>
      <c r="P482" s="294"/>
      <c r="Q482" s="134"/>
      <c r="R482" s="83"/>
      <c r="S482" s="87"/>
      <c r="T482" s="87"/>
      <c r="U482" s="87"/>
    </row>
    <row r="483" spans="1:21" s="102" customFormat="1" ht="12.75" x14ac:dyDescent="0.2">
      <c r="A483" s="265"/>
      <c r="B483" s="163"/>
      <c r="C483" s="149"/>
      <c r="D483" s="149"/>
      <c r="E483" s="149"/>
      <c r="F483" s="153" t="s">
        <v>436</v>
      </c>
      <c r="G483" s="153" t="s">
        <v>437</v>
      </c>
      <c r="H483" s="153" t="s">
        <v>94</v>
      </c>
      <c r="I483" s="151">
        <v>99666958.599999994</v>
      </c>
      <c r="J483" s="151"/>
      <c r="K483" s="151">
        <f>+I483</f>
        <v>99666958.599999994</v>
      </c>
      <c r="L483" s="151"/>
      <c r="M483" s="151"/>
      <c r="N483" s="150"/>
      <c r="O483" s="263"/>
      <c r="P483" s="294"/>
      <c r="Q483" s="134"/>
      <c r="R483" s="83"/>
    </row>
    <row r="484" spans="1:21" s="102" customFormat="1" ht="25.5" x14ac:dyDescent="0.2">
      <c r="A484" s="265"/>
      <c r="B484" s="163"/>
      <c r="C484" s="149"/>
      <c r="D484" s="149"/>
      <c r="E484" s="149"/>
      <c r="F484" s="153" t="s">
        <v>438</v>
      </c>
      <c r="G484" s="153"/>
      <c r="H484" s="153"/>
      <c r="I484" s="151"/>
      <c r="J484" s="151"/>
      <c r="K484" s="151"/>
      <c r="L484" s="151"/>
      <c r="M484" s="151"/>
      <c r="N484" s="328">
        <v>31911613.670000002</v>
      </c>
      <c r="O484" s="263"/>
      <c r="P484" s="294"/>
      <c r="Q484" s="134"/>
      <c r="R484" s="83"/>
    </row>
    <row r="485" spans="1:21" s="96" customFormat="1" ht="12.75" x14ac:dyDescent="0.2">
      <c r="A485" s="268"/>
      <c r="B485" s="177"/>
      <c r="C485" s="178"/>
      <c r="D485" s="178"/>
      <c r="E485" s="178"/>
      <c r="F485" s="179"/>
      <c r="G485" s="180"/>
      <c r="H485" s="181"/>
      <c r="I485" s="182"/>
      <c r="J485" s="182"/>
      <c r="K485" s="182"/>
      <c r="L485" s="182"/>
      <c r="M485" s="182"/>
      <c r="N485" s="183"/>
      <c r="O485" s="269"/>
      <c r="P485" s="294"/>
      <c r="Q485" s="138"/>
      <c r="R485" s="317"/>
    </row>
    <row r="486" spans="1:21" s="102" customFormat="1" ht="12.75" x14ac:dyDescent="0.2">
      <c r="A486" s="265" t="s">
        <v>439</v>
      </c>
      <c r="B486" s="163" t="s">
        <v>440</v>
      </c>
      <c r="C486" s="149"/>
      <c r="D486" s="242">
        <v>53733696.789999999</v>
      </c>
      <c r="E486" s="242">
        <v>53733696.789999999</v>
      </c>
      <c r="F486" s="153"/>
      <c r="G486" s="153"/>
      <c r="H486" s="153"/>
      <c r="I486" s="154">
        <f t="shared" ref="I486:N486" si="39">SUM(I487)</f>
        <v>53733696.789999999</v>
      </c>
      <c r="J486" s="154">
        <f t="shared" si="39"/>
        <v>53733696.789999999</v>
      </c>
      <c r="K486" s="154">
        <f t="shared" si="39"/>
        <v>0</v>
      </c>
      <c r="L486" s="154">
        <f t="shared" si="39"/>
        <v>0</v>
      </c>
      <c r="M486" s="154">
        <f t="shared" si="39"/>
        <v>0</v>
      </c>
      <c r="N486" s="154">
        <f t="shared" si="39"/>
        <v>0</v>
      </c>
      <c r="O486" s="263"/>
      <c r="P486" s="294"/>
      <c r="Q486" s="134"/>
      <c r="R486" s="83"/>
      <c r="S486" s="87"/>
      <c r="T486" s="87"/>
      <c r="U486" s="87"/>
    </row>
    <row r="487" spans="1:21" s="102" customFormat="1" ht="12.75" x14ac:dyDescent="0.2">
      <c r="A487" s="265"/>
      <c r="B487" s="163"/>
      <c r="C487" s="149"/>
      <c r="D487" s="149"/>
      <c r="E487" s="149"/>
      <c r="F487" s="153" t="s">
        <v>201</v>
      </c>
      <c r="G487" s="100" t="s">
        <v>235</v>
      </c>
      <c r="H487" s="153" t="s">
        <v>95</v>
      </c>
      <c r="I487" s="242">
        <v>53733696.789999999</v>
      </c>
      <c r="J487" s="151">
        <f>+I487</f>
        <v>53733696.789999999</v>
      </c>
      <c r="K487" s="151"/>
      <c r="L487" s="151"/>
      <c r="M487" s="151"/>
      <c r="N487" s="150"/>
      <c r="O487" s="263"/>
      <c r="P487" s="294"/>
      <c r="Q487" s="134"/>
      <c r="R487" s="83"/>
    </row>
    <row r="488" spans="1:21" s="96" customFormat="1" ht="12.75" x14ac:dyDescent="0.2">
      <c r="A488" s="268"/>
      <c r="B488" s="177"/>
      <c r="C488" s="178"/>
      <c r="D488" s="178"/>
      <c r="E488" s="178"/>
      <c r="F488" s="179"/>
      <c r="G488" s="180"/>
      <c r="H488" s="181"/>
      <c r="I488" s="182"/>
      <c r="J488" s="182"/>
      <c r="K488" s="182"/>
      <c r="L488" s="182"/>
      <c r="M488" s="182"/>
      <c r="N488" s="183"/>
      <c r="O488" s="269"/>
      <c r="P488" s="294"/>
      <c r="Q488" s="138"/>
      <c r="R488" s="317"/>
    </row>
    <row r="489" spans="1:21" s="102" customFormat="1" ht="25.5" x14ac:dyDescent="0.2">
      <c r="A489" s="265" t="s">
        <v>441</v>
      </c>
      <c r="B489" s="244" t="s">
        <v>442</v>
      </c>
      <c r="C489" s="149"/>
      <c r="D489" s="242">
        <v>3088941.06</v>
      </c>
      <c r="E489" s="242">
        <v>3088941.06</v>
      </c>
      <c r="F489" s="153"/>
      <c r="G489" s="153"/>
      <c r="H489" s="153"/>
      <c r="I489" s="154">
        <f t="shared" ref="I489:N489" si="40">SUM(I490)</f>
        <v>3088941.06</v>
      </c>
      <c r="J489" s="154">
        <f t="shared" si="40"/>
        <v>3088941.06</v>
      </c>
      <c r="K489" s="154">
        <f t="shared" si="40"/>
        <v>0</v>
      </c>
      <c r="L489" s="154">
        <f t="shared" si="40"/>
        <v>0</v>
      </c>
      <c r="M489" s="154">
        <f t="shared" si="40"/>
        <v>0</v>
      </c>
      <c r="N489" s="154">
        <f t="shared" si="40"/>
        <v>0</v>
      </c>
      <c r="O489" s="263"/>
      <c r="P489" s="294"/>
      <c r="Q489" s="134"/>
      <c r="R489" s="83"/>
      <c r="S489" s="87"/>
      <c r="T489" s="87"/>
      <c r="U489" s="87"/>
    </row>
    <row r="490" spans="1:21" s="102" customFormat="1" ht="25.5" x14ac:dyDescent="0.2">
      <c r="A490" s="265"/>
      <c r="B490" s="163"/>
      <c r="C490" s="149"/>
      <c r="D490" s="149"/>
      <c r="E490" s="149"/>
      <c r="F490" s="153" t="s">
        <v>201</v>
      </c>
      <c r="G490" s="153" t="s">
        <v>442</v>
      </c>
      <c r="H490" s="153" t="s">
        <v>95</v>
      </c>
      <c r="I490" s="242">
        <v>3088941.06</v>
      </c>
      <c r="J490" s="151">
        <f>+I490</f>
        <v>3088941.06</v>
      </c>
      <c r="K490" s="151"/>
      <c r="L490" s="151"/>
      <c r="M490" s="151"/>
      <c r="N490" s="242">
        <v>0</v>
      </c>
      <c r="O490" s="263"/>
      <c r="P490" s="294"/>
      <c r="Q490" s="134"/>
      <c r="R490" s="83"/>
    </row>
    <row r="491" spans="1:21" s="96" customFormat="1" ht="12.75" x14ac:dyDescent="0.2">
      <c r="A491" s="268"/>
      <c r="B491" s="177"/>
      <c r="C491" s="178"/>
      <c r="D491" s="178"/>
      <c r="E491" s="178"/>
      <c r="F491" s="179"/>
      <c r="G491" s="180"/>
      <c r="H491" s="181"/>
      <c r="I491" s="182"/>
      <c r="J491" s="182"/>
      <c r="K491" s="182"/>
      <c r="L491" s="182"/>
      <c r="M491" s="182"/>
      <c r="N491" s="183"/>
      <c r="O491" s="269"/>
      <c r="P491" s="294"/>
      <c r="Q491" s="138"/>
      <c r="R491" s="317"/>
    </row>
    <row r="492" spans="1:21" s="102" customFormat="1" ht="12.75" x14ac:dyDescent="0.2">
      <c r="A492" s="265" t="s">
        <v>443</v>
      </c>
      <c r="B492" s="163" t="s">
        <v>444</v>
      </c>
      <c r="C492" s="149"/>
      <c r="D492" s="242">
        <v>4226946.87</v>
      </c>
      <c r="E492" s="242">
        <v>4226946.87</v>
      </c>
      <c r="F492" s="153"/>
      <c r="G492" s="153"/>
      <c r="H492" s="153"/>
      <c r="I492" s="154">
        <f t="shared" ref="I492:N492" si="41">SUM(I493)</f>
        <v>0</v>
      </c>
      <c r="J492" s="154">
        <f t="shared" si="41"/>
        <v>0</v>
      </c>
      <c r="K492" s="154">
        <f t="shared" si="41"/>
        <v>0</v>
      </c>
      <c r="L492" s="154">
        <f t="shared" si="41"/>
        <v>0</v>
      </c>
      <c r="M492" s="154">
        <f t="shared" si="41"/>
        <v>0</v>
      </c>
      <c r="N492" s="154">
        <f t="shared" si="41"/>
        <v>4226946.87</v>
      </c>
      <c r="O492" s="263"/>
      <c r="P492" s="294"/>
      <c r="Q492" s="134"/>
      <c r="R492" s="83"/>
      <c r="S492" s="87"/>
      <c r="T492" s="87"/>
      <c r="U492" s="87"/>
    </row>
    <row r="493" spans="1:21" s="102" customFormat="1" ht="12.75" x14ac:dyDescent="0.2">
      <c r="A493" s="265"/>
      <c r="B493" s="163"/>
      <c r="C493" s="149"/>
      <c r="D493" s="149"/>
      <c r="E493" s="149"/>
      <c r="F493" s="153" t="s">
        <v>419</v>
      </c>
      <c r="G493" s="153" t="s">
        <v>445</v>
      </c>
      <c r="H493" s="153" t="s">
        <v>95</v>
      </c>
      <c r="I493" s="242">
        <v>0</v>
      </c>
      <c r="J493" s="151">
        <f>+I493</f>
        <v>0</v>
      </c>
      <c r="K493" s="151"/>
      <c r="L493" s="151"/>
      <c r="M493" s="151"/>
      <c r="N493" s="336">
        <v>4226946.87</v>
      </c>
      <c r="O493" s="263"/>
      <c r="P493" s="294"/>
      <c r="Q493" s="134"/>
      <c r="R493" s="83"/>
    </row>
    <row r="494" spans="1:21" s="96" customFormat="1" ht="12.75" x14ac:dyDescent="0.2">
      <c r="A494" s="268"/>
      <c r="B494" s="177"/>
      <c r="C494" s="178"/>
      <c r="D494" s="178"/>
      <c r="E494" s="178"/>
      <c r="F494" s="179"/>
      <c r="G494" s="180"/>
      <c r="H494" s="181"/>
      <c r="I494" s="182"/>
      <c r="J494" s="182"/>
      <c r="K494" s="182"/>
      <c r="L494" s="182"/>
      <c r="M494" s="182"/>
      <c r="N494" s="183"/>
      <c r="O494" s="269"/>
      <c r="P494" s="294"/>
      <c r="Q494" s="138"/>
      <c r="R494" s="317"/>
    </row>
    <row r="495" spans="1:21" s="102" customFormat="1" ht="12.75" x14ac:dyDescent="0.2">
      <c r="A495" s="285" t="s">
        <v>446</v>
      </c>
      <c r="B495" s="245" t="s">
        <v>447</v>
      </c>
      <c r="C495" s="149"/>
      <c r="D495" s="151">
        <v>1459822.13</v>
      </c>
      <c r="E495" s="151">
        <v>1459822.13</v>
      </c>
      <c r="F495" s="153"/>
      <c r="G495" s="153"/>
      <c r="H495" s="153"/>
      <c r="I495" s="154">
        <f t="shared" ref="I495:N495" si="42">SUM(I496)</f>
        <v>1459822.13</v>
      </c>
      <c r="J495" s="154">
        <f t="shared" si="42"/>
        <v>1459822.13</v>
      </c>
      <c r="K495" s="154">
        <f t="shared" si="42"/>
        <v>0</v>
      </c>
      <c r="L495" s="154">
        <f t="shared" si="42"/>
        <v>0</v>
      </c>
      <c r="M495" s="154">
        <f t="shared" si="42"/>
        <v>0</v>
      </c>
      <c r="N495" s="154">
        <f t="shared" si="42"/>
        <v>0</v>
      </c>
      <c r="O495" s="263"/>
      <c r="P495" s="294"/>
      <c r="Q495" s="134"/>
      <c r="R495" s="83"/>
      <c r="S495" s="87"/>
      <c r="T495" s="87"/>
      <c r="U495" s="87"/>
    </row>
    <row r="496" spans="1:21" s="102" customFormat="1" ht="12.75" x14ac:dyDescent="0.2">
      <c r="A496" s="265"/>
      <c r="B496" s="163"/>
      <c r="C496" s="149"/>
      <c r="D496" s="149"/>
      <c r="E496" s="149"/>
      <c r="F496" s="153" t="s">
        <v>201</v>
      </c>
      <c r="G496" s="211" t="s">
        <v>245</v>
      </c>
      <c r="H496" s="153" t="s">
        <v>95</v>
      </c>
      <c r="I496" s="151">
        <v>1459822.13</v>
      </c>
      <c r="J496" s="151">
        <f>+I496</f>
        <v>1459822.13</v>
      </c>
      <c r="K496" s="151"/>
      <c r="L496" s="151"/>
      <c r="M496" s="151"/>
      <c r="N496" s="150"/>
      <c r="O496" s="263"/>
      <c r="P496" s="294"/>
      <c r="Q496" s="134"/>
      <c r="R496" s="83"/>
    </row>
    <row r="497" spans="1:21" s="96" customFormat="1" ht="12.75" x14ac:dyDescent="0.2">
      <c r="A497" s="268"/>
      <c r="B497" s="177"/>
      <c r="C497" s="178"/>
      <c r="D497" s="178"/>
      <c r="E497" s="178"/>
      <c r="F497" s="179"/>
      <c r="G497" s="180"/>
      <c r="H497" s="181"/>
      <c r="I497" s="182"/>
      <c r="J497" s="182"/>
      <c r="K497" s="182"/>
      <c r="L497" s="182"/>
      <c r="M497" s="182"/>
      <c r="N497" s="183"/>
      <c r="O497" s="269"/>
      <c r="P497" s="294"/>
      <c r="Q497" s="138"/>
      <c r="R497" s="317"/>
    </row>
    <row r="498" spans="1:21" s="102" customFormat="1" ht="25.5" x14ac:dyDescent="0.2">
      <c r="A498" s="265" t="s">
        <v>448</v>
      </c>
      <c r="B498" s="244" t="s">
        <v>449</v>
      </c>
      <c r="C498" s="149"/>
      <c r="D498" s="151">
        <v>9196879.4100000001</v>
      </c>
      <c r="E498" s="151">
        <v>9196879.4100000001</v>
      </c>
      <c r="F498" s="153"/>
      <c r="G498" s="153"/>
      <c r="H498" s="153"/>
      <c r="I498" s="154">
        <f t="shared" ref="I498:N498" si="43">SUM(I499)</f>
        <v>9196879.4100000001</v>
      </c>
      <c r="J498" s="154">
        <f t="shared" si="43"/>
        <v>9196879.4100000001</v>
      </c>
      <c r="K498" s="154">
        <f t="shared" si="43"/>
        <v>0</v>
      </c>
      <c r="L498" s="154">
        <f t="shared" si="43"/>
        <v>0</v>
      </c>
      <c r="M498" s="154">
        <f t="shared" si="43"/>
        <v>0</v>
      </c>
      <c r="N498" s="154">
        <f t="shared" si="43"/>
        <v>0</v>
      </c>
      <c r="O498" s="263"/>
      <c r="P498" s="294"/>
      <c r="Q498" s="134"/>
      <c r="R498" s="83"/>
      <c r="S498" s="87"/>
      <c r="T498" s="87"/>
      <c r="U498" s="87"/>
    </row>
    <row r="499" spans="1:21" s="102" customFormat="1" ht="12.75" x14ac:dyDescent="0.2">
      <c r="A499" s="265"/>
      <c r="B499" s="163"/>
      <c r="C499" s="149"/>
      <c r="D499" s="151"/>
      <c r="E499" s="151"/>
      <c r="F499" s="153" t="s">
        <v>201</v>
      </c>
      <c r="G499" s="211" t="s">
        <v>450</v>
      </c>
      <c r="H499" s="153" t="s">
        <v>95</v>
      </c>
      <c r="I499" s="151">
        <v>9196879.4100000001</v>
      </c>
      <c r="J499" s="151">
        <f>+I499</f>
        <v>9196879.4100000001</v>
      </c>
      <c r="K499" s="151"/>
      <c r="L499" s="151"/>
      <c r="M499" s="151"/>
      <c r="N499" s="150"/>
      <c r="O499" s="263"/>
      <c r="P499" s="294"/>
      <c r="Q499" s="134"/>
      <c r="R499" s="83"/>
      <c r="S499" s="107"/>
      <c r="T499" s="107"/>
      <c r="U499" s="107"/>
    </row>
    <row r="500" spans="1:21" s="96" customFormat="1" ht="12.75" x14ac:dyDescent="0.2">
      <c r="A500" s="268"/>
      <c r="B500" s="177"/>
      <c r="C500" s="178"/>
      <c r="D500" s="178"/>
      <c r="E500" s="178"/>
      <c r="F500" s="179"/>
      <c r="G500" s="180"/>
      <c r="H500" s="181"/>
      <c r="I500" s="182"/>
      <c r="J500" s="182"/>
      <c r="K500" s="182"/>
      <c r="L500" s="182"/>
      <c r="M500" s="182"/>
      <c r="N500" s="183"/>
      <c r="O500" s="269"/>
      <c r="P500" s="294"/>
      <c r="Q500" s="138"/>
      <c r="R500" s="317"/>
    </row>
    <row r="501" spans="1:21" s="102" customFormat="1" ht="12.75" x14ac:dyDescent="0.2">
      <c r="A501" s="265" t="s">
        <v>451</v>
      </c>
      <c r="B501" s="246" t="s">
        <v>87</v>
      </c>
      <c r="C501" s="149"/>
      <c r="D501" s="149">
        <v>234908095.90000001</v>
      </c>
      <c r="E501" s="149">
        <v>244363674.02000001</v>
      </c>
      <c r="F501" s="153"/>
      <c r="G501" s="153"/>
      <c r="H501" s="153"/>
      <c r="I501" s="154">
        <f t="shared" ref="I501:N501" si="44">SUM(I502:I503)</f>
        <v>130958398.59</v>
      </c>
      <c r="J501" s="154">
        <f t="shared" si="44"/>
        <v>0</v>
      </c>
      <c r="K501" s="154">
        <f t="shared" si="44"/>
        <v>130958398.59</v>
      </c>
      <c r="L501" s="154">
        <f t="shared" si="44"/>
        <v>0</v>
      </c>
      <c r="M501" s="154">
        <f t="shared" si="44"/>
        <v>0</v>
      </c>
      <c r="N501" s="154">
        <f t="shared" si="44"/>
        <v>113405275.43000001</v>
      </c>
      <c r="O501" s="263"/>
      <c r="P501" s="294"/>
      <c r="Q501" s="134"/>
      <c r="R501" s="83"/>
      <c r="S501" s="87"/>
      <c r="T501" s="87"/>
      <c r="U501" s="87"/>
    </row>
    <row r="502" spans="1:21" s="102" customFormat="1" ht="25.5" x14ac:dyDescent="0.2">
      <c r="A502" s="265"/>
      <c r="B502" s="163"/>
      <c r="C502" s="149"/>
      <c r="D502" s="149"/>
      <c r="E502" s="149"/>
      <c r="F502" s="153" t="s">
        <v>452</v>
      </c>
      <c r="G502" s="247" t="s">
        <v>453</v>
      </c>
      <c r="H502" s="153" t="s">
        <v>94</v>
      </c>
      <c r="I502" s="151">
        <v>130958398.59</v>
      </c>
      <c r="J502" s="151"/>
      <c r="K502" s="151">
        <f>+I502</f>
        <v>130958398.59</v>
      </c>
      <c r="L502" s="151"/>
      <c r="M502" s="151"/>
      <c r="N502" s="328">
        <f>+D501-I502</f>
        <v>103949697.31</v>
      </c>
      <c r="O502" s="263"/>
      <c r="P502" s="294"/>
      <c r="Q502" s="134"/>
      <c r="R502" s="83"/>
    </row>
    <row r="503" spans="1:21" s="102" customFormat="1" ht="25.5" x14ac:dyDescent="0.2">
      <c r="A503" s="265"/>
      <c r="B503" s="163"/>
      <c r="C503" s="149"/>
      <c r="D503" s="149"/>
      <c r="E503" s="149"/>
      <c r="F503" s="153" t="s">
        <v>438</v>
      </c>
      <c r="G503" s="153"/>
      <c r="H503" s="153"/>
      <c r="I503" s="151"/>
      <c r="J503" s="151"/>
      <c r="K503" s="151"/>
      <c r="L503" s="151"/>
      <c r="M503" s="151"/>
      <c r="N503" s="328">
        <v>9455578.1199999992</v>
      </c>
      <c r="O503" s="263"/>
      <c r="P503" s="294"/>
      <c r="Q503" s="134"/>
      <c r="R503" s="83"/>
    </row>
    <row r="504" spans="1:21" s="96" customFormat="1" ht="12.75" x14ac:dyDescent="0.2">
      <c r="A504" s="268"/>
      <c r="B504" s="177"/>
      <c r="C504" s="178"/>
      <c r="D504" s="178"/>
      <c r="E504" s="178"/>
      <c r="F504" s="179"/>
      <c r="G504" s="180"/>
      <c r="H504" s="181"/>
      <c r="I504" s="182"/>
      <c r="J504" s="182"/>
      <c r="K504" s="182"/>
      <c r="L504" s="182"/>
      <c r="M504" s="182"/>
      <c r="N504" s="183"/>
      <c r="O504" s="269"/>
      <c r="P504" s="294"/>
      <c r="Q504" s="138"/>
      <c r="R504" s="317"/>
    </row>
    <row r="505" spans="1:21" s="102" customFormat="1" ht="12.75" x14ac:dyDescent="0.2">
      <c r="A505" s="285" t="s">
        <v>454</v>
      </c>
      <c r="B505" s="246" t="s">
        <v>455</v>
      </c>
      <c r="C505" s="149"/>
      <c r="D505" s="149">
        <f>228352298.23+4764671</f>
        <v>233116969.22999999</v>
      </c>
      <c r="E505" s="149">
        <f>228352298.23+4764671</f>
        <v>233116969.22999999</v>
      </c>
      <c r="F505" s="153"/>
      <c r="G505" s="153"/>
      <c r="H505" s="153"/>
      <c r="I505" s="154">
        <f t="shared" ref="I505:N505" si="45">SUM(I506:I509)</f>
        <v>14764239.08</v>
      </c>
      <c r="J505" s="154">
        <f t="shared" si="45"/>
        <v>0</v>
      </c>
      <c r="K505" s="154">
        <f t="shared" si="45"/>
        <v>14764239.08</v>
      </c>
      <c r="L505" s="154">
        <f t="shared" si="45"/>
        <v>0</v>
      </c>
      <c r="M505" s="154">
        <f t="shared" si="45"/>
        <v>0</v>
      </c>
      <c r="N505" s="154">
        <f t="shared" si="45"/>
        <v>218352730.14999998</v>
      </c>
      <c r="O505" s="263"/>
      <c r="P505" s="294"/>
      <c r="Q505" s="134"/>
      <c r="R505" s="83"/>
      <c r="S505" s="87"/>
      <c r="T505" s="87"/>
      <c r="U505" s="87"/>
    </row>
    <row r="506" spans="1:21" s="102" customFormat="1" ht="12.75" x14ac:dyDescent="0.2">
      <c r="A506" s="265"/>
      <c r="B506" s="163"/>
      <c r="C506" s="149"/>
      <c r="D506" s="149"/>
      <c r="E506" s="149"/>
      <c r="F506" s="153" t="s">
        <v>456</v>
      </c>
      <c r="G506" s="248" t="s">
        <v>457</v>
      </c>
      <c r="H506" s="153" t="s">
        <v>94</v>
      </c>
      <c r="I506" s="151">
        <v>9999568.0800000001</v>
      </c>
      <c r="J506" s="151"/>
      <c r="K506" s="151">
        <f>+I506</f>
        <v>9999568.0800000001</v>
      </c>
      <c r="L506" s="151"/>
      <c r="M506" s="151"/>
      <c r="N506" s="328">
        <f>10000000-I506</f>
        <v>431.91999999992549</v>
      </c>
      <c r="O506" s="263"/>
      <c r="P506" s="294"/>
      <c r="Q506" s="134"/>
      <c r="R506" s="83"/>
    </row>
    <row r="507" spans="1:21" s="102" customFormat="1" ht="25.5" x14ac:dyDescent="0.2">
      <c r="A507" s="265"/>
      <c r="B507" s="163"/>
      <c r="C507" s="149"/>
      <c r="D507" s="149"/>
      <c r="E507" s="149"/>
      <c r="F507" s="153" t="s">
        <v>458</v>
      </c>
      <c r="G507" s="248" t="s">
        <v>459</v>
      </c>
      <c r="H507" s="153" t="s">
        <v>94</v>
      </c>
      <c r="I507" s="151"/>
      <c r="J507" s="151"/>
      <c r="K507" s="151"/>
      <c r="L507" s="151"/>
      <c r="M507" s="151"/>
      <c r="N507" s="328">
        <v>158496898.22999999</v>
      </c>
      <c r="O507" s="263"/>
      <c r="P507" s="294"/>
      <c r="Q507" s="134"/>
      <c r="R507" s="83"/>
    </row>
    <row r="508" spans="1:21" s="107" customFormat="1" ht="12.75" x14ac:dyDescent="0.2">
      <c r="A508" s="265"/>
      <c r="B508" s="163"/>
      <c r="C508" s="149"/>
      <c r="D508" s="149"/>
      <c r="E508" s="149"/>
      <c r="F508" s="153" t="s">
        <v>330</v>
      </c>
      <c r="G508" s="248" t="s">
        <v>331</v>
      </c>
      <c r="H508" s="153" t="s">
        <v>94</v>
      </c>
      <c r="I508" s="151"/>
      <c r="J508" s="151"/>
      <c r="K508" s="151"/>
      <c r="L508" s="151"/>
      <c r="M508" s="151"/>
      <c r="N508" s="328">
        <v>59855400</v>
      </c>
      <c r="O508" s="263"/>
      <c r="P508" s="294"/>
      <c r="Q508" s="134"/>
      <c r="R508" s="83"/>
    </row>
    <row r="509" spans="1:21" s="102" customFormat="1" ht="25.5" x14ac:dyDescent="0.2">
      <c r="A509" s="265"/>
      <c r="B509" s="163"/>
      <c r="C509" s="149"/>
      <c r="D509" s="149"/>
      <c r="E509" s="149"/>
      <c r="F509" s="153" t="s">
        <v>460</v>
      </c>
      <c r="G509" s="248" t="s">
        <v>461</v>
      </c>
      <c r="H509" s="153" t="s">
        <v>94</v>
      </c>
      <c r="I509" s="151">
        <v>4764671</v>
      </c>
      <c r="J509" s="151"/>
      <c r="K509" s="151">
        <f>+I509</f>
        <v>4764671</v>
      </c>
      <c r="L509" s="151"/>
      <c r="M509" s="151"/>
      <c r="N509" s="150"/>
      <c r="O509" s="263"/>
      <c r="P509" s="294"/>
      <c r="Q509" s="134"/>
      <c r="R509" s="83"/>
    </row>
    <row r="510" spans="1:21" s="96" customFormat="1" ht="12.75" x14ac:dyDescent="0.2">
      <c r="A510" s="268"/>
      <c r="B510" s="177"/>
      <c r="C510" s="178"/>
      <c r="D510" s="178"/>
      <c r="E510" s="178"/>
      <c r="F510" s="179"/>
      <c r="G510" s="180"/>
      <c r="H510" s="181"/>
      <c r="I510" s="182"/>
      <c r="J510" s="182"/>
      <c r="K510" s="182"/>
      <c r="L510" s="182"/>
      <c r="M510" s="182"/>
      <c r="N510" s="183"/>
      <c r="O510" s="269"/>
      <c r="P510" s="294"/>
      <c r="Q510" s="138"/>
      <c r="R510" s="317"/>
    </row>
    <row r="511" spans="1:21" s="102" customFormat="1" ht="25.5" x14ac:dyDescent="0.2">
      <c r="A511" s="275" t="s">
        <v>462</v>
      </c>
      <c r="B511" s="244" t="s">
        <v>463</v>
      </c>
      <c r="C511" s="149"/>
      <c r="D511" s="149">
        <f>2308158422.3+853662950.55</f>
        <v>3161821372.8500004</v>
      </c>
      <c r="E511" s="149">
        <f>+D511</f>
        <v>3161821372.8500004</v>
      </c>
      <c r="F511" s="153"/>
      <c r="G511" s="153"/>
      <c r="H511" s="153"/>
      <c r="I511" s="154">
        <f t="shared" ref="I511:N511" si="46">SUM(I512)</f>
        <v>831458794.82999992</v>
      </c>
      <c r="J511" s="154">
        <f t="shared" si="46"/>
        <v>0</v>
      </c>
      <c r="K511" s="154">
        <f t="shared" si="46"/>
        <v>831458794.82999992</v>
      </c>
      <c r="L511" s="154">
        <f t="shared" si="46"/>
        <v>0</v>
      </c>
      <c r="M511" s="154">
        <f t="shared" si="46"/>
        <v>0</v>
      </c>
      <c r="N511" s="154">
        <f t="shared" si="46"/>
        <v>2330362578.02</v>
      </c>
      <c r="O511" s="263"/>
      <c r="P511" s="294"/>
      <c r="Q511" s="134"/>
      <c r="R511" s="83"/>
      <c r="S511" s="87"/>
      <c r="T511" s="87"/>
      <c r="U511" s="87"/>
    </row>
    <row r="512" spans="1:21" s="102" customFormat="1" ht="12.75" x14ac:dyDescent="0.2">
      <c r="A512" s="265"/>
      <c r="B512" s="163"/>
      <c r="C512" s="149"/>
      <c r="D512" s="149"/>
      <c r="E512" s="149"/>
      <c r="F512" s="153" t="s">
        <v>133</v>
      </c>
      <c r="G512" s="225" t="s">
        <v>367</v>
      </c>
      <c r="H512" s="153" t="s">
        <v>94</v>
      </c>
      <c r="I512" s="151">
        <f>1904760902.83-I342</f>
        <v>831458794.82999992</v>
      </c>
      <c r="J512" s="151"/>
      <c r="K512" s="151">
        <f>+I512</f>
        <v>831458794.82999992</v>
      </c>
      <c r="L512" s="151"/>
      <c r="M512" s="151"/>
      <c r="N512" s="328">
        <f>3161821372.85-I512</f>
        <v>2330362578.02</v>
      </c>
      <c r="O512" s="263"/>
      <c r="P512" s="294"/>
      <c r="Q512" s="134"/>
      <c r="R512" s="83"/>
    </row>
    <row r="513" spans="1:22" s="96" customFormat="1" ht="12.75" x14ac:dyDescent="0.2">
      <c r="A513" s="268"/>
      <c r="B513" s="177"/>
      <c r="C513" s="178"/>
      <c r="D513" s="178"/>
      <c r="E513" s="178"/>
      <c r="F513" s="179"/>
      <c r="G513" s="180"/>
      <c r="H513" s="181"/>
      <c r="I513" s="182"/>
      <c r="J513" s="182"/>
      <c r="K513" s="182"/>
      <c r="L513" s="182"/>
      <c r="M513" s="182"/>
      <c r="N513" s="183"/>
      <c r="O513" s="269"/>
      <c r="P513" s="294"/>
      <c r="Q513" s="138"/>
      <c r="R513" s="317"/>
    </row>
    <row r="514" spans="1:22" s="80" customFormat="1" ht="12.75" x14ac:dyDescent="0.2">
      <c r="A514" s="285" t="s">
        <v>116</v>
      </c>
      <c r="B514" s="163" t="s">
        <v>117</v>
      </c>
      <c r="C514" s="149"/>
      <c r="D514" s="149">
        <f>4093250172.03+2279020795.46+2260300000</f>
        <v>8632570967.4899998</v>
      </c>
      <c r="E514" s="149">
        <f>+D514+N683</f>
        <v>8703209010.25</v>
      </c>
      <c r="F514" s="166"/>
      <c r="G514" s="110"/>
      <c r="H514" s="153"/>
      <c r="I514" s="187">
        <f>SUM(I515:I682)</f>
        <v>5645708834.9799995</v>
      </c>
      <c r="J514" s="187">
        <f>SUM(J515:J682)</f>
        <v>492561266.70000005</v>
      </c>
      <c r="K514" s="187">
        <f>SUM(K515:K682)</f>
        <v>5153147568.2800007</v>
      </c>
      <c r="L514" s="187">
        <f>SUM(L515:L682)</f>
        <v>0</v>
      </c>
      <c r="M514" s="187">
        <f>SUM(M515:M682)</f>
        <v>0</v>
      </c>
      <c r="N514" s="187">
        <f>SUM(N515:N683)</f>
        <v>3057500175.27</v>
      </c>
      <c r="O514" s="263"/>
      <c r="P514" s="294"/>
      <c r="Q514" s="134"/>
      <c r="R514" s="83"/>
      <c r="S514" s="85"/>
      <c r="T514" s="85"/>
      <c r="U514" s="87"/>
      <c r="V514" s="87"/>
    </row>
    <row r="515" spans="1:22" s="80" customFormat="1" ht="12.75" x14ac:dyDescent="0.2">
      <c r="A515" s="285"/>
      <c r="B515" s="171"/>
      <c r="C515" s="172"/>
      <c r="D515" s="172"/>
      <c r="E515" s="172"/>
      <c r="F515" s="249" t="s">
        <v>184</v>
      </c>
      <c r="G515" s="250" t="s">
        <v>464</v>
      </c>
      <c r="H515" s="175" t="s">
        <v>91</v>
      </c>
      <c r="I515" s="176">
        <f>308669989.97-I27</f>
        <v>152751398.98000002</v>
      </c>
      <c r="J515" s="176">
        <f>+I515</f>
        <v>152751398.98000002</v>
      </c>
      <c r="K515" s="176"/>
      <c r="L515" s="176"/>
      <c r="M515" s="176"/>
      <c r="N515" s="176">
        <f>35634152+149000000+79531800-I515-34750000-19936.36</f>
        <v>76644616.659999982</v>
      </c>
      <c r="O515" s="263"/>
      <c r="P515" s="294"/>
      <c r="Q515" s="134"/>
      <c r="R515" s="83"/>
      <c r="S515" s="87"/>
      <c r="T515" s="87"/>
    </row>
    <row r="516" spans="1:22" s="86" customFormat="1" ht="12.75" x14ac:dyDescent="0.2">
      <c r="A516" s="285"/>
      <c r="B516" s="171"/>
      <c r="C516" s="172"/>
      <c r="D516" s="172"/>
      <c r="E516" s="172"/>
      <c r="F516" s="249"/>
      <c r="G516" s="250"/>
      <c r="H516" s="175" t="s">
        <v>94</v>
      </c>
      <c r="I516" s="176">
        <v>34750000</v>
      </c>
      <c r="J516" s="176"/>
      <c r="K516" s="176">
        <f>+I516</f>
        <v>34750000</v>
      </c>
      <c r="L516" s="176"/>
      <c r="M516" s="176"/>
      <c r="N516" s="176">
        <f>34750000-I516</f>
        <v>0</v>
      </c>
      <c r="O516" s="263"/>
      <c r="P516" s="294"/>
      <c r="Q516" s="134"/>
      <c r="R516" s="83"/>
      <c r="T516" s="85"/>
    </row>
    <row r="517" spans="1:22" s="80" customFormat="1" ht="12.75" x14ac:dyDescent="0.2">
      <c r="A517" s="285"/>
      <c r="B517" s="171"/>
      <c r="C517" s="172"/>
      <c r="D517" s="172"/>
      <c r="E517" s="172"/>
      <c r="F517" s="249"/>
      <c r="G517" s="250"/>
      <c r="H517" s="175"/>
      <c r="I517" s="176"/>
      <c r="J517" s="176"/>
      <c r="K517" s="176"/>
      <c r="L517" s="176"/>
      <c r="M517" s="176"/>
      <c r="N517" s="176"/>
      <c r="O517" s="263"/>
      <c r="P517" s="294"/>
      <c r="Q517" s="134"/>
      <c r="R517" s="83"/>
      <c r="S517" s="87"/>
      <c r="T517" s="87"/>
    </row>
    <row r="518" spans="1:22" s="80" customFormat="1" ht="12.75" x14ac:dyDescent="0.2">
      <c r="A518" s="285"/>
      <c r="B518" s="171"/>
      <c r="C518" s="172"/>
      <c r="D518" s="172"/>
      <c r="E518" s="172"/>
      <c r="F518" s="249" t="s">
        <v>185</v>
      </c>
      <c r="G518" s="250" t="s">
        <v>220</v>
      </c>
      <c r="H518" s="175" t="s">
        <v>91</v>
      </c>
      <c r="I518" s="176">
        <v>0</v>
      </c>
      <c r="J518" s="176"/>
      <c r="K518" s="176"/>
      <c r="L518" s="176"/>
      <c r="M518" s="176"/>
      <c r="N518" s="176">
        <f>50000000+25164658.84-I518</f>
        <v>75164658.840000004</v>
      </c>
      <c r="O518" s="263"/>
      <c r="P518" s="294"/>
      <c r="Q518" s="134"/>
      <c r="R518" s="83"/>
      <c r="T518" s="85"/>
    </row>
    <row r="519" spans="1:22" s="80" customFormat="1" ht="12.75" x14ac:dyDescent="0.2">
      <c r="A519" s="285"/>
      <c r="B519" s="171"/>
      <c r="C519" s="172"/>
      <c r="D519" s="172"/>
      <c r="E519" s="172"/>
      <c r="F519" s="249"/>
      <c r="G519" s="250"/>
      <c r="H519" s="175" t="s">
        <v>92</v>
      </c>
      <c r="I519" s="176">
        <v>0</v>
      </c>
      <c r="J519" s="176"/>
      <c r="K519" s="176"/>
      <c r="L519" s="176"/>
      <c r="M519" s="176"/>
      <c r="N519" s="176">
        <f>697875-I519</f>
        <v>697875</v>
      </c>
      <c r="O519" s="263"/>
      <c r="P519" s="294"/>
      <c r="Q519" s="134"/>
      <c r="R519" s="83"/>
      <c r="S519" s="115"/>
    </row>
    <row r="520" spans="1:22" s="80" customFormat="1" ht="12.75" x14ac:dyDescent="0.2">
      <c r="A520" s="285"/>
      <c r="B520" s="171"/>
      <c r="C520" s="172"/>
      <c r="D520" s="172"/>
      <c r="E520" s="172"/>
      <c r="F520" s="249"/>
      <c r="G520" s="250"/>
      <c r="H520" s="175" t="s">
        <v>94</v>
      </c>
      <c r="I520" s="176">
        <v>0</v>
      </c>
      <c r="J520" s="176"/>
      <c r="K520" s="176"/>
      <c r="L520" s="176"/>
      <c r="M520" s="176"/>
      <c r="N520" s="176">
        <f>25774344.79+14995-I520</f>
        <v>25789339.789999999</v>
      </c>
      <c r="O520" s="263"/>
      <c r="P520" s="294"/>
      <c r="Q520" s="134"/>
      <c r="R520" s="83"/>
      <c r="S520" s="85"/>
    </row>
    <row r="521" spans="1:22" s="82" customFormat="1" ht="12.75" x14ac:dyDescent="0.2">
      <c r="A521" s="285"/>
      <c r="B521" s="171"/>
      <c r="C521" s="172"/>
      <c r="D521" s="172"/>
      <c r="E521" s="172"/>
      <c r="F521" s="249"/>
      <c r="G521" s="250"/>
      <c r="H521" s="175"/>
      <c r="I521" s="176"/>
      <c r="J521" s="176"/>
      <c r="K521" s="176"/>
      <c r="L521" s="176"/>
      <c r="M521" s="176"/>
      <c r="N521" s="176"/>
      <c r="O521" s="263"/>
      <c r="P521" s="294"/>
      <c r="Q521" s="134"/>
      <c r="R521" s="320"/>
      <c r="S521" s="87"/>
    </row>
    <row r="522" spans="1:22" s="80" customFormat="1" ht="12.75" x14ac:dyDescent="0.2">
      <c r="A522" s="285"/>
      <c r="B522" s="171"/>
      <c r="C522" s="172"/>
      <c r="D522" s="172"/>
      <c r="E522" s="172"/>
      <c r="F522" s="249" t="s">
        <v>187</v>
      </c>
      <c r="G522" s="250" t="s">
        <v>221</v>
      </c>
      <c r="H522" s="175" t="s">
        <v>92</v>
      </c>
      <c r="I522" s="176">
        <v>0</v>
      </c>
      <c r="J522" s="176"/>
      <c r="K522" s="176"/>
      <c r="L522" s="176"/>
      <c r="M522" s="176"/>
      <c r="N522" s="176">
        <f>8425-I522</f>
        <v>8425</v>
      </c>
      <c r="O522" s="263"/>
      <c r="P522" s="294"/>
      <c r="Q522" s="134"/>
      <c r="R522" s="83"/>
      <c r="S522" s="83"/>
      <c r="T522" s="85"/>
    </row>
    <row r="523" spans="1:22" s="82" customFormat="1" ht="12.75" x14ac:dyDescent="0.2">
      <c r="A523" s="285"/>
      <c r="B523" s="171"/>
      <c r="C523" s="172"/>
      <c r="D523" s="172"/>
      <c r="E523" s="172"/>
      <c r="F523" s="249"/>
      <c r="G523" s="250"/>
      <c r="H523" s="175"/>
      <c r="I523" s="176"/>
      <c r="J523" s="176"/>
      <c r="K523" s="176"/>
      <c r="L523" s="176"/>
      <c r="M523" s="176"/>
      <c r="N523" s="176"/>
      <c r="O523" s="263"/>
      <c r="P523" s="294"/>
      <c r="Q523" s="134"/>
      <c r="R523" s="83"/>
      <c r="S523" s="85"/>
    </row>
    <row r="524" spans="1:22" s="80" customFormat="1" ht="12.75" x14ac:dyDescent="0.2">
      <c r="A524" s="285"/>
      <c r="B524" s="171"/>
      <c r="C524" s="172"/>
      <c r="D524" s="172"/>
      <c r="E524" s="172"/>
      <c r="F524" s="249" t="s">
        <v>186</v>
      </c>
      <c r="G524" s="250" t="s">
        <v>224</v>
      </c>
      <c r="H524" s="175" t="s">
        <v>91</v>
      </c>
      <c r="I524" s="176">
        <f>1000000+5840478.8</f>
        <v>6840478.7999999998</v>
      </c>
      <c r="J524" s="176">
        <f>+I524</f>
        <v>6840478.7999999998</v>
      </c>
      <c r="K524" s="176"/>
      <c r="L524" s="176"/>
      <c r="M524" s="176"/>
      <c r="N524" s="176">
        <f>1000000+5840478.8-I524</f>
        <v>0</v>
      </c>
      <c r="O524" s="263"/>
      <c r="P524" s="294"/>
      <c r="Q524" s="134"/>
      <c r="R524" s="83"/>
    </row>
    <row r="525" spans="1:22" s="82" customFormat="1" ht="12.75" x14ac:dyDescent="0.2">
      <c r="A525" s="285"/>
      <c r="B525" s="171"/>
      <c r="C525" s="172"/>
      <c r="D525" s="172"/>
      <c r="E525" s="172"/>
      <c r="F525" s="249"/>
      <c r="G525" s="250"/>
      <c r="H525" s="175" t="s">
        <v>92</v>
      </c>
      <c r="I525" s="176">
        <v>37808</v>
      </c>
      <c r="J525" s="176">
        <f>+I525</f>
        <v>37808</v>
      </c>
      <c r="K525" s="176"/>
      <c r="L525" s="176"/>
      <c r="M525" s="176"/>
      <c r="N525" s="176">
        <f>37808-I525</f>
        <v>0</v>
      </c>
      <c r="O525" s="263"/>
      <c r="P525" s="294"/>
      <c r="Q525" s="134"/>
      <c r="R525" s="83"/>
    </row>
    <row r="526" spans="1:22" s="80" customFormat="1" ht="12.75" x14ac:dyDescent="0.2">
      <c r="A526" s="285"/>
      <c r="B526" s="171"/>
      <c r="C526" s="172"/>
      <c r="D526" s="172"/>
      <c r="E526" s="172"/>
      <c r="F526" s="249"/>
      <c r="G526" s="250"/>
      <c r="H526" s="175" t="s">
        <v>94</v>
      </c>
      <c r="I526" s="176">
        <f>19000000-I527</f>
        <v>16621176.199999999</v>
      </c>
      <c r="J526" s="176"/>
      <c r="K526" s="176">
        <f>+I526</f>
        <v>16621176.199999999</v>
      </c>
      <c r="L526" s="176"/>
      <c r="M526" s="176"/>
      <c r="N526" s="176">
        <f>16621176.2-I526</f>
        <v>0</v>
      </c>
      <c r="O526" s="263"/>
      <c r="P526" s="294"/>
      <c r="Q526" s="134"/>
      <c r="R526" s="83"/>
    </row>
    <row r="527" spans="1:22" s="86" customFormat="1" ht="12.75" x14ac:dyDescent="0.2">
      <c r="A527" s="285"/>
      <c r="B527" s="171"/>
      <c r="C527" s="172"/>
      <c r="D527" s="172"/>
      <c r="E527" s="172"/>
      <c r="F527" s="249"/>
      <c r="G527" s="250"/>
      <c r="H527" s="175" t="s">
        <v>95</v>
      </c>
      <c r="I527" s="176">
        <v>2378823.7999999998</v>
      </c>
      <c r="J527" s="176">
        <f>+I527</f>
        <v>2378823.7999999998</v>
      </c>
      <c r="K527" s="176"/>
      <c r="L527" s="176"/>
      <c r="M527" s="176"/>
      <c r="N527" s="176">
        <f>2378823.8-I527</f>
        <v>0</v>
      </c>
      <c r="O527" s="263"/>
      <c r="P527" s="294"/>
      <c r="Q527" s="134"/>
      <c r="R527" s="83"/>
    </row>
    <row r="528" spans="1:22" s="80" customFormat="1" ht="12.75" x14ac:dyDescent="0.2">
      <c r="A528" s="285"/>
      <c r="B528" s="171"/>
      <c r="C528" s="172"/>
      <c r="D528" s="172"/>
      <c r="E528" s="172"/>
      <c r="F528" s="249"/>
      <c r="G528" s="250"/>
      <c r="H528" s="175"/>
      <c r="I528" s="176"/>
      <c r="J528" s="176"/>
      <c r="K528" s="176"/>
      <c r="L528" s="176"/>
      <c r="M528" s="176"/>
      <c r="N528" s="176"/>
      <c r="O528" s="263"/>
      <c r="P528" s="294"/>
      <c r="Q528" s="134"/>
      <c r="R528" s="83"/>
    </row>
    <row r="529" spans="1:19" s="82" customFormat="1" ht="12.75" x14ac:dyDescent="0.2">
      <c r="A529" s="285"/>
      <c r="B529" s="171"/>
      <c r="C529" s="172"/>
      <c r="D529" s="172"/>
      <c r="E529" s="172"/>
      <c r="F529" s="249" t="s">
        <v>188</v>
      </c>
      <c r="G529" s="250" t="s">
        <v>225</v>
      </c>
      <c r="H529" s="175" t="s">
        <v>91</v>
      </c>
      <c r="I529" s="176">
        <v>0</v>
      </c>
      <c r="J529" s="176"/>
      <c r="K529" s="176"/>
      <c r="L529" s="176"/>
      <c r="M529" s="176"/>
      <c r="N529" s="176">
        <f>2925000-I529</f>
        <v>2925000</v>
      </c>
      <c r="O529" s="263"/>
      <c r="P529" s="294"/>
      <c r="Q529" s="134"/>
      <c r="R529" s="83"/>
    </row>
    <row r="530" spans="1:19" s="82" customFormat="1" ht="12.75" x14ac:dyDescent="0.2">
      <c r="A530" s="285"/>
      <c r="B530" s="171"/>
      <c r="C530" s="172"/>
      <c r="D530" s="172"/>
      <c r="E530" s="172"/>
      <c r="F530" s="249"/>
      <c r="G530" s="250"/>
      <c r="H530" s="175"/>
      <c r="I530" s="176"/>
      <c r="J530" s="176"/>
      <c r="K530" s="176"/>
      <c r="L530" s="176"/>
      <c r="M530" s="176"/>
      <c r="N530" s="176"/>
      <c r="O530" s="263"/>
      <c r="P530" s="294"/>
      <c r="Q530" s="134"/>
      <c r="R530" s="83"/>
    </row>
    <row r="531" spans="1:19" s="82" customFormat="1" ht="12.75" x14ac:dyDescent="0.2">
      <c r="A531" s="285"/>
      <c r="B531" s="171"/>
      <c r="C531" s="172"/>
      <c r="D531" s="172"/>
      <c r="E531" s="172"/>
      <c r="F531" s="249" t="s">
        <v>189</v>
      </c>
      <c r="G531" s="250" t="s">
        <v>227</v>
      </c>
      <c r="H531" s="175" t="s">
        <v>91</v>
      </c>
      <c r="I531" s="176">
        <v>0</v>
      </c>
      <c r="J531" s="176"/>
      <c r="K531" s="176"/>
      <c r="L531" s="176"/>
      <c r="M531" s="176"/>
      <c r="N531" s="176">
        <f>1986500-I531</f>
        <v>1986500</v>
      </c>
      <c r="O531" s="263"/>
      <c r="P531" s="294"/>
      <c r="Q531" s="134"/>
      <c r="R531" s="83"/>
    </row>
    <row r="532" spans="1:19" s="82" customFormat="1" ht="12.75" x14ac:dyDescent="0.2">
      <c r="A532" s="285"/>
      <c r="B532" s="171"/>
      <c r="C532" s="172"/>
      <c r="D532" s="172"/>
      <c r="E532" s="172"/>
      <c r="F532" s="249"/>
      <c r="G532" s="250"/>
      <c r="H532" s="175" t="s">
        <v>92</v>
      </c>
      <c r="I532" s="176">
        <v>0</v>
      </c>
      <c r="J532" s="176"/>
      <c r="K532" s="176"/>
      <c r="L532" s="176"/>
      <c r="M532" s="176"/>
      <c r="N532" s="176">
        <f>23630-I532</f>
        <v>23630</v>
      </c>
      <c r="O532" s="263"/>
      <c r="P532" s="294"/>
      <c r="Q532" s="134"/>
      <c r="R532" s="83"/>
    </row>
    <row r="533" spans="1:19" s="82" customFormat="1" ht="12.75" x14ac:dyDescent="0.2">
      <c r="A533" s="285"/>
      <c r="B533" s="171"/>
      <c r="C533" s="172"/>
      <c r="D533" s="172"/>
      <c r="E533" s="172"/>
      <c r="F533" s="249"/>
      <c r="G533" s="250"/>
      <c r="H533" s="175" t="s">
        <v>94</v>
      </c>
      <c r="I533" s="176">
        <v>0</v>
      </c>
      <c r="J533" s="176"/>
      <c r="K533" s="176"/>
      <c r="L533" s="176"/>
      <c r="M533" s="176"/>
      <c r="N533" s="176">
        <f>14080000-I533</f>
        <v>14080000</v>
      </c>
      <c r="O533" s="263"/>
      <c r="P533" s="294"/>
      <c r="Q533" s="134"/>
      <c r="R533" s="83"/>
    </row>
    <row r="534" spans="1:19" s="82" customFormat="1" ht="12.75" x14ac:dyDescent="0.2">
      <c r="A534" s="285"/>
      <c r="B534" s="171"/>
      <c r="C534" s="172"/>
      <c r="D534" s="172"/>
      <c r="E534" s="172"/>
      <c r="F534" s="249"/>
      <c r="G534" s="250"/>
      <c r="H534" s="175"/>
      <c r="I534" s="176"/>
      <c r="J534" s="176"/>
      <c r="K534" s="176"/>
      <c r="L534" s="176"/>
      <c r="M534" s="176"/>
      <c r="N534" s="176"/>
      <c r="O534" s="263"/>
      <c r="P534" s="294"/>
      <c r="Q534" s="134"/>
      <c r="R534" s="83"/>
      <c r="S534" s="87"/>
    </row>
    <row r="535" spans="1:19" s="80" customFormat="1" ht="12.75" x14ac:dyDescent="0.2">
      <c r="A535" s="285"/>
      <c r="B535" s="171"/>
      <c r="C535" s="172"/>
      <c r="D535" s="172"/>
      <c r="E535" s="172"/>
      <c r="F535" s="249" t="s">
        <v>182</v>
      </c>
      <c r="G535" s="250" t="s">
        <v>300</v>
      </c>
      <c r="H535" s="175" t="s">
        <v>94</v>
      </c>
      <c r="I535" s="176">
        <v>0</v>
      </c>
      <c r="J535" s="176"/>
      <c r="K535" s="176"/>
      <c r="L535" s="176"/>
      <c r="M535" s="176"/>
      <c r="N535" s="176">
        <f>80000000-I535</f>
        <v>80000000</v>
      </c>
      <c r="O535" s="263"/>
      <c r="P535" s="294"/>
      <c r="Q535" s="134"/>
      <c r="R535" s="83"/>
    </row>
    <row r="536" spans="1:19" s="80" customFormat="1" ht="12.75" x14ac:dyDescent="0.2">
      <c r="A536" s="285"/>
      <c r="B536" s="171"/>
      <c r="C536" s="172"/>
      <c r="D536" s="172"/>
      <c r="E536" s="172"/>
      <c r="F536" s="249"/>
      <c r="G536" s="250"/>
      <c r="H536" s="175"/>
      <c r="I536" s="176"/>
      <c r="J536" s="176"/>
      <c r="K536" s="176"/>
      <c r="L536" s="176"/>
      <c r="M536" s="176"/>
      <c r="N536" s="176"/>
      <c r="O536" s="263"/>
      <c r="P536" s="294"/>
      <c r="Q536" s="134"/>
      <c r="R536" s="83"/>
    </row>
    <row r="537" spans="1:19" s="80" customFormat="1" ht="12.75" x14ac:dyDescent="0.2">
      <c r="A537" s="285"/>
      <c r="B537" s="171"/>
      <c r="C537" s="172"/>
      <c r="D537" s="172"/>
      <c r="E537" s="172"/>
      <c r="F537" s="249" t="s">
        <v>183</v>
      </c>
      <c r="G537" s="250" t="s">
        <v>344</v>
      </c>
      <c r="H537" s="175" t="s">
        <v>94</v>
      </c>
      <c r="I537" s="176">
        <v>1607809088.9300001</v>
      </c>
      <c r="J537" s="176"/>
      <c r="K537" s="176">
        <f>+I537</f>
        <v>1607809088.9300001</v>
      </c>
      <c r="L537" s="176"/>
      <c r="M537" s="176"/>
      <c r="N537" s="176">
        <f>1910300000-I537</f>
        <v>302490911.06999993</v>
      </c>
      <c r="O537" s="263"/>
      <c r="P537" s="294"/>
      <c r="Q537" s="134"/>
      <c r="R537" s="83"/>
    </row>
    <row r="538" spans="1:19" s="82" customFormat="1" ht="12.75" x14ac:dyDescent="0.2">
      <c r="A538" s="285"/>
      <c r="B538" s="171"/>
      <c r="C538" s="172"/>
      <c r="D538" s="172"/>
      <c r="E538" s="172"/>
      <c r="F538" s="249"/>
      <c r="G538" s="250"/>
      <c r="H538" s="175"/>
      <c r="I538" s="176"/>
      <c r="J538" s="176"/>
      <c r="K538" s="176"/>
      <c r="L538" s="176"/>
      <c r="M538" s="176"/>
      <c r="N538" s="176"/>
      <c r="O538" s="263"/>
      <c r="P538" s="294"/>
      <c r="Q538" s="134"/>
      <c r="R538" s="83"/>
    </row>
    <row r="539" spans="1:19" s="80" customFormat="1" ht="25.5" x14ac:dyDescent="0.2">
      <c r="A539" s="265"/>
      <c r="B539" s="171"/>
      <c r="C539" s="172"/>
      <c r="D539" s="172"/>
      <c r="E539" s="172"/>
      <c r="F539" s="249" t="s">
        <v>119</v>
      </c>
      <c r="G539" s="250" t="s">
        <v>465</v>
      </c>
      <c r="H539" s="175" t="s">
        <v>94</v>
      </c>
      <c r="I539" s="176">
        <v>22746909.329999998</v>
      </c>
      <c r="J539" s="176"/>
      <c r="K539" s="176">
        <f>+I539</f>
        <v>22746909.329999998</v>
      </c>
      <c r="L539" s="176"/>
      <c r="M539" s="176"/>
      <c r="N539" s="176">
        <f>22746909.33-I539</f>
        <v>0</v>
      </c>
      <c r="O539" s="263"/>
      <c r="P539" s="294"/>
      <c r="Q539" s="134"/>
      <c r="R539" s="83"/>
    </row>
    <row r="540" spans="1:19" s="82" customFormat="1" ht="12.75" x14ac:dyDescent="0.2">
      <c r="A540" s="265"/>
      <c r="B540" s="171"/>
      <c r="C540" s="172"/>
      <c r="D540" s="172"/>
      <c r="E540" s="172"/>
      <c r="F540" s="249"/>
      <c r="G540" s="250"/>
      <c r="H540" s="175"/>
      <c r="I540" s="176"/>
      <c r="J540" s="176"/>
      <c r="K540" s="176"/>
      <c r="L540" s="176"/>
      <c r="M540" s="176"/>
      <c r="N540" s="176"/>
      <c r="O540" s="263"/>
      <c r="P540" s="294"/>
      <c r="Q540" s="134"/>
      <c r="R540" s="83"/>
    </row>
    <row r="541" spans="1:19" s="80" customFormat="1" ht="12.75" x14ac:dyDescent="0.2">
      <c r="A541" s="265"/>
      <c r="B541" s="171"/>
      <c r="C541" s="172"/>
      <c r="D541" s="172"/>
      <c r="E541" s="172"/>
      <c r="F541" s="249" t="s">
        <v>120</v>
      </c>
      <c r="G541" s="250" t="s">
        <v>466</v>
      </c>
      <c r="H541" s="175" t="s">
        <v>94</v>
      </c>
      <c r="I541" s="176">
        <v>0</v>
      </c>
      <c r="J541" s="176"/>
      <c r="K541" s="176">
        <f>+I541</f>
        <v>0</v>
      </c>
      <c r="L541" s="176"/>
      <c r="M541" s="176"/>
      <c r="N541" s="176">
        <f>14002029.74-I541</f>
        <v>14002029.74</v>
      </c>
      <c r="O541" s="263"/>
      <c r="P541" s="294"/>
      <c r="Q541" s="134"/>
      <c r="R541" s="83"/>
    </row>
    <row r="542" spans="1:19" s="82" customFormat="1" ht="12.75" x14ac:dyDescent="0.2">
      <c r="A542" s="265"/>
      <c r="B542" s="171"/>
      <c r="C542" s="172"/>
      <c r="D542" s="172"/>
      <c r="E542" s="172"/>
      <c r="F542" s="249"/>
      <c r="G542" s="250"/>
      <c r="H542" s="175"/>
      <c r="I542" s="176"/>
      <c r="J542" s="176"/>
      <c r="K542" s="176"/>
      <c r="L542" s="176"/>
      <c r="M542" s="176"/>
      <c r="N542" s="176"/>
      <c r="O542" s="263"/>
      <c r="P542" s="294"/>
      <c r="Q542" s="134"/>
      <c r="R542" s="83"/>
    </row>
    <row r="543" spans="1:19" s="80" customFormat="1" ht="12.75" x14ac:dyDescent="0.2">
      <c r="A543" s="265"/>
      <c r="B543" s="171"/>
      <c r="C543" s="172"/>
      <c r="D543" s="172"/>
      <c r="E543" s="172"/>
      <c r="F543" s="249" t="s">
        <v>121</v>
      </c>
      <c r="G543" s="250" t="s">
        <v>467</v>
      </c>
      <c r="H543" s="175" t="s">
        <v>94</v>
      </c>
      <c r="I543" s="176">
        <v>0</v>
      </c>
      <c r="J543" s="176"/>
      <c r="K543" s="176">
        <f>+I543</f>
        <v>0</v>
      </c>
      <c r="L543" s="176"/>
      <c r="M543" s="176"/>
      <c r="N543" s="176">
        <f>4001250-I543</f>
        <v>4001250</v>
      </c>
      <c r="O543" s="263"/>
      <c r="P543" s="294"/>
      <c r="Q543" s="134"/>
      <c r="R543" s="83"/>
    </row>
    <row r="544" spans="1:19" s="82" customFormat="1" ht="12.75" x14ac:dyDescent="0.2">
      <c r="A544" s="265"/>
      <c r="B544" s="171"/>
      <c r="C544" s="172"/>
      <c r="D544" s="172"/>
      <c r="E544" s="172"/>
      <c r="F544" s="249"/>
      <c r="G544" s="250"/>
      <c r="H544" s="175"/>
      <c r="I544" s="176"/>
      <c r="J544" s="176"/>
      <c r="K544" s="176"/>
      <c r="L544" s="176"/>
      <c r="M544" s="176"/>
      <c r="N544" s="176"/>
      <c r="O544" s="263"/>
      <c r="P544" s="294"/>
      <c r="Q544" s="134"/>
      <c r="R544" s="83"/>
    </row>
    <row r="545" spans="1:18" s="80" customFormat="1" ht="12.75" x14ac:dyDescent="0.2">
      <c r="A545" s="265"/>
      <c r="B545" s="171"/>
      <c r="C545" s="172"/>
      <c r="D545" s="172"/>
      <c r="E545" s="172"/>
      <c r="F545" s="249" t="s">
        <v>122</v>
      </c>
      <c r="G545" s="250" t="s">
        <v>468</v>
      </c>
      <c r="H545" s="175" t="s">
        <v>94</v>
      </c>
      <c r="I545" s="176">
        <v>4235438.38</v>
      </c>
      <c r="J545" s="176"/>
      <c r="K545" s="176">
        <f>+I545</f>
        <v>4235438.38</v>
      </c>
      <c r="L545" s="176"/>
      <c r="M545" s="176"/>
      <c r="N545" s="176">
        <f>4246884.59-I545</f>
        <v>11446.209999999963</v>
      </c>
      <c r="O545" s="263"/>
      <c r="P545" s="294"/>
      <c r="Q545" s="134"/>
      <c r="R545" s="83"/>
    </row>
    <row r="546" spans="1:18" s="80" customFormat="1" ht="12.75" x14ac:dyDescent="0.2">
      <c r="A546" s="265"/>
      <c r="B546" s="171"/>
      <c r="C546" s="172"/>
      <c r="D546" s="172"/>
      <c r="E546" s="172"/>
      <c r="F546" s="249"/>
      <c r="G546" s="250"/>
      <c r="H546" s="175"/>
      <c r="I546" s="176"/>
      <c r="J546" s="176"/>
      <c r="K546" s="176"/>
      <c r="L546" s="176"/>
      <c r="M546" s="176"/>
      <c r="N546" s="176"/>
      <c r="O546" s="263"/>
      <c r="P546" s="294"/>
      <c r="Q546" s="134"/>
      <c r="R546" s="83"/>
    </row>
    <row r="547" spans="1:18" s="80" customFormat="1" ht="12.75" x14ac:dyDescent="0.2">
      <c r="A547" s="265"/>
      <c r="B547" s="171"/>
      <c r="C547" s="172"/>
      <c r="D547" s="172"/>
      <c r="E547" s="172"/>
      <c r="F547" s="249" t="s">
        <v>123</v>
      </c>
      <c r="G547" s="250" t="s">
        <v>469</v>
      </c>
      <c r="H547" s="175" t="s">
        <v>94</v>
      </c>
      <c r="I547" s="176">
        <v>17412225.039999999</v>
      </c>
      <c r="J547" s="176"/>
      <c r="K547" s="176">
        <f>+I547</f>
        <v>17412225.039999999</v>
      </c>
      <c r="L547" s="176"/>
      <c r="M547" s="176"/>
      <c r="N547" s="176">
        <f>20000000-I547</f>
        <v>2587774.9600000009</v>
      </c>
      <c r="O547" s="263"/>
      <c r="P547" s="294"/>
      <c r="Q547" s="134"/>
      <c r="R547" s="83"/>
    </row>
    <row r="548" spans="1:18" s="80" customFormat="1" ht="12.75" x14ac:dyDescent="0.2">
      <c r="A548" s="265"/>
      <c r="B548" s="171"/>
      <c r="C548" s="172"/>
      <c r="D548" s="172"/>
      <c r="E548" s="172"/>
      <c r="F548" s="249"/>
      <c r="G548" s="250"/>
      <c r="H548" s="175"/>
      <c r="I548" s="176"/>
      <c r="J548" s="176"/>
      <c r="K548" s="176"/>
      <c r="L548" s="176"/>
      <c r="M548" s="176"/>
      <c r="N548" s="176"/>
      <c r="O548" s="263"/>
      <c r="P548" s="294"/>
      <c r="Q548" s="134"/>
      <c r="R548" s="83"/>
    </row>
    <row r="549" spans="1:18" s="80" customFormat="1" ht="12.75" x14ac:dyDescent="0.2">
      <c r="A549" s="265"/>
      <c r="B549" s="171"/>
      <c r="C549" s="172"/>
      <c r="D549" s="172"/>
      <c r="E549" s="172"/>
      <c r="F549" s="249" t="s">
        <v>124</v>
      </c>
      <c r="G549" s="250" t="s">
        <v>470</v>
      </c>
      <c r="H549" s="175" t="s">
        <v>94</v>
      </c>
      <c r="I549" s="176">
        <v>10000000</v>
      </c>
      <c r="J549" s="176"/>
      <c r="K549" s="176">
        <f>+I549</f>
        <v>10000000</v>
      </c>
      <c r="L549" s="176"/>
      <c r="M549" s="176"/>
      <c r="N549" s="176">
        <v>0</v>
      </c>
      <c r="O549" s="263"/>
      <c r="P549" s="294"/>
      <c r="Q549" s="134"/>
      <c r="R549" s="83"/>
    </row>
    <row r="550" spans="1:18" s="80" customFormat="1" ht="12.75" x14ac:dyDescent="0.2">
      <c r="A550" s="265"/>
      <c r="B550" s="171"/>
      <c r="C550" s="172"/>
      <c r="D550" s="172"/>
      <c r="E550" s="172"/>
      <c r="F550" s="249"/>
      <c r="G550" s="250"/>
      <c r="H550" s="175"/>
      <c r="I550" s="176"/>
      <c r="J550" s="176"/>
      <c r="K550" s="176"/>
      <c r="L550" s="176"/>
      <c r="M550" s="176"/>
      <c r="N550" s="176"/>
      <c r="O550" s="263"/>
      <c r="P550" s="294"/>
      <c r="Q550" s="134"/>
      <c r="R550" s="83"/>
    </row>
    <row r="551" spans="1:18" s="80" customFormat="1" ht="12.75" x14ac:dyDescent="0.2">
      <c r="A551" s="265"/>
      <c r="B551" s="171"/>
      <c r="C551" s="172"/>
      <c r="D551" s="172"/>
      <c r="E551" s="172"/>
      <c r="F551" s="249" t="s">
        <v>125</v>
      </c>
      <c r="G551" s="250" t="s">
        <v>471</v>
      </c>
      <c r="H551" s="175" t="s">
        <v>94</v>
      </c>
      <c r="I551" s="176">
        <v>35000000</v>
      </c>
      <c r="J551" s="176"/>
      <c r="K551" s="176">
        <f>+I551</f>
        <v>35000000</v>
      </c>
      <c r="L551" s="176"/>
      <c r="M551" s="176"/>
      <c r="N551" s="176">
        <v>0</v>
      </c>
      <c r="O551" s="263"/>
      <c r="P551" s="294"/>
      <c r="Q551" s="134"/>
      <c r="R551" s="83"/>
    </row>
    <row r="552" spans="1:18" s="82" customFormat="1" ht="12.75" x14ac:dyDescent="0.2">
      <c r="A552" s="265"/>
      <c r="B552" s="171"/>
      <c r="C552" s="172"/>
      <c r="D552" s="172"/>
      <c r="E552" s="172"/>
      <c r="F552" s="249"/>
      <c r="G552" s="250"/>
      <c r="H552" s="175"/>
      <c r="I552" s="176"/>
      <c r="J552" s="176"/>
      <c r="K552" s="176"/>
      <c r="L552" s="176"/>
      <c r="M552" s="176"/>
      <c r="N552" s="176"/>
      <c r="O552" s="263"/>
      <c r="P552" s="294"/>
      <c r="Q552" s="134"/>
      <c r="R552" s="83"/>
    </row>
    <row r="553" spans="1:18" s="80" customFormat="1" ht="12.75" x14ac:dyDescent="0.2">
      <c r="A553" s="265"/>
      <c r="B553" s="171"/>
      <c r="C553" s="172"/>
      <c r="D553" s="172"/>
      <c r="E553" s="172"/>
      <c r="F553" s="249" t="s">
        <v>126</v>
      </c>
      <c r="G553" s="250" t="s">
        <v>347</v>
      </c>
      <c r="H553" s="175" t="s">
        <v>94</v>
      </c>
      <c r="I553" s="176">
        <v>301631615.69999999</v>
      </c>
      <c r="J553" s="176"/>
      <c r="K553" s="176">
        <f>+I553</f>
        <v>301631615.69999999</v>
      </c>
      <c r="L553" s="176"/>
      <c r="M553" s="176"/>
      <c r="N553" s="176">
        <f>370000000-I553</f>
        <v>68368384.300000012</v>
      </c>
      <c r="O553" s="263"/>
      <c r="P553" s="294"/>
      <c r="Q553" s="134"/>
      <c r="R553" s="83"/>
    </row>
    <row r="554" spans="1:18" s="82" customFormat="1" ht="12.75" x14ac:dyDescent="0.2">
      <c r="A554" s="265"/>
      <c r="B554" s="171"/>
      <c r="C554" s="172"/>
      <c r="D554" s="172"/>
      <c r="E554" s="172"/>
      <c r="F554" s="249"/>
      <c r="G554" s="250"/>
      <c r="H554" s="175"/>
      <c r="I554" s="176"/>
      <c r="J554" s="176"/>
      <c r="K554" s="176"/>
      <c r="L554" s="176"/>
      <c r="M554" s="176"/>
      <c r="N554" s="176"/>
      <c r="O554" s="263"/>
      <c r="P554" s="294"/>
      <c r="Q554" s="134"/>
      <c r="R554" s="83"/>
    </row>
    <row r="555" spans="1:18" s="126" customFormat="1" ht="12.75" x14ac:dyDescent="0.2">
      <c r="A555" s="265"/>
      <c r="B555" s="171"/>
      <c r="C555" s="172"/>
      <c r="D555" s="172"/>
      <c r="E555" s="172"/>
      <c r="F555" s="249" t="s">
        <v>391</v>
      </c>
      <c r="G555" s="250" t="s">
        <v>586</v>
      </c>
      <c r="H555" s="175" t="s">
        <v>94</v>
      </c>
      <c r="I555" s="176">
        <v>0</v>
      </c>
      <c r="J555" s="176"/>
      <c r="K555" s="176">
        <f>+I555</f>
        <v>0</v>
      </c>
      <c r="L555" s="176"/>
      <c r="M555" s="176"/>
      <c r="N555" s="176">
        <v>7300000</v>
      </c>
      <c r="O555" s="263"/>
      <c r="P555" s="294"/>
      <c r="Q555" s="134"/>
      <c r="R555" s="83"/>
    </row>
    <row r="556" spans="1:18" s="126" customFormat="1" ht="12.75" x14ac:dyDescent="0.2">
      <c r="A556" s="265"/>
      <c r="B556" s="171"/>
      <c r="C556" s="172"/>
      <c r="D556" s="172"/>
      <c r="E556" s="172"/>
      <c r="F556" s="249"/>
      <c r="G556" s="250"/>
      <c r="H556" s="175"/>
      <c r="I556" s="176"/>
      <c r="J556" s="176"/>
      <c r="K556" s="176"/>
      <c r="L556" s="176"/>
      <c r="M556" s="176"/>
      <c r="N556" s="176"/>
      <c r="O556" s="263"/>
      <c r="P556" s="294"/>
      <c r="Q556" s="134"/>
      <c r="R556" s="83"/>
    </row>
    <row r="557" spans="1:18" s="80" customFormat="1" ht="12" customHeight="1" x14ac:dyDescent="0.2">
      <c r="A557" s="265"/>
      <c r="B557" s="171"/>
      <c r="C557" s="172"/>
      <c r="D557" s="172"/>
      <c r="E557" s="172"/>
      <c r="F557" s="249" t="s">
        <v>191</v>
      </c>
      <c r="G557" s="250" t="s">
        <v>472</v>
      </c>
      <c r="H557" s="175" t="s">
        <v>94</v>
      </c>
      <c r="I557" s="176">
        <v>0</v>
      </c>
      <c r="J557" s="176"/>
      <c r="K557" s="176">
        <f>+I557</f>
        <v>0</v>
      </c>
      <c r="L557" s="176"/>
      <c r="M557" s="176"/>
      <c r="N557" s="176">
        <f>6331822.42-I557</f>
        <v>6331822.4199999999</v>
      </c>
      <c r="O557" s="263"/>
      <c r="P557" s="294"/>
      <c r="Q557" s="134"/>
      <c r="R557" s="83"/>
    </row>
    <row r="558" spans="1:18" s="80" customFormat="1" ht="12" customHeight="1" x14ac:dyDescent="0.2">
      <c r="A558" s="265"/>
      <c r="B558" s="171"/>
      <c r="C558" s="172"/>
      <c r="D558" s="172"/>
      <c r="E558" s="172"/>
      <c r="F558" s="249"/>
      <c r="G558" s="250"/>
      <c r="H558" s="175"/>
      <c r="I558" s="176"/>
      <c r="J558" s="176"/>
      <c r="K558" s="176"/>
      <c r="L558" s="176"/>
      <c r="M558" s="176"/>
      <c r="N558" s="176"/>
      <c r="O558" s="263"/>
      <c r="P558" s="294"/>
      <c r="Q558" s="134"/>
      <c r="R558" s="83"/>
    </row>
    <row r="559" spans="1:18" s="80" customFormat="1" ht="12.75" x14ac:dyDescent="0.2">
      <c r="A559" s="265"/>
      <c r="B559" s="171"/>
      <c r="C559" s="172"/>
      <c r="D559" s="172"/>
      <c r="E559" s="172"/>
      <c r="F559" s="249" t="s">
        <v>127</v>
      </c>
      <c r="G559" s="250" t="s">
        <v>360</v>
      </c>
      <c r="H559" s="175" t="s">
        <v>94</v>
      </c>
      <c r="I559" s="176">
        <v>0</v>
      </c>
      <c r="J559" s="176"/>
      <c r="K559" s="176">
        <f>+I559</f>
        <v>0</v>
      </c>
      <c r="L559" s="176"/>
      <c r="M559" s="176"/>
      <c r="N559" s="176">
        <f>3150417.53-I559</f>
        <v>3150417.53</v>
      </c>
      <c r="O559" s="263"/>
      <c r="P559" s="294"/>
      <c r="Q559" s="134"/>
      <c r="R559" s="83"/>
    </row>
    <row r="560" spans="1:18" s="82" customFormat="1" ht="12.75" x14ac:dyDescent="0.2">
      <c r="A560" s="265"/>
      <c r="B560" s="171"/>
      <c r="C560" s="172"/>
      <c r="D560" s="172"/>
      <c r="E560" s="172"/>
      <c r="F560" s="249"/>
      <c r="G560" s="250"/>
      <c r="H560" s="175"/>
      <c r="I560" s="176"/>
      <c r="J560" s="176"/>
      <c r="K560" s="176"/>
      <c r="L560" s="176"/>
      <c r="M560" s="176"/>
      <c r="N560" s="176"/>
      <c r="O560" s="263"/>
      <c r="P560" s="294"/>
      <c r="Q560" s="134"/>
      <c r="R560" s="83"/>
    </row>
    <row r="561" spans="1:19" s="80" customFormat="1" ht="12.75" x14ac:dyDescent="0.2">
      <c r="A561" s="265"/>
      <c r="B561" s="171"/>
      <c r="C561" s="172"/>
      <c r="D561" s="172"/>
      <c r="E561" s="172"/>
      <c r="F561" s="249" t="s">
        <v>128</v>
      </c>
      <c r="G561" s="250" t="s">
        <v>473</v>
      </c>
      <c r="H561" s="175" t="s">
        <v>94</v>
      </c>
      <c r="I561" s="176">
        <v>0</v>
      </c>
      <c r="J561" s="176"/>
      <c r="K561" s="176">
        <f>+I561</f>
        <v>0</v>
      </c>
      <c r="L561" s="176"/>
      <c r="M561" s="176"/>
      <c r="N561" s="176">
        <f>54300000-I561</f>
        <v>54300000</v>
      </c>
      <c r="O561" s="263"/>
      <c r="P561" s="294"/>
      <c r="Q561" s="134"/>
      <c r="R561" s="83"/>
    </row>
    <row r="562" spans="1:19" s="82" customFormat="1" ht="12.75" x14ac:dyDescent="0.2">
      <c r="A562" s="265"/>
      <c r="B562" s="171"/>
      <c r="C562" s="172"/>
      <c r="D562" s="172"/>
      <c r="E562" s="172"/>
      <c r="F562" s="249"/>
      <c r="G562" s="250"/>
      <c r="H562" s="175"/>
      <c r="I562" s="176"/>
      <c r="J562" s="176"/>
      <c r="K562" s="176"/>
      <c r="L562" s="176"/>
      <c r="M562" s="176"/>
      <c r="N562" s="176"/>
      <c r="O562" s="263"/>
      <c r="P562" s="294"/>
      <c r="Q562" s="134"/>
      <c r="R562" s="83"/>
    </row>
    <row r="563" spans="1:19" s="80" customFormat="1" ht="12.75" x14ac:dyDescent="0.2">
      <c r="A563" s="265"/>
      <c r="B563" s="171"/>
      <c r="C563" s="172"/>
      <c r="D563" s="172"/>
      <c r="E563" s="172"/>
      <c r="F563" s="249" t="s">
        <v>129</v>
      </c>
      <c r="G563" s="250" t="s">
        <v>474</v>
      </c>
      <c r="H563" s="175" t="s">
        <v>94</v>
      </c>
      <c r="I563" s="176">
        <v>6263398.2000000002</v>
      </c>
      <c r="J563" s="176"/>
      <c r="K563" s="176">
        <f>+I563</f>
        <v>6263398.2000000002</v>
      </c>
      <c r="L563" s="176"/>
      <c r="M563" s="176"/>
      <c r="N563" s="176">
        <v>0</v>
      </c>
      <c r="O563" s="263"/>
      <c r="P563" s="294"/>
      <c r="Q563" s="134"/>
      <c r="R563" s="83"/>
    </row>
    <row r="564" spans="1:19" s="82" customFormat="1" ht="12.75" x14ac:dyDescent="0.2">
      <c r="A564" s="265"/>
      <c r="B564" s="171"/>
      <c r="C564" s="172"/>
      <c r="D564" s="172"/>
      <c r="E564" s="172"/>
      <c r="F564" s="249"/>
      <c r="G564" s="250"/>
      <c r="H564" s="175"/>
      <c r="I564" s="176"/>
      <c r="J564" s="176"/>
      <c r="K564" s="176"/>
      <c r="L564" s="176"/>
      <c r="M564" s="176"/>
      <c r="N564" s="176"/>
      <c r="O564" s="263"/>
      <c r="P564" s="294"/>
      <c r="Q564" s="134"/>
      <c r="R564" s="83"/>
    </row>
    <row r="565" spans="1:19" s="80" customFormat="1" ht="25.5" x14ac:dyDescent="0.2">
      <c r="A565" s="265"/>
      <c r="B565" s="171"/>
      <c r="C565" s="172"/>
      <c r="D565" s="172"/>
      <c r="E565" s="172"/>
      <c r="F565" s="249" t="s">
        <v>130</v>
      </c>
      <c r="G565" s="250" t="s">
        <v>475</v>
      </c>
      <c r="H565" s="175" t="s">
        <v>94</v>
      </c>
      <c r="I565" s="176">
        <v>9590908.5899999999</v>
      </c>
      <c r="J565" s="176"/>
      <c r="K565" s="176">
        <f>+I565</f>
        <v>9590908.5899999999</v>
      </c>
      <c r="L565" s="176"/>
      <c r="M565" s="176"/>
      <c r="N565" s="176">
        <f>13338569.07-I565</f>
        <v>3747660.4800000004</v>
      </c>
      <c r="O565" s="263"/>
      <c r="P565" s="294"/>
      <c r="Q565" s="134"/>
      <c r="R565" s="83"/>
    </row>
    <row r="566" spans="1:19" s="82" customFormat="1" ht="12.75" x14ac:dyDescent="0.2">
      <c r="A566" s="265"/>
      <c r="B566" s="171"/>
      <c r="C566" s="172"/>
      <c r="D566" s="172"/>
      <c r="E566" s="172"/>
      <c r="F566" s="249"/>
      <c r="G566" s="250"/>
      <c r="H566" s="175"/>
      <c r="I566" s="176"/>
      <c r="J566" s="176"/>
      <c r="K566" s="176"/>
      <c r="L566" s="176"/>
      <c r="M566" s="176"/>
      <c r="N566" s="176"/>
      <c r="O566" s="263"/>
      <c r="P566" s="294"/>
      <c r="Q566" s="134"/>
      <c r="R566" s="83"/>
    </row>
    <row r="567" spans="1:19" s="80" customFormat="1" ht="12.75" x14ac:dyDescent="0.2">
      <c r="A567" s="265"/>
      <c r="B567" s="171"/>
      <c r="C567" s="172"/>
      <c r="D567" s="172"/>
      <c r="E567" s="172"/>
      <c r="F567" s="249" t="s">
        <v>131</v>
      </c>
      <c r="G567" s="250" t="s">
        <v>476</v>
      </c>
      <c r="H567" s="175" t="s">
        <v>94</v>
      </c>
      <c r="I567" s="176">
        <v>21630640</v>
      </c>
      <c r="J567" s="176"/>
      <c r="K567" s="176">
        <f>+I567</f>
        <v>21630640</v>
      </c>
      <c r="L567" s="176"/>
      <c r="M567" s="176"/>
      <c r="N567" s="176">
        <f>21630640-I567</f>
        <v>0</v>
      </c>
      <c r="O567" s="263"/>
      <c r="P567" s="294"/>
      <c r="Q567" s="134"/>
      <c r="R567" s="83"/>
    </row>
    <row r="568" spans="1:19" s="82" customFormat="1" ht="12.75" x14ac:dyDescent="0.2">
      <c r="A568" s="265"/>
      <c r="B568" s="171"/>
      <c r="C568" s="172"/>
      <c r="D568" s="172"/>
      <c r="E568" s="172"/>
      <c r="F568" s="249"/>
      <c r="G568" s="250"/>
      <c r="H568" s="175"/>
      <c r="I568" s="176"/>
      <c r="J568" s="176"/>
      <c r="K568" s="176"/>
      <c r="L568" s="176"/>
      <c r="M568" s="176"/>
      <c r="N568" s="176"/>
      <c r="O568" s="263"/>
      <c r="P568" s="294"/>
      <c r="Q568" s="134"/>
      <c r="R568" s="83"/>
    </row>
    <row r="569" spans="1:19" s="80" customFormat="1" ht="12" customHeight="1" x14ac:dyDescent="0.2">
      <c r="A569" s="265"/>
      <c r="B569" s="171"/>
      <c r="C569" s="172"/>
      <c r="D569" s="172"/>
      <c r="E569" s="172"/>
      <c r="F569" s="249" t="s">
        <v>132</v>
      </c>
      <c r="G569" s="250" t="s">
        <v>228</v>
      </c>
      <c r="H569" s="175" t="s">
        <v>91</v>
      </c>
      <c r="I569" s="176">
        <v>0</v>
      </c>
      <c r="J569" s="176"/>
      <c r="K569" s="176">
        <f>+I569</f>
        <v>0</v>
      </c>
      <c r="L569" s="176"/>
      <c r="M569" s="176"/>
      <c r="N569" s="176">
        <f>194099559+17113205.2-I569</f>
        <v>211212764.19999999</v>
      </c>
      <c r="O569" s="263"/>
      <c r="P569" s="294"/>
      <c r="Q569" s="134"/>
      <c r="R569" s="83"/>
    </row>
    <row r="570" spans="1:19" s="82" customFormat="1" ht="12" customHeight="1" x14ac:dyDescent="0.2">
      <c r="A570" s="265"/>
      <c r="B570" s="171"/>
      <c r="C570" s="172"/>
      <c r="D570" s="172"/>
      <c r="E570" s="172"/>
      <c r="F570" s="249"/>
      <c r="G570" s="250"/>
      <c r="H570" s="175" t="s">
        <v>92</v>
      </c>
      <c r="I570" s="176">
        <f>367453360.45-I65</f>
        <v>43638291.389999986</v>
      </c>
      <c r="J570" s="176"/>
      <c r="K570" s="176">
        <f>+I570</f>
        <v>43638291.389999986</v>
      </c>
      <c r="L570" s="176"/>
      <c r="M570" s="176"/>
      <c r="N570" s="176">
        <f>60000000+38155199.25-I570</f>
        <v>54516907.860000014</v>
      </c>
      <c r="O570" s="263"/>
      <c r="P570" s="294"/>
      <c r="Q570" s="134"/>
      <c r="R570" s="83"/>
      <c r="S570" s="85"/>
    </row>
    <row r="571" spans="1:19" s="82" customFormat="1" ht="12" customHeight="1" x14ac:dyDescent="0.2">
      <c r="A571" s="265"/>
      <c r="B571" s="171"/>
      <c r="C571" s="172"/>
      <c r="D571" s="172"/>
      <c r="E571" s="172"/>
      <c r="F571" s="249"/>
      <c r="G571" s="250"/>
      <c r="H571" s="175" t="s">
        <v>94</v>
      </c>
      <c r="I571" s="176">
        <f>468076951.82-I66-23004837.9+194674.97</f>
        <v>355946694.40000004</v>
      </c>
      <c r="J571" s="176"/>
      <c r="K571" s="176">
        <f>+I571</f>
        <v>355946694.40000004</v>
      </c>
      <c r="L571" s="176"/>
      <c r="M571" s="176"/>
      <c r="N571" s="176">
        <f>373240000+16528462.82-I571</f>
        <v>33821768.419999957</v>
      </c>
      <c r="O571" s="263"/>
      <c r="P571" s="294"/>
      <c r="Q571" s="134"/>
      <c r="R571" s="83"/>
    </row>
    <row r="572" spans="1:19" s="82" customFormat="1" ht="12" customHeight="1" x14ac:dyDescent="0.2">
      <c r="A572" s="265"/>
      <c r="B572" s="171"/>
      <c r="C572" s="172"/>
      <c r="D572" s="172"/>
      <c r="E572" s="172"/>
      <c r="F572" s="249"/>
      <c r="G572" s="250"/>
      <c r="H572" s="175" t="s">
        <v>95</v>
      </c>
      <c r="I572" s="176">
        <v>32495611.59</v>
      </c>
      <c r="J572" s="176">
        <f>+I572</f>
        <v>32495611.59</v>
      </c>
      <c r="K572" s="176"/>
      <c r="L572" s="176"/>
      <c r="M572" s="176"/>
      <c r="N572" s="176">
        <f>32947001.66-I572</f>
        <v>451390.0700000003</v>
      </c>
      <c r="O572" s="263"/>
      <c r="P572" s="294"/>
      <c r="Q572" s="134"/>
      <c r="R572" s="83"/>
      <c r="S572" s="85"/>
    </row>
    <row r="573" spans="1:19" s="86" customFormat="1" ht="12" customHeight="1" x14ac:dyDescent="0.2">
      <c r="A573" s="265"/>
      <c r="B573" s="171"/>
      <c r="C573" s="172"/>
      <c r="D573" s="172"/>
      <c r="E573" s="172"/>
      <c r="F573" s="249"/>
      <c r="G573" s="250"/>
      <c r="H573" s="175"/>
      <c r="I573" s="176"/>
      <c r="J573" s="176"/>
      <c r="K573" s="176"/>
      <c r="L573" s="176"/>
      <c r="M573" s="176"/>
      <c r="N573" s="176"/>
      <c r="O573" s="263"/>
      <c r="P573" s="294"/>
      <c r="Q573" s="134"/>
      <c r="R573" s="83"/>
      <c r="S573" s="85"/>
    </row>
    <row r="574" spans="1:19" s="80" customFormat="1" ht="12.75" x14ac:dyDescent="0.2">
      <c r="A574" s="265"/>
      <c r="B574" s="171"/>
      <c r="C574" s="172"/>
      <c r="D574" s="172"/>
      <c r="E574" s="172"/>
      <c r="F574" s="249" t="s">
        <v>133</v>
      </c>
      <c r="G574" s="250" t="s">
        <v>477</v>
      </c>
      <c r="H574" s="175" t="s">
        <v>94</v>
      </c>
      <c r="I574" s="176">
        <f>899923550.61-230000000-49923550.61</f>
        <v>620000000</v>
      </c>
      <c r="J574" s="176"/>
      <c r="K574" s="176">
        <f>+I574</f>
        <v>620000000</v>
      </c>
      <c r="L574" s="176"/>
      <c r="M574" s="176"/>
      <c r="N574" s="176">
        <f>620000000-I574</f>
        <v>0</v>
      </c>
      <c r="O574" s="263"/>
      <c r="P574" s="294"/>
      <c r="Q574" s="134"/>
      <c r="R574" s="83"/>
      <c r="S574" s="85"/>
    </row>
    <row r="575" spans="1:19" s="82" customFormat="1" ht="12.75" x14ac:dyDescent="0.2">
      <c r="A575" s="265"/>
      <c r="B575" s="171"/>
      <c r="C575" s="172"/>
      <c r="D575" s="172"/>
      <c r="E575" s="172"/>
      <c r="F575" s="249"/>
      <c r="G575" s="250"/>
      <c r="H575" s="175"/>
      <c r="I575" s="176"/>
      <c r="J575" s="176"/>
      <c r="K575" s="176"/>
      <c r="L575" s="176"/>
      <c r="M575" s="176"/>
      <c r="N575" s="176"/>
      <c r="O575" s="263"/>
      <c r="P575" s="294"/>
      <c r="Q575" s="134"/>
      <c r="R575" s="83"/>
    </row>
    <row r="576" spans="1:19" s="80" customFormat="1" ht="25.5" x14ac:dyDescent="0.2">
      <c r="A576" s="265"/>
      <c r="B576" s="171"/>
      <c r="C576" s="172"/>
      <c r="D576" s="172"/>
      <c r="E576" s="172"/>
      <c r="F576" s="249" t="s">
        <v>134</v>
      </c>
      <c r="G576" s="250" t="s">
        <v>478</v>
      </c>
      <c r="H576" s="175" t="s">
        <v>92</v>
      </c>
      <c r="I576" s="176">
        <v>0</v>
      </c>
      <c r="J576" s="176"/>
      <c r="K576" s="176">
        <f>+I576</f>
        <v>0</v>
      </c>
      <c r="L576" s="176"/>
      <c r="M576" s="176"/>
      <c r="N576" s="176">
        <v>237000000</v>
      </c>
      <c r="O576" s="263"/>
      <c r="P576" s="294"/>
      <c r="Q576" s="134"/>
      <c r="R576" s="83"/>
    </row>
    <row r="577" spans="1:18" s="82" customFormat="1" ht="12.75" x14ac:dyDescent="0.2">
      <c r="A577" s="265"/>
      <c r="B577" s="171"/>
      <c r="C577" s="172"/>
      <c r="D577" s="172"/>
      <c r="E577" s="172"/>
      <c r="F577" s="249"/>
      <c r="G577" s="250"/>
      <c r="H577" s="175"/>
      <c r="I577" s="176"/>
      <c r="J577" s="176"/>
      <c r="K577" s="176"/>
      <c r="L577" s="176"/>
      <c r="M577" s="176"/>
      <c r="N577" s="176"/>
      <c r="O577" s="263"/>
      <c r="P577" s="294"/>
      <c r="Q577" s="134"/>
      <c r="R577" s="83"/>
    </row>
    <row r="578" spans="1:18" s="80" customFormat="1" ht="25.5" x14ac:dyDescent="0.2">
      <c r="A578" s="265"/>
      <c r="B578" s="171"/>
      <c r="C578" s="172"/>
      <c r="D578" s="172"/>
      <c r="E578" s="172"/>
      <c r="F578" s="249" t="s">
        <v>135</v>
      </c>
      <c r="G578" s="250" t="s">
        <v>479</v>
      </c>
      <c r="H578" s="175" t="s">
        <v>94</v>
      </c>
      <c r="I578" s="176">
        <v>14999793.359999999</v>
      </c>
      <c r="J578" s="176"/>
      <c r="K578" s="176">
        <f>+I578</f>
        <v>14999793.359999999</v>
      </c>
      <c r="L578" s="176"/>
      <c r="M578" s="176"/>
      <c r="N578" s="176">
        <f>15000000-I578</f>
        <v>206.64000000059605</v>
      </c>
      <c r="O578" s="263"/>
      <c r="P578" s="294"/>
      <c r="Q578" s="134"/>
      <c r="R578" s="83"/>
    </row>
    <row r="579" spans="1:18" s="82" customFormat="1" ht="12.75" x14ac:dyDescent="0.2">
      <c r="A579" s="265"/>
      <c r="B579" s="171"/>
      <c r="C579" s="172"/>
      <c r="D579" s="172"/>
      <c r="E579" s="172"/>
      <c r="F579" s="249"/>
      <c r="G579" s="250"/>
      <c r="H579" s="175"/>
      <c r="I579" s="176"/>
      <c r="J579" s="176"/>
      <c r="K579" s="176"/>
      <c r="L579" s="176"/>
      <c r="M579" s="176"/>
      <c r="N579" s="176"/>
      <c r="O579" s="263"/>
      <c r="P579" s="294"/>
      <c r="Q579" s="134"/>
      <c r="R579" s="83"/>
    </row>
    <row r="580" spans="1:18" s="80" customFormat="1" ht="25.5" x14ac:dyDescent="0.2">
      <c r="A580" s="265"/>
      <c r="B580" s="171"/>
      <c r="C580" s="172"/>
      <c r="D580" s="172"/>
      <c r="E580" s="172"/>
      <c r="F580" s="249" t="s">
        <v>136</v>
      </c>
      <c r="G580" s="250" t="s">
        <v>480</v>
      </c>
      <c r="H580" s="175" t="s">
        <v>94</v>
      </c>
      <c r="I580" s="176">
        <v>0</v>
      </c>
      <c r="J580" s="176"/>
      <c r="K580" s="176"/>
      <c r="L580" s="176"/>
      <c r="M580" s="176"/>
      <c r="N580" s="176">
        <v>240000000</v>
      </c>
      <c r="O580" s="263"/>
      <c r="P580" s="294"/>
      <c r="Q580" s="134"/>
      <c r="R580" s="83"/>
    </row>
    <row r="581" spans="1:18" s="82" customFormat="1" ht="12.75" x14ac:dyDescent="0.2">
      <c r="A581" s="265"/>
      <c r="B581" s="171"/>
      <c r="C581" s="172"/>
      <c r="D581" s="172"/>
      <c r="E581" s="172"/>
      <c r="F581" s="249"/>
      <c r="G581" s="250"/>
      <c r="H581" s="175"/>
      <c r="I581" s="176"/>
      <c r="J581" s="176"/>
      <c r="K581" s="176"/>
      <c r="L581" s="176"/>
      <c r="M581" s="176"/>
      <c r="N581" s="176"/>
      <c r="O581" s="263"/>
      <c r="P581" s="294"/>
      <c r="Q581" s="134"/>
      <c r="R581" s="83"/>
    </row>
    <row r="582" spans="1:18" s="80" customFormat="1" ht="25.5" x14ac:dyDescent="0.2">
      <c r="A582" s="265"/>
      <c r="B582" s="171"/>
      <c r="C582" s="172"/>
      <c r="D582" s="172"/>
      <c r="E582" s="172"/>
      <c r="F582" s="249" t="s">
        <v>137</v>
      </c>
      <c r="G582" s="250" t="s">
        <v>420</v>
      </c>
      <c r="H582" s="175" t="s">
        <v>94</v>
      </c>
      <c r="I582" s="176">
        <v>0</v>
      </c>
      <c r="J582" s="176"/>
      <c r="K582" s="176"/>
      <c r="L582" s="176"/>
      <c r="M582" s="176"/>
      <c r="N582" s="176">
        <v>0</v>
      </c>
      <c r="O582" s="263"/>
      <c r="P582" s="294"/>
      <c r="Q582" s="134"/>
      <c r="R582" s="83"/>
    </row>
    <row r="583" spans="1:18" s="82" customFormat="1" ht="12.75" x14ac:dyDescent="0.2">
      <c r="A583" s="265"/>
      <c r="B583" s="171"/>
      <c r="C583" s="172"/>
      <c r="D583" s="172"/>
      <c r="E583" s="172"/>
      <c r="F583" s="249"/>
      <c r="G583" s="250"/>
      <c r="H583" s="175"/>
      <c r="I583" s="176"/>
      <c r="J583" s="176"/>
      <c r="K583" s="176"/>
      <c r="L583" s="176"/>
      <c r="M583" s="176"/>
      <c r="N583" s="176"/>
      <c r="O583" s="263"/>
      <c r="P583" s="294"/>
      <c r="Q583" s="134"/>
      <c r="R583" s="83"/>
    </row>
    <row r="584" spans="1:18" s="80" customFormat="1" ht="25.5" x14ac:dyDescent="0.2">
      <c r="A584" s="265"/>
      <c r="B584" s="171"/>
      <c r="C584" s="172"/>
      <c r="D584" s="172"/>
      <c r="E584" s="172"/>
      <c r="F584" s="249" t="s">
        <v>138</v>
      </c>
      <c r="G584" s="250" t="s">
        <v>481</v>
      </c>
      <c r="H584" s="175" t="s">
        <v>94</v>
      </c>
      <c r="I584" s="176">
        <v>0</v>
      </c>
      <c r="J584" s="176"/>
      <c r="K584" s="176"/>
      <c r="L584" s="176"/>
      <c r="M584" s="176"/>
      <c r="N584" s="176">
        <v>55000000</v>
      </c>
      <c r="O584" s="263"/>
      <c r="P584" s="294"/>
      <c r="Q584" s="134"/>
      <c r="R584" s="83"/>
    </row>
    <row r="585" spans="1:18" s="82" customFormat="1" ht="12.75" x14ac:dyDescent="0.2">
      <c r="A585" s="265"/>
      <c r="B585" s="171"/>
      <c r="C585" s="172"/>
      <c r="D585" s="172"/>
      <c r="E585" s="172"/>
      <c r="F585" s="249"/>
      <c r="G585" s="250"/>
      <c r="H585" s="175"/>
      <c r="I585" s="176"/>
      <c r="J585" s="176"/>
      <c r="K585" s="176"/>
      <c r="L585" s="176"/>
      <c r="M585" s="176"/>
      <c r="N585" s="176"/>
      <c r="O585" s="263"/>
      <c r="P585" s="294"/>
      <c r="Q585" s="134"/>
      <c r="R585" s="83"/>
    </row>
    <row r="586" spans="1:18" s="80" customFormat="1" ht="12" customHeight="1" x14ac:dyDescent="0.2">
      <c r="A586" s="265"/>
      <c r="B586" s="171"/>
      <c r="C586" s="172"/>
      <c r="D586" s="172"/>
      <c r="E586" s="172"/>
      <c r="F586" s="249" t="s">
        <v>139</v>
      </c>
      <c r="G586" s="250" t="s">
        <v>482</v>
      </c>
      <c r="H586" s="175" t="s">
        <v>94</v>
      </c>
      <c r="I586" s="176">
        <v>0</v>
      </c>
      <c r="J586" s="176"/>
      <c r="K586" s="176"/>
      <c r="L586" s="176"/>
      <c r="M586" s="176"/>
      <c r="N586" s="176">
        <v>285000000</v>
      </c>
      <c r="O586" s="263"/>
      <c r="P586" s="294"/>
      <c r="Q586" s="134"/>
      <c r="R586" s="83"/>
    </row>
    <row r="587" spans="1:18" s="82" customFormat="1" ht="12" customHeight="1" x14ac:dyDescent="0.2">
      <c r="A587" s="265"/>
      <c r="B587" s="171"/>
      <c r="C587" s="172"/>
      <c r="D587" s="172"/>
      <c r="E587" s="172"/>
      <c r="F587" s="249"/>
      <c r="G587" s="250"/>
      <c r="H587" s="175"/>
      <c r="I587" s="176"/>
      <c r="J587" s="176"/>
      <c r="K587" s="176"/>
      <c r="L587" s="176"/>
      <c r="M587" s="176"/>
      <c r="N587" s="176"/>
      <c r="O587" s="263"/>
      <c r="P587" s="294"/>
      <c r="Q587" s="134"/>
      <c r="R587" s="83"/>
    </row>
    <row r="588" spans="1:18" s="80" customFormat="1" ht="12.75" x14ac:dyDescent="0.2">
      <c r="A588" s="265"/>
      <c r="B588" s="171"/>
      <c r="C588" s="172"/>
      <c r="D588" s="172"/>
      <c r="E588" s="172"/>
      <c r="F588" s="249" t="s">
        <v>140</v>
      </c>
      <c r="G588" s="250" t="s">
        <v>483</v>
      </c>
      <c r="H588" s="175" t="s">
        <v>94</v>
      </c>
      <c r="I588" s="176">
        <v>0</v>
      </c>
      <c r="J588" s="176"/>
      <c r="K588" s="176"/>
      <c r="L588" s="176"/>
      <c r="M588" s="176"/>
      <c r="N588" s="176">
        <v>50000000</v>
      </c>
      <c r="O588" s="263"/>
      <c r="P588" s="294"/>
      <c r="Q588" s="134"/>
      <c r="R588" s="83"/>
    </row>
    <row r="589" spans="1:18" s="82" customFormat="1" ht="12.75" x14ac:dyDescent="0.2">
      <c r="A589" s="265"/>
      <c r="B589" s="171"/>
      <c r="C589" s="172"/>
      <c r="D589" s="172"/>
      <c r="E589" s="172"/>
      <c r="F589" s="249"/>
      <c r="G589" s="250"/>
      <c r="H589" s="175"/>
      <c r="I589" s="176"/>
      <c r="J589" s="176"/>
      <c r="K589" s="176"/>
      <c r="L589" s="176"/>
      <c r="M589" s="176"/>
      <c r="N589" s="176"/>
      <c r="O589" s="263"/>
      <c r="P589" s="294"/>
      <c r="Q589" s="134"/>
      <c r="R589" s="83"/>
    </row>
    <row r="590" spans="1:18" s="80" customFormat="1" ht="12.75" x14ac:dyDescent="0.2">
      <c r="A590" s="265"/>
      <c r="B590" s="171"/>
      <c r="C590" s="172"/>
      <c r="D590" s="172"/>
      <c r="E590" s="172"/>
      <c r="F590" s="249" t="s">
        <v>141</v>
      </c>
      <c r="G590" s="250" t="s">
        <v>484</v>
      </c>
      <c r="H590" s="175" t="s">
        <v>94</v>
      </c>
      <c r="I590" s="176">
        <v>0</v>
      </c>
      <c r="J590" s="176"/>
      <c r="K590" s="176"/>
      <c r="L590" s="176"/>
      <c r="M590" s="176"/>
      <c r="N590" s="176">
        <v>50000000</v>
      </c>
      <c r="O590" s="263"/>
      <c r="P590" s="294"/>
      <c r="Q590" s="134"/>
      <c r="R590" s="83"/>
    </row>
    <row r="591" spans="1:18" s="82" customFormat="1" ht="12.75" x14ac:dyDescent="0.2">
      <c r="A591" s="265"/>
      <c r="B591" s="171"/>
      <c r="C591" s="172"/>
      <c r="D591" s="172"/>
      <c r="E591" s="172"/>
      <c r="F591" s="249"/>
      <c r="G591" s="250"/>
      <c r="H591" s="175"/>
      <c r="I591" s="176"/>
      <c r="J591" s="176"/>
      <c r="K591" s="176"/>
      <c r="L591" s="176"/>
      <c r="M591" s="176"/>
      <c r="N591" s="176"/>
      <c r="O591" s="263"/>
      <c r="P591" s="294"/>
      <c r="Q591" s="134"/>
      <c r="R591" s="83"/>
    </row>
    <row r="592" spans="1:18" s="80" customFormat="1" ht="12.75" x14ac:dyDescent="0.2">
      <c r="A592" s="265"/>
      <c r="B592" s="171"/>
      <c r="C592" s="172"/>
      <c r="D592" s="172"/>
      <c r="E592" s="172"/>
      <c r="F592" s="249" t="s">
        <v>142</v>
      </c>
      <c r="G592" s="250" t="s">
        <v>485</v>
      </c>
      <c r="H592" s="175" t="s">
        <v>91</v>
      </c>
      <c r="I592" s="176">
        <v>0</v>
      </c>
      <c r="J592" s="176"/>
      <c r="K592" s="176"/>
      <c r="L592" s="176"/>
      <c r="M592" s="176"/>
      <c r="N592" s="176">
        <v>6000000</v>
      </c>
      <c r="O592" s="263"/>
      <c r="P592" s="294"/>
      <c r="Q592" s="134"/>
      <c r="R592" s="83"/>
    </row>
    <row r="593" spans="1:18" s="82" customFormat="1" ht="12.75" x14ac:dyDescent="0.2">
      <c r="A593" s="265"/>
      <c r="B593" s="171"/>
      <c r="C593" s="172"/>
      <c r="D593" s="172"/>
      <c r="E593" s="172"/>
      <c r="F593" s="249"/>
      <c r="G593" s="250"/>
      <c r="H593" s="175" t="s">
        <v>94</v>
      </c>
      <c r="I593" s="176">
        <v>0</v>
      </c>
      <c r="J593" s="176"/>
      <c r="K593" s="176"/>
      <c r="L593" s="176"/>
      <c r="M593" s="176"/>
      <c r="N593" s="176">
        <v>34000000</v>
      </c>
      <c r="O593" s="263"/>
      <c r="P593" s="294"/>
      <c r="Q593" s="134"/>
      <c r="R593" s="83"/>
    </row>
    <row r="594" spans="1:18" s="82" customFormat="1" ht="12.75" x14ac:dyDescent="0.2">
      <c r="A594" s="265"/>
      <c r="B594" s="171"/>
      <c r="C594" s="172"/>
      <c r="D594" s="172"/>
      <c r="E594" s="172"/>
      <c r="F594" s="249"/>
      <c r="G594" s="250"/>
      <c r="H594" s="175"/>
      <c r="I594" s="176"/>
      <c r="J594" s="176"/>
      <c r="K594" s="176"/>
      <c r="L594" s="176"/>
      <c r="M594" s="176"/>
      <c r="N594" s="176"/>
      <c r="O594" s="263"/>
      <c r="P594" s="294"/>
      <c r="Q594" s="134"/>
      <c r="R594" s="83"/>
    </row>
    <row r="595" spans="1:18" s="80" customFormat="1" ht="12.75" x14ac:dyDescent="0.2">
      <c r="A595" s="265"/>
      <c r="B595" s="171"/>
      <c r="C595" s="172"/>
      <c r="D595" s="172"/>
      <c r="E595" s="172"/>
      <c r="F595" s="249" t="s">
        <v>143</v>
      </c>
      <c r="G595" s="250" t="s">
        <v>486</v>
      </c>
      <c r="H595" s="175" t="s">
        <v>94</v>
      </c>
      <c r="I595" s="176">
        <v>29999687.780000001</v>
      </c>
      <c r="J595" s="176"/>
      <c r="K595" s="176">
        <f>+I595</f>
        <v>29999687.780000001</v>
      </c>
      <c r="L595" s="176"/>
      <c r="M595" s="176"/>
      <c r="N595" s="176">
        <f>30000000-I595</f>
        <v>312.21999999880791</v>
      </c>
      <c r="O595" s="263"/>
      <c r="P595" s="294"/>
      <c r="Q595" s="134"/>
      <c r="R595" s="83"/>
    </row>
    <row r="596" spans="1:18" s="82" customFormat="1" ht="12.75" x14ac:dyDescent="0.2">
      <c r="A596" s="265"/>
      <c r="B596" s="171"/>
      <c r="C596" s="172"/>
      <c r="D596" s="172"/>
      <c r="E596" s="172"/>
      <c r="F596" s="249"/>
      <c r="G596" s="250"/>
      <c r="H596" s="175"/>
      <c r="I596" s="176"/>
      <c r="J596" s="176"/>
      <c r="K596" s="176"/>
      <c r="L596" s="176"/>
      <c r="M596" s="176"/>
      <c r="N596" s="176"/>
      <c r="O596" s="263"/>
      <c r="P596" s="294"/>
      <c r="Q596" s="134"/>
      <c r="R596" s="83"/>
    </row>
    <row r="597" spans="1:18" s="80" customFormat="1" ht="12.75" x14ac:dyDescent="0.2">
      <c r="A597" s="265"/>
      <c r="B597" s="171"/>
      <c r="C597" s="172"/>
      <c r="D597" s="172"/>
      <c r="E597" s="172"/>
      <c r="F597" s="249" t="s">
        <v>144</v>
      </c>
      <c r="G597" s="250" t="s">
        <v>486</v>
      </c>
      <c r="H597" s="175" t="s">
        <v>94</v>
      </c>
      <c r="I597" s="176">
        <v>6524000</v>
      </c>
      <c r="J597" s="176"/>
      <c r="K597" s="176">
        <f>+I597</f>
        <v>6524000</v>
      </c>
      <c r="L597" s="176"/>
      <c r="M597" s="176"/>
      <c r="N597" s="176">
        <v>0</v>
      </c>
      <c r="O597" s="263"/>
      <c r="P597" s="294"/>
      <c r="Q597" s="134"/>
      <c r="R597" s="83"/>
    </row>
    <row r="598" spans="1:18" s="82" customFormat="1" ht="12.75" x14ac:dyDescent="0.2">
      <c r="A598" s="265"/>
      <c r="B598" s="171"/>
      <c r="C598" s="172"/>
      <c r="D598" s="172"/>
      <c r="E598" s="172"/>
      <c r="F598" s="249"/>
      <c r="G598" s="250"/>
      <c r="H598" s="175"/>
      <c r="I598" s="176"/>
      <c r="J598" s="176"/>
      <c r="K598" s="176"/>
      <c r="L598" s="176"/>
      <c r="M598" s="176"/>
      <c r="N598" s="176"/>
      <c r="O598" s="263"/>
      <c r="P598" s="294"/>
      <c r="Q598" s="134"/>
      <c r="R598" s="83"/>
    </row>
    <row r="599" spans="1:18" s="80" customFormat="1" ht="12.75" x14ac:dyDescent="0.2">
      <c r="A599" s="265"/>
      <c r="B599" s="171"/>
      <c r="C599" s="172"/>
      <c r="D599" s="172"/>
      <c r="E599" s="172"/>
      <c r="F599" s="249" t="s">
        <v>145</v>
      </c>
      <c r="G599" s="250" t="s">
        <v>487</v>
      </c>
      <c r="H599" s="175" t="s">
        <v>91</v>
      </c>
      <c r="I599" s="176">
        <v>6920113</v>
      </c>
      <c r="J599" s="176">
        <f>+I599</f>
        <v>6920113</v>
      </c>
      <c r="K599" s="176"/>
      <c r="L599" s="176"/>
      <c r="M599" s="176"/>
      <c r="N599" s="176">
        <v>0</v>
      </c>
      <c r="O599" s="263"/>
      <c r="P599" s="294"/>
      <c r="Q599" s="134"/>
      <c r="R599" s="83"/>
    </row>
    <row r="600" spans="1:18" s="82" customFormat="1" ht="12.75" x14ac:dyDescent="0.2">
      <c r="A600" s="265"/>
      <c r="B600" s="171"/>
      <c r="C600" s="172"/>
      <c r="D600" s="172"/>
      <c r="E600" s="172"/>
      <c r="F600" s="249"/>
      <c r="G600" s="250"/>
      <c r="H600" s="175"/>
      <c r="I600" s="176"/>
      <c r="J600" s="176"/>
      <c r="K600" s="176"/>
      <c r="L600" s="176"/>
      <c r="M600" s="176"/>
      <c r="N600" s="176"/>
      <c r="O600" s="263"/>
      <c r="P600" s="294"/>
      <c r="Q600" s="134"/>
      <c r="R600" s="83"/>
    </row>
    <row r="601" spans="1:18" s="80" customFormat="1" ht="12" customHeight="1" x14ac:dyDescent="0.2">
      <c r="A601" s="265"/>
      <c r="B601" s="171"/>
      <c r="C601" s="172"/>
      <c r="D601" s="172"/>
      <c r="E601" s="172"/>
      <c r="F601" s="249" t="s">
        <v>146</v>
      </c>
      <c r="G601" s="250" t="s">
        <v>488</v>
      </c>
      <c r="H601" s="175" t="s">
        <v>94</v>
      </c>
      <c r="I601" s="176">
        <v>9999780.1899999995</v>
      </c>
      <c r="J601" s="176"/>
      <c r="K601" s="176">
        <f>+I601</f>
        <v>9999780.1899999995</v>
      </c>
      <c r="L601" s="176"/>
      <c r="M601" s="176"/>
      <c r="N601" s="176">
        <f>10000000-I601</f>
        <v>219.81000000052154</v>
      </c>
      <c r="O601" s="263"/>
      <c r="P601" s="294"/>
      <c r="Q601" s="134"/>
      <c r="R601" s="83"/>
    </row>
    <row r="602" spans="1:18" s="82" customFormat="1" ht="12" customHeight="1" x14ac:dyDescent="0.2">
      <c r="A602" s="265"/>
      <c r="B602" s="171"/>
      <c r="C602" s="172"/>
      <c r="D602" s="172"/>
      <c r="E602" s="172"/>
      <c r="F602" s="249"/>
      <c r="G602" s="250"/>
      <c r="H602" s="175"/>
      <c r="I602" s="176"/>
      <c r="J602" s="176"/>
      <c r="K602" s="176"/>
      <c r="L602" s="176"/>
      <c r="M602" s="176"/>
      <c r="N602" s="176"/>
      <c r="O602" s="263"/>
      <c r="P602" s="294"/>
      <c r="Q602" s="134"/>
      <c r="R602" s="83"/>
    </row>
    <row r="603" spans="1:18" s="80" customFormat="1" ht="12.75" x14ac:dyDescent="0.2">
      <c r="A603" s="265"/>
      <c r="B603" s="171"/>
      <c r="C603" s="172"/>
      <c r="D603" s="172"/>
      <c r="E603" s="172"/>
      <c r="F603" s="249" t="s">
        <v>147</v>
      </c>
      <c r="G603" s="250" t="s">
        <v>489</v>
      </c>
      <c r="H603" s="175" t="s">
        <v>94</v>
      </c>
      <c r="I603" s="176">
        <v>40000000</v>
      </c>
      <c r="J603" s="176"/>
      <c r="K603" s="176">
        <f>+I603</f>
        <v>40000000</v>
      </c>
      <c r="L603" s="176"/>
      <c r="M603" s="176"/>
      <c r="N603" s="176">
        <v>0</v>
      </c>
      <c r="O603" s="263"/>
      <c r="P603" s="294"/>
      <c r="Q603" s="134"/>
      <c r="R603" s="83"/>
    </row>
    <row r="604" spans="1:18" s="82" customFormat="1" ht="12.75" x14ac:dyDescent="0.2">
      <c r="A604" s="265"/>
      <c r="B604" s="171"/>
      <c r="C604" s="172"/>
      <c r="D604" s="172"/>
      <c r="E604" s="172"/>
      <c r="F604" s="249"/>
      <c r="G604" s="250"/>
      <c r="H604" s="175"/>
      <c r="I604" s="176"/>
      <c r="J604" s="176"/>
      <c r="K604" s="176"/>
      <c r="L604" s="176"/>
      <c r="M604" s="176"/>
      <c r="N604" s="176"/>
      <c r="O604" s="263"/>
      <c r="P604" s="294"/>
      <c r="Q604" s="134"/>
      <c r="R604" s="83"/>
    </row>
    <row r="605" spans="1:18" s="80" customFormat="1" ht="25.5" x14ac:dyDescent="0.2">
      <c r="A605" s="265"/>
      <c r="B605" s="171"/>
      <c r="C605" s="172"/>
      <c r="D605" s="172"/>
      <c r="E605" s="172"/>
      <c r="F605" s="249" t="s">
        <v>148</v>
      </c>
      <c r="G605" s="250" t="s">
        <v>490</v>
      </c>
      <c r="H605" s="175" t="s">
        <v>94</v>
      </c>
      <c r="I605" s="176">
        <v>39695000</v>
      </c>
      <c r="J605" s="176"/>
      <c r="K605" s="176">
        <f>+I605</f>
        <v>39695000</v>
      </c>
      <c r="L605" s="176"/>
      <c r="M605" s="176"/>
      <c r="N605" s="176">
        <f>40000000-I605</f>
        <v>305000</v>
      </c>
      <c r="O605" s="263"/>
      <c r="P605" s="294"/>
      <c r="Q605" s="134"/>
      <c r="R605" s="83"/>
    </row>
    <row r="606" spans="1:18" s="82" customFormat="1" ht="12.75" x14ac:dyDescent="0.2">
      <c r="A606" s="265"/>
      <c r="B606" s="171"/>
      <c r="C606" s="172"/>
      <c r="D606" s="172"/>
      <c r="E606" s="172"/>
      <c r="F606" s="249"/>
      <c r="G606" s="250"/>
      <c r="H606" s="175"/>
      <c r="I606" s="176"/>
      <c r="J606" s="176"/>
      <c r="K606" s="176"/>
      <c r="L606" s="176"/>
      <c r="M606" s="176"/>
      <c r="N606" s="176"/>
      <c r="O606" s="263"/>
      <c r="P606" s="294"/>
      <c r="Q606" s="134"/>
      <c r="R606" s="83"/>
    </row>
    <row r="607" spans="1:18" s="80" customFormat="1" ht="12.75" x14ac:dyDescent="0.2">
      <c r="A607" s="265"/>
      <c r="B607" s="171"/>
      <c r="C607" s="172"/>
      <c r="D607" s="172"/>
      <c r="E607" s="172"/>
      <c r="F607" s="249" t="s">
        <v>149</v>
      </c>
      <c r="G607" s="250" t="s">
        <v>491</v>
      </c>
      <c r="H607" s="175" t="s">
        <v>94</v>
      </c>
      <c r="I607" s="176">
        <v>0</v>
      </c>
      <c r="J607" s="176"/>
      <c r="K607" s="176"/>
      <c r="L607" s="176"/>
      <c r="M607" s="176"/>
      <c r="N607" s="176">
        <v>20000000</v>
      </c>
      <c r="O607" s="263"/>
      <c r="P607" s="294"/>
      <c r="Q607" s="134"/>
      <c r="R607" s="83"/>
    </row>
    <row r="608" spans="1:18" s="82" customFormat="1" ht="12.75" x14ac:dyDescent="0.2">
      <c r="A608" s="265"/>
      <c r="B608" s="171"/>
      <c r="C608" s="172"/>
      <c r="D608" s="172"/>
      <c r="E608" s="172"/>
      <c r="F608" s="249"/>
      <c r="G608" s="250"/>
      <c r="H608" s="175"/>
      <c r="I608" s="176"/>
      <c r="J608" s="176"/>
      <c r="K608" s="176"/>
      <c r="L608" s="176"/>
      <c r="M608" s="176"/>
      <c r="N608" s="176"/>
      <c r="O608" s="263"/>
      <c r="P608" s="294"/>
      <c r="Q608" s="134"/>
      <c r="R608" s="83"/>
    </row>
    <row r="609" spans="1:18" s="80" customFormat="1" ht="25.5" x14ac:dyDescent="0.2">
      <c r="A609" s="265"/>
      <c r="B609" s="171"/>
      <c r="C609" s="172"/>
      <c r="D609" s="172"/>
      <c r="E609" s="172"/>
      <c r="F609" s="249" t="s">
        <v>150</v>
      </c>
      <c r="G609" s="250" t="s">
        <v>492</v>
      </c>
      <c r="H609" s="175" t="s">
        <v>94</v>
      </c>
      <c r="I609" s="176">
        <v>24300000</v>
      </c>
      <c r="J609" s="176"/>
      <c r="K609" s="176">
        <f>+I609</f>
        <v>24300000</v>
      </c>
      <c r="L609" s="176"/>
      <c r="M609" s="176"/>
      <c r="N609" s="176">
        <v>0</v>
      </c>
      <c r="O609" s="263"/>
      <c r="P609" s="294"/>
      <c r="Q609" s="134"/>
      <c r="R609" s="83"/>
    </row>
    <row r="610" spans="1:18" s="82" customFormat="1" ht="12.75" x14ac:dyDescent="0.2">
      <c r="A610" s="265"/>
      <c r="B610" s="171"/>
      <c r="C610" s="172"/>
      <c r="D610" s="172"/>
      <c r="E610" s="172"/>
      <c r="F610" s="249"/>
      <c r="G610" s="250"/>
      <c r="H610" s="175"/>
      <c r="I610" s="176"/>
      <c r="J610" s="176"/>
      <c r="K610" s="176"/>
      <c r="L610" s="176"/>
      <c r="M610" s="176"/>
      <c r="N610" s="176"/>
      <c r="O610" s="263"/>
      <c r="P610" s="294"/>
      <c r="Q610" s="134"/>
      <c r="R610" s="83"/>
    </row>
    <row r="611" spans="1:18" s="80" customFormat="1" ht="12.75" x14ac:dyDescent="0.2">
      <c r="A611" s="265"/>
      <c r="B611" s="171"/>
      <c r="C611" s="172"/>
      <c r="D611" s="172"/>
      <c r="E611" s="172"/>
      <c r="F611" s="249" t="s">
        <v>192</v>
      </c>
      <c r="G611" s="250" t="s">
        <v>493</v>
      </c>
      <c r="H611" s="175" t="s">
        <v>94</v>
      </c>
      <c r="I611" s="176">
        <v>0</v>
      </c>
      <c r="J611" s="176"/>
      <c r="K611" s="176"/>
      <c r="L611" s="176"/>
      <c r="M611" s="176"/>
      <c r="N611" s="176">
        <v>8000000</v>
      </c>
      <c r="O611" s="263"/>
      <c r="P611" s="294"/>
      <c r="Q611" s="134"/>
      <c r="R611" s="83"/>
    </row>
    <row r="612" spans="1:18" s="82" customFormat="1" ht="12.75" x14ac:dyDescent="0.2">
      <c r="A612" s="265"/>
      <c r="B612" s="171"/>
      <c r="C612" s="172"/>
      <c r="D612" s="172"/>
      <c r="E612" s="172"/>
      <c r="F612" s="249"/>
      <c r="G612" s="250"/>
      <c r="H612" s="175"/>
      <c r="I612" s="176"/>
      <c r="J612" s="176"/>
      <c r="K612" s="176"/>
      <c r="L612" s="176"/>
      <c r="M612" s="176"/>
      <c r="N612" s="176"/>
      <c r="O612" s="263"/>
      <c r="P612" s="294"/>
      <c r="Q612" s="134"/>
      <c r="R612" s="83"/>
    </row>
    <row r="613" spans="1:18" s="80" customFormat="1" ht="12.75" x14ac:dyDescent="0.2">
      <c r="A613" s="265"/>
      <c r="B613" s="171"/>
      <c r="C613" s="172"/>
      <c r="D613" s="172"/>
      <c r="E613" s="172"/>
      <c r="F613" s="249" t="s">
        <v>151</v>
      </c>
      <c r="G613" s="250" t="s">
        <v>494</v>
      </c>
      <c r="H613" s="175" t="s">
        <v>94</v>
      </c>
      <c r="I613" s="176">
        <v>0</v>
      </c>
      <c r="J613" s="176"/>
      <c r="K613" s="176"/>
      <c r="L613" s="176"/>
      <c r="M613" s="176"/>
      <c r="N613" s="176">
        <v>30000000</v>
      </c>
      <c r="O613" s="263"/>
      <c r="P613" s="294"/>
      <c r="Q613" s="134"/>
      <c r="R613" s="83"/>
    </row>
    <row r="614" spans="1:18" s="82" customFormat="1" ht="12.75" x14ac:dyDescent="0.2">
      <c r="A614" s="265"/>
      <c r="B614" s="171"/>
      <c r="C614" s="172"/>
      <c r="D614" s="172"/>
      <c r="E614" s="172"/>
      <c r="F614" s="249"/>
      <c r="G614" s="250"/>
      <c r="H614" s="175"/>
      <c r="I614" s="176"/>
      <c r="J614" s="176"/>
      <c r="K614" s="176"/>
      <c r="L614" s="176"/>
      <c r="M614" s="176"/>
      <c r="N614" s="176"/>
      <c r="O614" s="263"/>
      <c r="P614" s="294"/>
      <c r="Q614" s="134"/>
      <c r="R614" s="83"/>
    </row>
    <row r="615" spans="1:18" s="80" customFormat="1" ht="12.75" x14ac:dyDescent="0.2">
      <c r="A615" s="265"/>
      <c r="B615" s="171"/>
      <c r="C615" s="172"/>
      <c r="D615" s="172"/>
      <c r="E615" s="172"/>
      <c r="F615" s="249" t="s">
        <v>152</v>
      </c>
      <c r="G615" s="250" t="s">
        <v>495</v>
      </c>
      <c r="H615" s="175" t="s">
        <v>94</v>
      </c>
      <c r="I615" s="176">
        <v>0</v>
      </c>
      <c r="J615" s="176"/>
      <c r="K615" s="176"/>
      <c r="L615" s="176"/>
      <c r="M615" s="176"/>
      <c r="N615" s="176">
        <v>55000000</v>
      </c>
      <c r="O615" s="263"/>
      <c r="P615" s="294"/>
      <c r="Q615" s="134"/>
      <c r="R615" s="83"/>
    </row>
    <row r="616" spans="1:18" s="82" customFormat="1" ht="12.75" x14ac:dyDescent="0.2">
      <c r="A616" s="265"/>
      <c r="B616" s="171"/>
      <c r="C616" s="172"/>
      <c r="D616" s="172"/>
      <c r="E616" s="172"/>
      <c r="F616" s="249"/>
      <c r="G616" s="250"/>
      <c r="H616" s="175"/>
      <c r="I616" s="176"/>
      <c r="J616" s="176"/>
      <c r="K616" s="176"/>
      <c r="L616" s="176"/>
      <c r="M616" s="176"/>
      <c r="N616" s="176"/>
      <c r="O616" s="263"/>
      <c r="P616" s="294"/>
      <c r="Q616" s="134"/>
      <c r="R616" s="83"/>
    </row>
    <row r="617" spans="1:18" s="80" customFormat="1" ht="25.5" x14ac:dyDescent="0.2">
      <c r="A617" s="265"/>
      <c r="B617" s="171"/>
      <c r="C617" s="172"/>
      <c r="D617" s="172"/>
      <c r="E617" s="172"/>
      <c r="F617" s="249" t="s">
        <v>153</v>
      </c>
      <c r="G617" s="250" t="s">
        <v>496</v>
      </c>
      <c r="H617" s="175" t="s">
        <v>94</v>
      </c>
      <c r="I617" s="176">
        <v>19259729</v>
      </c>
      <c r="J617" s="176"/>
      <c r="K617" s="176">
        <f>+I617</f>
        <v>19259729</v>
      </c>
      <c r="L617" s="176"/>
      <c r="M617" s="176"/>
      <c r="N617" s="176">
        <v>0</v>
      </c>
      <c r="O617" s="263"/>
      <c r="P617" s="294"/>
      <c r="Q617" s="134"/>
      <c r="R617" s="83"/>
    </row>
    <row r="618" spans="1:18" s="82" customFormat="1" ht="12.75" x14ac:dyDescent="0.2">
      <c r="A618" s="265"/>
      <c r="B618" s="171"/>
      <c r="C618" s="172"/>
      <c r="D618" s="172"/>
      <c r="E618" s="172"/>
      <c r="F618" s="249"/>
      <c r="G618" s="250"/>
      <c r="H618" s="175"/>
      <c r="I618" s="176"/>
      <c r="J618" s="176"/>
      <c r="K618" s="176"/>
      <c r="L618" s="176"/>
      <c r="M618" s="176"/>
      <c r="N618" s="176"/>
      <c r="O618" s="263"/>
      <c r="P618" s="294"/>
      <c r="Q618" s="134"/>
      <c r="R618" s="83"/>
    </row>
    <row r="619" spans="1:18" s="80" customFormat="1" ht="12.75" x14ac:dyDescent="0.2">
      <c r="A619" s="265"/>
      <c r="B619" s="171"/>
      <c r="C619" s="172"/>
      <c r="D619" s="172"/>
      <c r="E619" s="172"/>
      <c r="F619" s="249" t="s">
        <v>154</v>
      </c>
      <c r="G619" s="250" t="s">
        <v>497</v>
      </c>
      <c r="H619" s="175" t="s">
        <v>94</v>
      </c>
      <c r="I619" s="176">
        <v>30000000</v>
      </c>
      <c r="J619" s="176"/>
      <c r="K619" s="176">
        <f>+I619</f>
        <v>30000000</v>
      </c>
      <c r="L619" s="176"/>
      <c r="M619" s="176"/>
      <c r="N619" s="176">
        <v>0</v>
      </c>
      <c r="O619" s="263"/>
      <c r="P619" s="294"/>
      <c r="Q619" s="134"/>
      <c r="R619" s="83"/>
    </row>
    <row r="620" spans="1:18" s="82" customFormat="1" ht="12.75" x14ac:dyDescent="0.2">
      <c r="A620" s="265"/>
      <c r="B620" s="171"/>
      <c r="C620" s="172"/>
      <c r="D620" s="172"/>
      <c r="E620" s="172"/>
      <c r="F620" s="249"/>
      <c r="G620" s="250"/>
      <c r="H620" s="175"/>
      <c r="I620" s="176"/>
      <c r="J620" s="176"/>
      <c r="K620" s="176"/>
      <c r="L620" s="176"/>
      <c r="M620" s="176"/>
      <c r="N620" s="176"/>
      <c r="O620" s="263"/>
      <c r="P620" s="294"/>
      <c r="Q620" s="134"/>
      <c r="R620" s="83"/>
    </row>
    <row r="621" spans="1:18" s="80" customFormat="1" ht="12.75" x14ac:dyDescent="0.2">
      <c r="A621" s="265"/>
      <c r="B621" s="171"/>
      <c r="C621" s="172"/>
      <c r="D621" s="172"/>
      <c r="E621" s="172"/>
      <c r="F621" s="249" t="s">
        <v>155</v>
      </c>
      <c r="G621" s="250" t="s">
        <v>498</v>
      </c>
      <c r="H621" s="175" t="s">
        <v>94</v>
      </c>
      <c r="I621" s="176">
        <v>44225706.810000002</v>
      </c>
      <c r="J621" s="176"/>
      <c r="K621" s="176">
        <f>+I621</f>
        <v>44225706.810000002</v>
      </c>
      <c r="L621" s="176"/>
      <c r="M621" s="176"/>
      <c r="N621" s="176">
        <v>0</v>
      </c>
      <c r="O621" s="263"/>
      <c r="P621" s="294"/>
      <c r="Q621" s="134"/>
      <c r="R621" s="83"/>
    </row>
    <row r="622" spans="1:18" s="82" customFormat="1" ht="12.75" x14ac:dyDescent="0.2">
      <c r="A622" s="265"/>
      <c r="B622" s="171"/>
      <c r="C622" s="172"/>
      <c r="D622" s="172"/>
      <c r="E622" s="172"/>
      <c r="F622" s="249"/>
      <c r="G622" s="250"/>
      <c r="H622" s="175"/>
      <c r="I622" s="176"/>
      <c r="J622" s="176"/>
      <c r="K622" s="176"/>
      <c r="L622" s="176"/>
      <c r="M622" s="176"/>
      <c r="N622" s="176"/>
      <c r="O622" s="263"/>
      <c r="P622" s="294"/>
      <c r="Q622" s="134"/>
      <c r="R622" s="83"/>
    </row>
    <row r="623" spans="1:18" s="80" customFormat="1" ht="25.5" x14ac:dyDescent="0.2">
      <c r="A623" s="265"/>
      <c r="B623" s="171"/>
      <c r="C623" s="172"/>
      <c r="D623" s="172"/>
      <c r="E623" s="172"/>
      <c r="F623" s="249" t="s">
        <v>156</v>
      </c>
      <c r="G623" s="250" t="s">
        <v>499</v>
      </c>
      <c r="H623" s="175" t="s">
        <v>94</v>
      </c>
      <c r="I623" s="176">
        <v>27340000</v>
      </c>
      <c r="J623" s="176"/>
      <c r="K623" s="176">
        <f>+I623</f>
        <v>27340000</v>
      </c>
      <c r="L623" s="176"/>
      <c r="M623" s="176"/>
      <c r="N623" s="176">
        <v>0</v>
      </c>
      <c r="O623" s="263"/>
      <c r="P623" s="294"/>
      <c r="Q623" s="134"/>
      <c r="R623" s="83"/>
    </row>
    <row r="624" spans="1:18" s="82" customFormat="1" ht="12.75" x14ac:dyDescent="0.2">
      <c r="A624" s="265"/>
      <c r="B624" s="171"/>
      <c r="C624" s="172"/>
      <c r="D624" s="172"/>
      <c r="E624" s="172"/>
      <c r="F624" s="249"/>
      <c r="G624" s="250"/>
      <c r="H624" s="175"/>
      <c r="I624" s="176"/>
      <c r="J624" s="176"/>
      <c r="K624" s="176"/>
      <c r="L624" s="176"/>
      <c r="M624" s="176"/>
      <c r="N624" s="176"/>
      <c r="O624" s="263"/>
      <c r="P624" s="294"/>
      <c r="Q624" s="134"/>
      <c r="R624" s="83"/>
    </row>
    <row r="625" spans="1:19" s="80" customFormat="1" ht="12" customHeight="1" x14ac:dyDescent="0.2">
      <c r="A625" s="265"/>
      <c r="B625" s="171"/>
      <c r="C625" s="172"/>
      <c r="D625" s="172"/>
      <c r="E625" s="172"/>
      <c r="F625" s="249" t="s">
        <v>157</v>
      </c>
      <c r="G625" s="250" t="s">
        <v>500</v>
      </c>
      <c r="H625" s="175" t="s">
        <v>94</v>
      </c>
      <c r="I625" s="176">
        <v>275892193.38</v>
      </c>
      <c r="J625" s="176"/>
      <c r="K625" s="176">
        <f>+I625</f>
        <v>275892193.38</v>
      </c>
      <c r="L625" s="176"/>
      <c r="M625" s="176"/>
      <c r="N625" s="176">
        <f>285000000-I625</f>
        <v>9107806.6200000048</v>
      </c>
      <c r="O625" s="263"/>
      <c r="P625" s="294"/>
      <c r="Q625" s="134"/>
      <c r="R625" s="83"/>
    </row>
    <row r="626" spans="1:19" s="82" customFormat="1" ht="12" customHeight="1" x14ac:dyDescent="0.2">
      <c r="A626" s="265"/>
      <c r="B626" s="171"/>
      <c r="C626" s="172"/>
      <c r="D626" s="172"/>
      <c r="E626" s="172"/>
      <c r="F626" s="249"/>
      <c r="G626" s="250"/>
      <c r="H626" s="175"/>
      <c r="I626" s="176"/>
      <c r="J626" s="176"/>
      <c r="K626" s="176"/>
      <c r="L626" s="176"/>
      <c r="M626" s="176"/>
      <c r="N626" s="176"/>
      <c r="O626" s="263"/>
      <c r="P626" s="294"/>
      <c r="Q626" s="134"/>
      <c r="R626" s="83"/>
    </row>
    <row r="627" spans="1:19" s="80" customFormat="1" ht="12.75" x14ac:dyDescent="0.2">
      <c r="A627" s="265"/>
      <c r="B627" s="171"/>
      <c r="C627" s="172"/>
      <c r="D627" s="172"/>
      <c r="E627" s="172"/>
      <c r="F627" s="249" t="s">
        <v>158</v>
      </c>
      <c r="G627" s="250" t="s">
        <v>501</v>
      </c>
      <c r="H627" s="175" t="s">
        <v>94</v>
      </c>
      <c r="I627" s="176">
        <v>0</v>
      </c>
      <c r="J627" s="176"/>
      <c r="K627" s="176"/>
      <c r="L627" s="176"/>
      <c r="M627" s="176"/>
      <c r="N627" s="176">
        <v>0</v>
      </c>
      <c r="O627" s="263"/>
      <c r="P627" s="294"/>
      <c r="Q627" s="134"/>
      <c r="R627" s="83"/>
    </row>
    <row r="628" spans="1:19" s="82" customFormat="1" ht="12.75" x14ac:dyDescent="0.2">
      <c r="A628" s="265"/>
      <c r="B628" s="171"/>
      <c r="C628" s="172"/>
      <c r="D628" s="172"/>
      <c r="E628" s="172"/>
      <c r="F628" s="249"/>
      <c r="G628" s="250"/>
      <c r="H628" s="175"/>
      <c r="I628" s="176"/>
      <c r="J628" s="176"/>
      <c r="K628" s="176"/>
      <c r="L628" s="176"/>
      <c r="M628" s="176"/>
      <c r="N628" s="176"/>
      <c r="O628" s="263"/>
      <c r="P628" s="294"/>
      <c r="Q628" s="134"/>
      <c r="R628" s="83"/>
    </row>
    <row r="629" spans="1:19" s="80" customFormat="1" ht="12.75" x14ac:dyDescent="0.2">
      <c r="A629" s="265"/>
      <c r="B629" s="171"/>
      <c r="C629" s="172"/>
      <c r="D629" s="172"/>
      <c r="E629" s="172"/>
      <c r="F629" s="249" t="s">
        <v>159</v>
      </c>
      <c r="G629" s="250" t="s">
        <v>502</v>
      </c>
      <c r="H629" s="175" t="s">
        <v>94</v>
      </c>
      <c r="I629" s="176">
        <v>10000000</v>
      </c>
      <c r="J629" s="176"/>
      <c r="K629" s="176">
        <f>+I629</f>
        <v>10000000</v>
      </c>
      <c r="L629" s="176"/>
      <c r="M629" s="176"/>
      <c r="N629" s="176">
        <v>0</v>
      </c>
      <c r="O629" s="263"/>
      <c r="P629" s="294"/>
      <c r="Q629" s="134"/>
      <c r="R629" s="83"/>
    </row>
    <row r="630" spans="1:19" s="82" customFormat="1" ht="12.75" x14ac:dyDescent="0.2">
      <c r="A630" s="265"/>
      <c r="B630" s="171"/>
      <c r="C630" s="172"/>
      <c r="D630" s="172"/>
      <c r="E630" s="172"/>
      <c r="F630" s="249"/>
      <c r="G630" s="250"/>
      <c r="H630" s="175"/>
      <c r="I630" s="176"/>
      <c r="J630" s="176"/>
      <c r="K630" s="176"/>
      <c r="L630" s="176"/>
      <c r="M630" s="176"/>
      <c r="N630" s="176"/>
      <c r="O630" s="263"/>
      <c r="P630" s="294"/>
      <c r="Q630" s="134"/>
      <c r="R630" s="83"/>
    </row>
    <row r="631" spans="1:19" s="80" customFormat="1" ht="12.75" x14ac:dyDescent="0.2">
      <c r="A631" s="265"/>
      <c r="B631" s="171"/>
      <c r="C631" s="172"/>
      <c r="D631" s="172"/>
      <c r="E631" s="172"/>
      <c r="F631" s="249" t="s">
        <v>190</v>
      </c>
      <c r="G631" s="250" t="s">
        <v>503</v>
      </c>
      <c r="H631" s="175" t="s">
        <v>94</v>
      </c>
      <c r="I631" s="176">
        <v>36217750</v>
      </c>
      <c r="J631" s="176"/>
      <c r="K631" s="176">
        <f>+I631</f>
        <v>36217750</v>
      </c>
      <c r="L631" s="176"/>
      <c r="M631" s="176"/>
      <c r="N631" s="176">
        <v>0</v>
      </c>
      <c r="O631" s="263"/>
      <c r="P631" s="294"/>
      <c r="Q631" s="134"/>
      <c r="R631" s="83"/>
    </row>
    <row r="632" spans="1:19" s="82" customFormat="1" ht="12.75" x14ac:dyDescent="0.2">
      <c r="A632" s="265"/>
      <c r="B632" s="171"/>
      <c r="C632" s="172"/>
      <c r="D632" s="172"/>
      <c r="E632" s="172"/>
      <c r="F632" s="249"/>
      <c r="G632" s="250"/>
      <c r="H632" s="175"/>
      <c r="I632" s="176"/>
      <c r="J632" s="176"/>
      <c r="K632" s="176"/>
      <c r="L632" s="176"/>
      <c r="M632" s="176"/>
      <c r="N632" s="176"/>
      <c r="O632" s="263"/>
      <c r="P632" s="294"/>
      <c r="Q632" s="134"/>
      <c r="R632" s="83"/>
    </row>
    <row r="633" spans="1:19" s="80" customFormat="1" ht="12" customHeight="1" x14ac:dyDescent="0.2">
      <c r="A633" s="265"/>
      <c r="B633" s="171"/>
      <c r="C633" s="172"/>
      <c r="D633" s="172"/>
      <c r="E633" s="172"/>
      <c r="F633" s="249" t="s">
        <v>160</v>
      </c>
      <c r="G633" s="250" t="s">
        <v>237</v>
      </c>
      <c r="H633" s="175" t="s">
        <v>91</v>
      </c>
      <c r="I633" s="176">
        <f>182621642.33</f>
        <v>182621642.33000001</v>
      </c>
      <c r="J633" s="176">
        <f>+I633</f>
        <v>182621642.33000001</v>
      </c>
      <c r="K633" s="176"/>
      <c r="L633" s="176"/>
      <c r="M633" s="176"/>
      <c r="N633" s="176">
        <f>178000000+44106588.6-I633-10000000</f>
        <v>29484946.269999981</v>
      </c>
      <c r="O633" s="263"/>
      <c r="P633" s="294"/>
      <c r="Q633" s="134"/>
      <c r="R633" s="83"/>
    </row>
    <row r="634" spans="1:19" s="82" customFormat="1" ht="12" customHeight="1" x14ac:dyDescent="0.2">
      <c r="A634" s="265"/>
      <c r="B634" s="171"/>
      <c r="C634" s="172"/>
      <c r="D634" s="172"/>
      <c r="E634" s="172"/>
      <c r="F634" s="249"/>
      <c r="G634" s="250"/>
      <c r="H634" s="175" t="s">
        <v>92</v>
      </c>
      <c r="I634" s="176">
        <v>6350</v>
      </c>
      <c r="J634" s="176">
        <f>+I634</f>
        <v>6350</v>
      </c>
      <c r="K634" s="176"/>
      <c r="L634" s="176"/>
      <c r="M634" s="176"/>
      <c r="N634" s="176">
        <v>0</v>
      </c>
      <c r="O634" s="263"/>
      <c r="P634" s="294"/>
      <c r="Q634" s="134"/>
      <c r="R634" s="83"/>
    </row>
    <row r="635" spans="1:19" s="82" customFormat="1" ht="12.75" x14ac:dyDescent="0.2">
      <c r="A635" s="265"/>
      <c r="B635" s="171"/>
      <c r="C635" s="172"/>
      <c r="D635" s="172"/>
      <c r="E635" s="172"/>
      <c r="F635" s="249"/>
      <c r="G635" s="250"/>
      <c r="H635" s="175" t="s">
        <v>94</v>
      </c>
      <c r="I635" s="176">
        <f>881084121.23</f>
        <v>881084121.23000002</v>
      </c>
      <c r="J635" s="176"/>
      <c r="K635" s="176">
        <f>+I635</f>
        <v>881084121.23000002</v>
      </c>
      <c r="L635" s="176"/>
      <c r="M635" s="176"/>
      <c r="N635" s="176">
        <f>609095018.91+278514593.67-I635+25000000-7300000+9000000</f>
        <v>33225491.349999905</v>
      </c>
      <c r="O635" s="263"/>
      <c r="P635" s="294"/>
      <c r="Q635" s="134"/>
      <c r="R635" s="83"/>
      <c r="S635" s="87"/>
    </row>
    <row r="636" spans="1:19" s="82" customFormat="1" ht="12.75" x14ac:dyDescent="0.2">
      <c r="A636" s="265"/>
      <c r="B636" s="171"/>
      <c r="C636" s="172"/>
      <c r="D636" s="172"/>
      <c r="E636" s="172"/>
      <c r="F636" s="249"/>
      <c r="G636" s="250"/>
      <c r="H636" s="175"/>
      <c r="I636" s="176"/>
      <c r="J636" s="176"/>
      <c r="K636" s="176"/>
      <c r="L636" s="176"/>
      <c r="M636" s="176"/>
      <c r="N636" s="176"/>
      <c r="O636" s="263"/>
      <c r="P636" s="294"/>
      <c r="Q636" s="134"/>
      <c r="R636" s="83"/>
      <c r="S636" s="85"/>
    </row>
    <row r="637" spans="1:19" s="80" customFormat="1" ht="12.75" x14ac:dyDescent="0.2">
      <c r="A637" s="265"/>
      <c r="B637" s="171"/>
      <c r="C637" s="172"/>
      <c r="D637" s="172"/>
      <c r="E637" s="172"/>
      <c r="F637" s="249" t="s">
        <v>161</v>
      </c>
      <c r="G637" s="250" t="s">
        <v>230</v>
      </c>
      <c r="H637" s="175" t="s">
        <v>92</v>
      </c>
      <c r="I637" s="176">
        <v>0</v>
      </c>
      <c r="J637" s="176"/>
      <c r="K637" s="176"/>
      <c r="L637" s="176"/>
      <c r="M637" s="176"/>
      <c r="N637" s="176">
        <v>1192</v>
      </c>
      <c r="O637" s="263"/>
      <c r="P637" s="294"/>
      <c r="Q637" s="134"/>
      <c r="R637" s="83"/>
    </row>
    <row r="638" spans="1:19" s="82" customFormat="1" ht="12.75" x14ac:dyDescent="0.2">
      <c r="A638" s="265"/>
      <c r="B638" s="171"/>
      <c r="C638" s="172"/>
      <c r="D638" s="172"/>
      <c r="E638" s="172"/>
      <c r="F638" s="249"/>
      <c r="G638" s="250"/>
      <c r="H638" s="175"/>
      <c r="I638" s="176"/>
      <c r="J638" s="176"/>
      <c r="K638" s="176"/>
      <c r="L638" s="176"/>
      <c r="M638" s="176"/>
      <c r="N638" s="176"/>
      <c r="O638" s="263"/>
      <c r="P638" s="294"/>
      <c r="Q638" s="134"/>
      <c r="R638" s="83"/>
    </row>
    <row r="639" spans="1:19" s="80" customFormat="1" ht="12.75" x14ac:dyDescent="0.2">
      <c r="A639" s="265"/>
      <c r="B639" s="171"/>
      <c r="C639" s="172"/>
      <c r="D639" s="172"/>
      <c r="E639" s="172"/>
      <c r="F639" s="249" t="s">
        <v>162</v>
      </c>
      <c r="G639" s="250" t="s">
        <v>504</v>
      </c>
      <c r="H639" s="175" t="s">
        <v>91</v>
      </c>
      <c r="I639" s="176">
        <v>91909040.200000003</v>
      </c>
      <c r="J639" s="176">
        <f>+I639</f>
        <v>91909040.200000003</v>
      </c>
      <c r="K639" s="176"/>
      <c r="L639" s="176"/>
      <c r="M639" s="176"/>
      <c r="N639" s="176">
        <f>20000000+76909040.2-I639</f>
        <v>5000000</v>
      </c>
      <c r="O639" s="263"/>
      <c r="P639" s="294"/>
      <c r="Q639" s="134"/>
      <c r="R639" s="83"/>
    </row>
    <row r="640" spans="1:19" s="82" customFormat="1" ht="12.75" x14ac:dyDescent="0.2">
      <c r="A640" s="265"/>
      <c r="B640" s="171"/>
      <c r="C640" s="172"/>
      <c r="D640" s="172"/>
      <c r="E640" s="172"/>
      <c r="F640" s="249"/>
      <c r="G640" s="250"/>
      <c r="H640" s="175" t="s">
        <v>94</v>
      </c>
      <c r="I640" s="176">
        <v>24550798.949999999</v>
      </c>
      <c r="J640" s="176"/>
      <c r="K640" s="176">
        <f>+I640</f>
        <v>24550798.949999999</v>
      </c>
      <c r="L640" s="176"/>
      <c r="M640" s="176"/>
      <c r="N640" s="176">
        <f>56000000+24550798.95+350000000-I640</f>
        <v>406000000</v>
      </c>
      <c r="O640" s="263"/>
      <c r="P640" s="294"/>
      <c r="Q640" s="134"/>
      <c r="R640" s="83"/>
    </row>
    <row r="641" spans="1:18" s="82" customFormat="1" ht="12.75" x14ac:dyDescent="0.2">
      <c r="A641" s="265"/>
      <c r="B641" s="171"/>
      <c r="C641" s="172"/>
      <c r="D641" s="172"/>
      <c r="E641" s="172"/>
      <c r="F641" s="249"/>
      <c r="G641" s="250"/>
      <c r="H641" s="175"/>
      <c r="I641" s="176"/>
      <c r="J641" s="176"/>
      <c r="K641" s="176"/>
      <c r="L641" s="176"/>
      <c r="M641" s="176"/>
      <c r="N641" s="176"/>
      <c r="O641" s="263"/>
      <c r="P641" s="294"/>
      <c r="Q641" s="134"/>
      <c r="R641" s="83"/>
    </row>
    <row r="642" spans="1:18" s="80" customFormat="1" ht="12" customHeight="1" x14ac:dyDescent="0.2">
      <c r="A642" s="265"/>
      <c r="B642" s="171"/>
      <c r="C642" s="172"/>
      <c r="D642" s="172"/>
      <c r="E642" s="172"/>
      <c r="F642" s="249" t="s">
        <v>163</v>
      </c>
      <c r="G642" s="250" t="s">
        <v>505</v>
      </c>
      <c r="H642" s="175" t="s">
        <v>94</v>
      </c>
      <c r="I642" s="176">
        <v>0</v>
      </c>
      <c r="J642" s="176"/>
      <c r="K642" s="176"/>
      <c r="L642" s="176"/>
      <c r="M642" s="176"/>
      <c r="N642" s="176">
        <v>25987232.109999999</v>
      </c>
      <c r="O642" s="263"/>
      <c r="P642" s="294"/>
      <c r="Q642" s="134"/>
      <c r="R642" s="83"/>
    </row>
    <row r="643" spans="1:18" s="82" customFormat="1" ht="12.75" x14ac:dyDescent="0.2">
      <c r="A643" s="265"/>
      <c r="B643" s="171"/>
      <c r="C643" s="172"/>
      <c r="D643" s="172"/>
      <c r="E643" s="172"/>
      <c r="F643" s="249"/>
      <c r="G643" s="250"/>
      <c r="H643" s="175"/>
      <c r="I643" s="176"/>
      <c r="J643" s="176"/>
      <c r="K643" s="176"/>
      <c r="L643" s="176"/>
      <c r="M643" s="176"/>
      <c r="N643" s="176"/>
      <c r="O643" s="263"/>
      <c r="P643" s="294"/>
      <c r="Q643" s="134"/>
      <c r="R643" s="83"/>
    </row>
    <row r="644" spans="1:18" s="80" customFormat="1" ht="12.75" x14ac:dyDescent="0.2">
      <c r="A644" s="265"/>
      <c r="B644" s="171"/>
      <c r="C644" s="172"/>
      <c r="D644" s="172"/>
      <c r="E644" s="172"/>
      <c r="F644" s="249" t="s">
        <v>164</v>
      </c>
      <c r="G644" s="250" t="s">
        <v>506</v>
      </c>
      <c r="H644" s="175" t="s">
        <v>94</v>
      </c>
      <c r="I644" s="176">
        <v>6839007.9699999997</v>
      </c>
      <c r="J644" s="176"/>
      <c r="K644" s="176">
        <f>+I644</f>
        <v>6839007.9699999997</v>
      </c>
      <c r="L644" s="176"/>
      <c r="M644" s="176"/>
      <c r="N644" s="176">
        <v>0</v>
      </c>
      <c r="O644" s="263"/>
      <c r="P644" s="294"/>
      <c r="Q644" s="134"/>
      <c r="R644" s="83"/>
    </row>
    <row r="645" spans="1:18" s="82" customFormat="1" ht="12.75" x14ac:dyDescent="0.2">
      <c r="A645" s="265"/>
      <c r="B645" s="171"/>
      <c r="C645" s="172"/>
      <c r="D645" s="172"/>
      <c r="E645" s="172"/>
      <c r="F645" s="249"/>
      <c r="G645" s="250"/>
      <c r="H645" s="175"/>
      <c r="I645" s="176"/>
      <c r="J645" s="176"/>
      <c r="K645" s="176"/>
      <c r="L645" s="176"/>
      <c r="M645" s="176"/>
      <c r="N645" s="176"/>
      <c r="O645" s="263"/>
      <c r="P645" s="294"/>
      <c r="Q645" s="134"/>
      <c r="R645" s="83"/>
    </row>
    <row r="646" spans="1:18" s="80" customFormat="1" ht="12.75" x14ac:dyDescent="0.2">
      <c r="A646" s="265"/>
      <c r="B646" s="171"/>
      <c r="C646" s="172"/>
      <c r="D646" s="172"/>
      <c r="E646" s="172"/>
      <c r="F646" s="249" t="s">
        <v>165</v>
      </c>
      <c r="G646" s="250" t="s">
        <v>507</v>
      </c>
      <c r="H646" s="175" t="s">
        <v>94</v>
      </c>
      <c r="I646" s="176">
        <v>297764077</v>
      </c>
      <c r="J646" s="176"/>
      <c r="K646" s="176">
        <f>+I646</f>
        <v>297764077</v>
      </c>
      <c r="L646" s="176"/>
      <c r="M646" s="176"/>
      <c r="N646" s="176">
        <f>305000000-I646</f>
        <v>7235923</v>
      </c>
      <c r="O646" s="263"/>
      <c r="P646" s="294"/>
      <c r="Q646" s="134"/>
      <c r="R646" s="83"/>
    </row>
    <row r="647" spans="1:18" s="82" customFormat="1" ht="12.75" x14ac:dyDescent="0.2">
      <c r="A647" s="265"/>
      <c r="B647" s="171"/>
      <c r="C647" s="172"/>
      <c r="D647" s="172"/>
      <c r="E647" s="172"/>
      <c r="F647" s="249"/>
      <c r="G647" s="250"/>
      <c r="H647" s="175"/>
      <c r="I647" s="176"/>
      <c r="J647" s="176"/>
      <c r="K647" s="176"/>
      <c r="L647" s="176"/>
      <c r="M647" s="176"/>
      <c r="N647" s="176"/>
      <c r="O647" s="263"/>
      <c r="P647" s="294"/>
      <c r="Q647" s="134"/>
      <c r="R647" s="83"/>
    </row>
    <row r="648" spans="1:18" s="80" customFormat="1" ht="12.75" x14ac:dyDescent="0.2">
      <c r="A648" s="265"/>
      <c r="B648" s="171"/>
      <c r="C648" s="172"/>
      <c r="D648" s="172"/>
      <c r="E648" s="172"/>
      <c r="F648" s="249" t="s">
        <v>166</v>
      </c>
      <c r="G648" s="250" t="s">
        <v>508</v>
      </c>
      <c r="H648" s="175" t="s">
        <v>94</v>
      </c>
      <c r="I648" s="176">
        <v>5536869.7999999998</v>
      </c>
      <c r="J648" s="176"/>
      <c r="K648" s="176">
        <f>+I648</f>
        <v>5536869.7999999998</v>
      </c>
      <c r="L648" s="176"/>
      <c r="M648" s="176"/>
      <c r="N648" s="176">
        <f>4544151+2832519.8-I648</f>
        <v>1839801</v>
      </c>
      <c r="O648" s="263"/>
      <c r="P648" s="294"/>
      <c r="Q648" s="134"/>
      <c r="R648" s="83"/>
    </row>
    <row r="649" spans="1:18" s="82" customFormat="1" ht="12.75" x14ac:dyDescent="0.2">
      <c r="A649" s="265"/>
      <c r="B649" s="171"/>
      <c r="C649" s="172"/>
      <c r="D649" s="172"/>
      <c r="E649" s="172"/>
      <c r="F649" s="249"/>
      <c r="G649" s="250"/>
      <c r="H649" s="175"/>
      <c r="I649" s="176"/>
      <c r="J649" s="176"/>
      <c r="K649" s="176"/>
      <c r="L649" s="176"/>
      <c r="M649" s="176"/>
      <c r="N649" s="176"/>
      <c r="O649" s="263"/>
      <c r="P649" s="294"/>
      <c r="Q649" s="134"/>
      <c r="R649" s="83"/>
    </row>
    <row r="650" spans="1:18" s="80" customFormat="1" ht="12.75" x14ac:dyDescent="0.2">
      <c r="A650" s="265"/>
      <c r="B650" s="171"/>
      <c r="C650" s="172"/>
      <c r="D650" s="172"/>
      <c r="E650" s="172"/>
      <c r="F650" s="249" t="s">
        <v>167</v>
      </c>
      <c r="G650" s="250" t="s">
        <v>509</v>
      </c>
      <c r="H650" s="175" t="s">
        <v>91</v>
      </c>
      <c r="I650" s="176">
        <v>0</v>
      </c>
      <c r="J650" s="176"/>
      <c r="K650" s="176"/>
      <c r="L650" s="176"/>
      <c r="M650" s="176"/>
      <c r="N650" s="176">
        <v>7000000</v>
      </c>
      <c r="O650" s="263"/>
      <c r="P650" s="294"/>
      <c r="Q650" s="134"/>
      <c r="R650" s="83"/>
    </row>
    <row r="651" spans="1:18" s="82" customFormat="1" ht="12.75" x14ac:dyDescent="0.2">
      <c r="A651" s="265"/>
      <c r="B651" s="171"/>
      <c r="C651" s="172"/>
      <c r="D651" s="172"/>
      <c r="E651" s="172"/>
      <c r="F651" s="249"/>
      <c r="G651" s="250"/>
      <c r="H651" s="175"/>
      <c r="I651" s="176"/>
      <c r="J651" s="176"/>
      <c r="K651" s="176"/>
      <c r="L651" s="176"/>
      <c r="M651" s="176"/>
      <c r="N651" s="176"/>
      <c r="O651" s="263"/>
      <c r="P651" s="294"/>
      <c r="Q651" s="134"/>
      <c r="R651" s="83"/>
    </row>
    <row r="652" spans="1:18" s="80" customFormat="1" ht="12.75" x14ac:dyDescent="0.2">
      <c r="A652" s="265"/>
      <c r="B652" s="171"/>
      <c r="C652" s="172"/>
      <c r="D652" s="172"/>
      <c r="E652" s="172"/>
      <c r="F652" s="249" t="s">
        <v>168</v>
      </c>
      <c r="G652" s="250" t="s">
        <v>510</v>
      </c>
      <c r="H652" s="175" t="s">
        <v>94</v>
      </c>
      <c r="I652" s="176">
        <v>8716162.0800000001</v>
      </c>
      <c r="J652" s="176"/>
      <c r="K652" s="176">
        <f>+I652</f>
        <v>8716162.0800000001</v>
      </c>
      <c r="L652" s="176"/>
      <c r="M652" s="176"/>
      <c r="N652" s="176">
        <f>2587675.84+8716162.08-I652</f>
        <v>2587675.84</v>
      </c>
      <c r="O652" s="263"/>
      <c r="P652" s="294"/>
      <c r="Q652" s="134"/>
      <c r="R652" s="83"/>
    </row>
    <row r="653" spans="1:18" s="82" customFormat="1" ht="12.75" x14ac:dyDescent="0.2">
      <c r="A653" s="265"/>
      <c r="B653" s="171"/>
      <c r="C653" s="172"/>
      <c r="D653" s="172"/>
      <c r="E653" s="172"/>
      <c r="F653" s="249"/>
      <c r="G653" s="250"/>
      <c r="H653" s="175"/>
      <c r="I653" s="176"/>
      <c r="J653" s="176"/>
      <c r="K653" s="176"/>
      <c r="L653" s="176"/>
      <c r="M653" s="176"/>
      <c r="N653" s="176"/>
      <c r="O653" s="263"/>
      <c r="P653" s="294"/>
      <c r="Q653" s="134"/>
      <c r="R653" s="83"/>
    </row>
    <row r="654" spans="1:18" s="80" customFormat="1" ht="25.5" x14ac:dyDescent="0.2">
      <c r="A654" s="265"/>
      <c r="B654" s="171"/>
      <c r="C654" s="172"/>
      <c r="D654" s="172"/>
      <c r="E654" s="172"/>
      <c r="F654" s="249" t="s">
        <v>169</v>
      </c>
      <c r="G654" s="250" t="s">
        <v>511</v>
      </c>
      <c r="H654" s="175" t="s">
        <v>92</v>
      </c>
      <c r="I654" s="176">
        <v>0</v>
      </c>
      <c r="J654" s="176"/>
      <c r="K654" s="176"/>
      <c r="L654" s="176"/>
      <c r="M654" s="176"/>
      <c r="N654" s="176">
        <f>4810500-2160000</f>
        <v>2650500</v>
      </c>
      <c r="O654" s="263"/>
      <c r="P654" s="294"/>
      <c r="Q654" s="134"/>
      <c r="R654" s="83"/>
    </row>
    <row r="655" spans="1:18" s="82" customFormat="1" ht="12.75" x14ac:dyDescent="0.2">
      <c r="A655" s="265"/>
      <c r="B655" s="171"/>
      <c r="C655" s="172"/>
      <c r="D655" s="172"/>
      <c r="E655" s="172"/>
      <c r="F655" s="249"/>
      <c r="G655" s="250"/>
      <c r="H655" s="175"/>
      <c r="I655" s="176"/>
      <c r="J655" s="176"/>
      <c r="K655" s="176"/>
      <c r="L655" s="176"/>
      <c r="M655" s="176"/>
      <c r="N655" s="176"/>
      <c r="O655" s="263"/>
      <c r="P655" s="294"/>
      <c r="Q655" s="134"/>
      <c r="R655" s="83"/>
    </row>
    <row r="656" spans="1:18" s="80" customFormat="1" ht="12.75" x14ac:dyDescent="0.2">
      <c r="A656" s="265"/>
      <c r="B656" s="171"/>
      <c r="C656" s="172"/>
      <c r="D656" s="172"/>
      <c r="E656" s="172"/>
      <c r="F656" s="249" t="s">
        <v>170</v>
      </c>
      <c r="G656" s="250" t="s">
        <v>512</v>
      </c>
      <c r="H656" s="175" t="s">
        <v>94</v>
      </c>
      <c r="I656" s="176">
        <v>30185640</v>
      </c>
      <c r="J656" s="176"/>
      <c r="K656" s="176">
        <f>+I656</f>
        <v>30185640</v>
      </c>
      <c r="L656" s="176"/>
      <c r="M656" s="176"/>
      <c r="N656" s="176">
        <f>20000000+16203000-I656+2160000</f>
        <v>8177360</v>
      </c>
      <c r="O656" s="263"/>
      <c r="P656" s="294"/>
      <c r="Q656" s="134"/>
      <c r="R656" s="83"/>
    </row>
    <row r="657" spans="1:18" s="82" customFormat="1" ht="12.75" x14ac:dyDescent="0.2">
      <c r="A657" s="265"/>
      <c r="B657" s="171"/>
      <c r="C657" s="172"/>
      <c r="D657" s="172"/>
      <c r="E657" s="172"/>
      <c r="F657" s="249"/>
      <c r="G657" s="250"/>
      <c r="H657" s="175"/>
      <c r="I657" s="176"/>
      <c r="J657" s="176"/>
      <c r="K657" s="176"/>
      <c r="L657" s="176"/>
      <c r="M657" s="176"/>
      <c r="N657" s="176"/>
      <c r="O657" s="263"/>
      <c r="P657" s="294"/>
      <c r="Q657" s="134"/>
      <c r="R657" s="83"/>
    </row>
    <row r="658" spans="1:18" s="80" customFormat="1" ht="12.75" x14ac:dyDescent="0.2">
      <c r="A658" s="265"/>
      <c r="B658" s="171"/>
      <c r="C658" s="172"/>
      <c r="D658" s="172"/>
      <c r="E658" s="172"/>
      <c r="F658" s="249" t="s">
        <v>171</v>
      </c>
      <c r="G658" s="250" t="s">
        <v>513</v>
      </c>
      <c r="H658" s="175" t="s">
        <v>94</v>
      </c>
      <c r="I658" s="176">
        <v>0</v>
      </c>
      <c r="J658" s="176"/>
      <c r="K658" s="176"/>
      <c r="L658" s="176"/>
      <c r="M658" s="176"/>
      <c r="N658" s="176">
        <v>20000000</v>
      </c>
      <c r="O658" s="263"/>
      <c r="P658" s="294"/>
      <c r="Q658" s="134"/>
      <c r="R658" s="83"/>
    </row>
    <row r="659" spans="1:18" s="82" customFormat="1" ht="12.75" x14ac:dyDescent="0.2">
      <c r="A659" s="265"/>
      <c r="B659" s="171"/>
      <c r="C659" s="172"/>
      <c r="D659" s="172"/>
      <c r="E659" s="172"/>
      <c r="F659" s="249"/>
      <c r="G659" s="250"/>
      <c r="H659" s="175"/>
      <c r="I659" s="176"/>
      <c r="J659" s="176"/>
      <c r="K659" s="176"/>
      <c r="L659" s="176"/>
      <c r="M659" s="176"/>
      <c r="N659" s="176"/>
      <c r="O659" s="263"/>
      <c r="P659" s="294"/>
      <c r="Q659" s="134"/>
      <c r="R659" s="83"/>
    </row>
    <row r="660" spans="1:18" s="80" customFormat="1" ht="25.5" x14ac:dyDescent="0.2">
      <c r="A660" s="265"/>
      <c r="B660" s="171"/>
      <c r="C660" s="172"/>
      <c r="D660" s="172"/>
      <c r="E660" s="172"/>
      <c r="F660" s="249" t="s">
        <v>172</v>
      </c>
      <c r="G660" s="250" t="s">
        <v>514</v>
      </c>
      <c r="H660" s="175" t="s">
        <v>94</v>
      </c>
      <c r="I660" s="176">
        <v>0</v>
      </c>
      <c r="J660" s="176"/>
      <c r="K660" s="176"/>
      <c r="L660" s="176"/>
      <c r="M660" s="176"/>
      <c r="N660" s="176">
        <v>40000000</v>
      </c>
      <c r="O660" s="263"/>
      <c r="P660" s="294"/>
      <c r="Q660" s="134"/>
      <c r="R660" s="83"/>
    </row>
    <row r="661" spans="1:18" s="82" customFormat="1" ht="12.75" x14ac:dyDescent="0.2">
      <c r="A661" s="265"/>
      <c r="B661" s="171"/>
      <c r="C661" s="172"/>
      <c r="D661" s="172"/>
      <c r="E661" s="172"/>
      <c r="F661" s="249"/>
      <c r="G661" s="250"/>
      <c r="H661" s="175"/>
      <c r="I661" s="176"/>
      <c r="J661" s="176"/>
      <c r="K661" s="176"/>
      <c r="L661" s="176"/>
      <c r="M661" s="176"/>
      <c r="N661" s="176"/>
      <c r="O661" s="263"/>
      <c r="P661" s="294"/>
      <c r="Q661" s="134"/>
      <c r="R661" s="83"/>
    </row>
    <row r="662" spans="1:18" s="80" customFormat="1" ht="25.5" x14ac:dyDescent="0.2">
      <c r="A662" s="265"/>
      <c r="B662" s="171"/>
      <c r="C662" s="172"/>
      <c r="D662" s="172"/>
      <c r="E662" s="172"/>
      <c r="F662" s="249" t="s">
        <v>173</v>
      </c>
      <c r="G662" s="250" t="s">
        <v>515</v>
      </c>
      <c r="H662" s="175" t="s">
        <v>91</v>
      </c>
      <c r="I662" s="176">
        <v>0</v>
      </c>
      <c r="J662" s="176"/>
      <c r="K662" s="176"/>
      <c r="L662" s="176"/>
      <c r="M662" s="176"/>
      <c r="N662" s="176">
        <v>10000000</v>
      </c>
      <c r="O662" s="263"/>
      <c r="P662" s="294"/>
      <c r="Q662" s="134"/>
      <c r="R662" s="83"/>
    </row>
    <row r="663" spans="1:18" s="82" customFormat="1" ht="12.75" x14ac:dyDescent="0.2">
      <c r="A663" s="265"/>
      <c r="B663" s="171"/>
      <c r="C663" s="172"/>
      <c r="D663" s="172"/>
      <c r="E663" s="172"/>
      <c r="F663" s="249"/>
      <c r="G663" s="250"/>
      <c r="H663" s="175" t="s">
        <v>94</v>
      </c>
      <c r="I663" s="176">
        <v>0</v>
      </c>
      <c r="J663" s="176"/>
      <c r="K663" s="176"/>
      <c r="L663" s="176"/>
      <c r="M663" s="176"/>
      <c r="N663" s="176">
        <v>70000000</v>
      </c>
      <c r="O663" s="263"/>
      <c r="P663" s="294"/>
      <c r="Q663" s="134"/>
      <c r="R663" s="83"/>
    </row>
    <row r="664" spans="1:18" s="82" customFormat="1" ht="12.75" x14ac:dyDescent="0.2">
      <c r="A664" s="265"/>
      <c r="B664" s="171"/>
      <c r="C664" s="172"/>
      <c r="D664" s="172"/>
      <c r="E664" s="172"/>
      <c r="F664" s="249"/>
      <c r="G664" s="250"/>
      <c r="H664" s="175"/>
      <c r="I664" s="176"/>
      <c r="J664" s="176"/>
      <c r="K664" s="176"/>
      <c r="L664" s="176"/>
      <c r="M664" s="176"/>
      <c r="N664" s="176"/>
      <c r="O664" s="263"/>
      <c r="P664" s="294"/>
      <c r="Q664" s="134"/>
      <c r="R664" s="83"/>
    </row>
    <row r="665" spans="1:18" s="80" customFormat="1" ht="12.75" x14ac:dyDescent="0.2">
      <c r="A665" s="265"/>
      <c r="B665" s="171"/>
      <c r="C665" s="172"/>
      <c r="D665" s="172"/>
      <c r="E665" s="172"/>
      <c r="F665" s="249" t="s">
        <v>174</v>
      </c>
      <c r="G665" s="250" t="s">
        <v>516</v>
      </c>
      <c r="H665" s="175" t="s">
        <v>91</v>
      </c>
      <c r="I665" s="176">
        <v>45000000</v>
      </c>
      <c r="J665" s="176"/>
      <c r="K665" s="176">
        <f>+I665</f>
        <v>45000000</v>
      </c>
      <c r="L665" s="176"/>
      <c r="M665" s="176"/>
      <c r="N665" s="176"/>
      <c r="O665" s="263"/>
      <c r="P665" s="294"/>
      <c r="Q665" s="134"/>
      <c r="R665" s="83"/>
    </row>
    <row r="666" spans="1:18" s="82" customFormat="1" ht="12.75" x14ac:dyDescent="0.2">
      <c r="A666" s="265"/>
      <c r="B666" s="171"/>
      <c r="C666" s="172"/>
      <c r="D666" s="172"/>
      <c r="E666" s="172"/>
      <c r="F666" s="249"/>
      <c r="G666" s="250"/>
      <c r="H666" s="175"/>
      <c r="I666" s="176"/>
      <c r="J666" s="176"/>
      <c r="K666" s="176"/>
      <c r="L666" s="176"/>
      <c r="M666" s="176"/>
      <c r="N666" s="176"/>
      <c r="O666" s="263"/>
      <c r="P666" s="294"/>
      <c r="Q666" s="134"/>
      <c r="R666" s="83"/>
    </row>
    <row r="667" spans="1:18" s="80" customFormat="1" ht="12" customHeight="1" x14ac:dyDescent="0.2">
      <c r="A667" s="265"/>
      <c r="B667" s="171"/>
      <c r="C667" s="172"/>
      <c r="D667" s="172"/>
      <c r="E667" s="172"/>
      <c r="F667" s="249" t="s">
        <v>175</v>
      </c>
      <c r="G667" s="250" t="s">
        <v>517</v>
      </c>
      <c r="H667" s="175" t="s">
        <v>94</v>
      </c>
      <c r="I667" s="176">
        <v>50000000</v>
      </c>
      <c r="J667" s="176"/>
      <c r="K667" s="176">
        <f>+I667</f>
        <v>50000000</v>
      </c>
      <c r="L667" s="176"/>
      <c r="M667" s="176"/>
      <c r="N667" s="176"/>
      <c r="O667" s="263"/>
      <c r="P667" s="294"/>
      <c r="Q667" s="134"/>
      <c r="R667" s="83"/>
    </row>
    <row r="668" spans="1:18" s="82" customFormat="1" ht="12" customHeight="1" x14ac:dyDescent="0.2">
      <c r="A668" s="265"/>
      <c r="B668" s="171"/>
      <c r="C668" s="172"/>
      <c r="D668" s="172"/>
      <c r="E668" s="172"/>
      <c r="F668" s="249"/>
      <c r="G668" s="250"/>
      <c r="H668" s="175"/>
      <c r="I668" s="176"/>
      <c r="J668" s="176"/>
      <c r="K668" s="176"/>
      <c r="L668" s="176"/>
      <c r="M668" s="176"/>
      <c r="N668" s="176"/>
      <c r="O668" s="263"/>
      <c r="P668" s="294"/>
      <c r="Q668" s="134"/>
      <c r="R668" s="83"/>
    </row>
    <row r="669" spans="1:18" s="80" customFormat="1" ht="25.5" x14ac:dyDescent="0.2">
      <c r="A669" s="265"/>
      <c r="B669" s="171"/>
      <c r="C669" s="172"/>
      <c r="D669" s="172"/>
      <c r="E669" s="172"/>
      <c r="F669" s="249" t="s">
        <v>176</v>
      </c>
      <c r="G669" s="250" t="s">
        <v>518</v>
      </c>
      <c r="H669" s="175" t="s">
        <v>94</v>
      </c>
      <c r="I669" s="176">
        <v>0</v>
      </c>
      <c r="J669" s="176"/>
      <c r="K669" s="176"/>
      <c r="L669" s="176"/>
      <c r="M669" s="176"/>
      <c r="N669" s="176">
        <v>20000000</v>
      </c>
      <c r="O669" s="263"/>
      <c r="P669" s="294"/>
      <c r="Q669" s="134"/>
      <c r="R669" s="83"/>
    </row>
    <row r="670" spans="1:18" s="82" customFormat="1" ht="12.75" x14ac:dyDescent="0.2">
      <c r="A670" s="265"/>
      <c r="B670" s="171"/>
      <c r="C670" s="172"/>
      <c r="D670" s="172"/>
      <c r="E670" s="172"/>
      <c r="F670" s="249"/>
      <c r="G670" s="250"/>
      <c r="H670" s="175"/>
      <c r="I670" s="176"/>
      <c r="J670" s="176"/>
      <c r="K670" s="176"/>
      <c r="L670" s="176"/>
      <c r="M670" s="176"/>
      <c r="N670" s="176"/>
      <c r="O670" s="263"/>
      <c r="P670" s="294"/>
      <c r="Q670" s="134"/>
      <c r="R670" s="83"/>
    </row>
    <row r="671" spans="1:18" s="80" customFormat="1" ht="12.75" x14ac:dyDescent="0.2">
      <c r="A671" s="265"/>
      <c r="B671" s="171"/>
      <c r="C671" s="172"/>
      <c r="D671" s="172"/>
      <c r="E671" s="172"/>
      <c r="F671" s="249" t="s">
        <v>177</v>
      </c>
      <c r="G671" s="250" t="s">
        <v>519</v>
      </c>
      <c r="H671" s="175" t="s">
        <v>94</v>
      </c>
      <c r="I671" s="176">
        <v>0</v>
      </c>
      <c r="J671" s="176"/>
      <c r="K671" s="176"/>
      <c r="L671" s="176"/>
      <c r="M671" s="176"/>
      <c r="N671" s="176">
        <v>150000000</v>
      </c>
      <c r="O671" s="263"/>
      <c r="P671" s="294"/>
      <c r="Q671" s="134"/>
      <c r="R671" s="83"/>
    </row>
    <row r="672" spans="1:18" s="82" customFormat="1" ht="12.75" x14ac:dyDescent="0.2">
      <c r="A672" s="265"/>
      <c r="B672" s="171"/>
      <c r="C672" s="172"/>
      <c r="D672" s="172"/>
      <c r="E672" s="172"/>
      <c r="F672" s="249"/>
      <c r="G672" s="250"/>
      <c r="H672" s="175"/>
      <c r="I672" s="176"/>
      <c r="J672" s="176"/>
      <c r="K672" s="176"/>
      <c r="L672" s="176"/>
      <c r="M672" s="176"/>
      <c r="N672" s="176"/>
      <c r="O672" s="263"/>
      <c r="P672" s="294"/>
      <c r="Q672" s="134"/>
      <c r="R672" s="83"/>
    </row>
    <row r="673" spans="1:22" s="80" customFormat="1" ht="25.5" x14ac:dyDescent="0.2">
      <c r="A673" s="265"/>
      <c r="B673" s="171"/>
      <c r="C673" s="172"/>
      <c r="D673" s="172"/>
      <c r="E673" s="172"/>
      <c r="F673" s="249" t="s">
        <v>178</v>
      </c>
      <c r="G673" s="250" t="s">
        <v>333</v>
      </c>
      <c r="H673" s="175" t="s">
        <v>94</v>
      </c>
      <c r="I673" s="176">
        <v>41640539.869999997</v>
      </c>
      <c r="J673" s="176"/>
      <c r="K673" s="176">
        <f>+I673</f>
        <v>41640539.869999997</v>
      </c>
      <c r="L673" s="176"/>
      <c r="M673" s="176"/>
      <c r="N673" s="176">
        <f>53640539.87-I673</f>
        <v>12000000</v>
      </c>
      <c r="O673" s="263"/>
      <c r="P673" s="294"/>
      <c r="Q673" s="134"/>
      <c r="R673" s="83"/>
    </row>
    <row r="674" spans="1:22" s="82" customFormat="1" ht="12.75" x14ac:dyDescent="0.2">
      <c r="A674" s="265"/>
      <c r="B674" s="171"/>
      <c r="C674" s="172"/>
      <c r="D674" s="172"/>
      <c r="E674" s="172"/>
      <c r="F674" s="249"/>
      <c r="G674" s="250"/>
      <c r="H674" s="175"/>
      <c r="I674" s="176"/>
      <c r="J674" s="176"/>
      <c r="K674" s="176"/>
      <c r="L674" s="176"/>
      <c r="M674" s="176"/>
      <c r="N674" s="176"/>
      <c r="O674" s="263"/>
      <c r="P674" s="294"/>
      <c r="Q674" s="134"/>
      <c r="R674" s="83"/>
    </row>
    <row r="675" spans="1:22" s="80" customFormat="1" ht="25.5" x14ac:dyDescent="0.2">
      <c r="A675" s="265"/>
      <c r="B675" s="171"/>
      <c r="C675" s="172"/>
      <c r="D675" s="172"/>
      <c r="E675" s="172"/>
      <c r="F675" s="249" t="s">
        <v>179</v>
      </c>
      <c r="G675" s="250" t="s">
        <v>520</v>
      </c>
      <c r="H675" s="175" t="s">
        <v>91</v>
      </c>
      <c r="I675" s="176">
        <v>0</v>
      </c>
      <c r="J675" s="176"/>
      <c r="K675" s="176"/>
      <c r="L675" s="176"/>
      <c r="M675" s="176"/>
      <c r="N675" s="176">
        <v>7000000</v>
      </c>
      <c r="O675" s="263"/>
      <c r="P675" s="294"/>
      <c r="Q675" s="134"/>
      <c r="R675" s="83"/>
    </row>
    <row r="676" spans="1:22" s="82" customFormat="1" ht="12.75" x14ac:dyDescent="0.2">
      <c r="A676" s="265"/>
      <c r="B676" s="171"/>
      <c r="C676" s="172"/>
      <c r="D676" s="172"/>
      <c r="E676" s="172"/>
      <c r="F676" s="249"/>
      <c r="G676" s="250"/>
      <c r="H676" s="175"/>
      <c r="I676" s="176"/>
      <c r="J676" s="176"/>
      <c r="K676" s="176"/>
      <c r="L676" s="176"/>
      <c r="M676" s="176"/>
      <c r="N676" s="176"/>
      <c r="O676" s="263"/>
      <c r="P676" s="294"/>
      <c r="Q676" s="134"/>
      <c r="R676" s="83"/>
    </row>
    <row r="677" spans="1:22" s="80" customFormat="1" ht="12.75" x14ac:dyDescent="0.2">
      <c r="A677" s="265"/>
      <c r="B677" s="171"/>
      <c r="C677" s="172"/>
      <c r="D677" s="172"/>
      <c r="E677" s="172"/>
      <c r="F677" s="249" t="s">
        <v>180</v>
      </c>
      <c r="G677" s="250" t="s">
        <v>521</v>
      </c>
      <c r="H677" s="175" t="s">
        <v>91</v>
      </c>
      <c r="I677" s="176">
        <v>16600000</v>
      </c>
      <c r="J677" s="176">
        <f>+I677</f>
        <v>16600000</v>
      </c>
      <c r="K677" s="176"/>
      <c r="L677" s="176"/>
      <c r="M677" s="176"/>
      <c r="N677" s="176">
        <v>0</v>
      </c>
      <c r="O677" s="263"/>
      <c r="P677" s="294"/>
      <c r="Q677" s="134"/>
      <c r="R677" s="83"/>
    </row>
    <row r="678" spans="1:22" s="82" customFormat="1" ht="12.75" x14ac:dyDescent="0.2">
      <c r="A678" s="265"/>
      <c r="B678" s="171"/>
      <c r="C678" s="172"/>
      <c r="D678" s="172"/>
      <c r="E678" s="172"/>
      <c r="F678" s="249"/>
      <c r="G678" s="250"/>
      <c r="H678" s="175"/>
      <c r="I678" s="176"/>
      <c r="J678" s="176"/>
      <c r="K678" s="176"/>
      <c r="L678" s="176"/>
      <c r="M678" s="176"/>
      <c r="N678" s="176"/>
      <c r="O678" s="263"/>
      <c r="P678" s="294"/>
      <c r="Q678" s="134"/>
      <c r="R678" s="83"/>
    </row>
    <row r="679" spans="1:22" s="80" customFormat="1" ht="12.75" x14ac:dyDescent="0.2">
      <c r="A679" s="265"/>
      <c r="B679" s="171"/>
      <c r="C679" s="172"/>
      <c r="D679" s="172"/>
      <c r="E679" s="172"/>
      <c r="F679" s="249" t="s">
        <v>181</v>
      </c>
      <c r="G679" s="250" t="s">
        <v>522</v>
      </c>
      <c r="H679" s="175" t="s">
        <v>94</v>
      </c>
      <c r="I679" s="176">
        <v>26906107</v>
      </c>
      <c r="J679" s="176"/>
      <c r="K679" s="176">
        <f>+I679</f>
        <v>26906107</v>
      </c>
      <c r="L679" s="176"/>
      <c r="M679" s="176"/>
      <c r="N679" s="176">
        <f>30000000-I679</f>
        <v>3093893</v>
      </c>
      <c r="O679" s="263"/>
      <c r="P679" s="294"/>
      <c r="Q679" s="134"/>
      <c r="R679" s="83"/>
    </row>
    <row r="680" spans="1:22" s="102" customFormat="1" ht="12.75" x14ac:dyDescent="0.2">
      <c r="A680" s="265"/>
      <c r="B680" s="171"/>
      <c r="C680" s="172"/>
      <c r="D680" s="172"/>
      <c r="E680" s="172"/>
      <c r="F680" s="249"/>
      <c r="G680" s="250"/>
      <c r="H680" s="175"/>
      <c r="I680" s="176"/>
      <c r="J680" s="176"/>
      <c r="K680" s="176"/>
      <c r="L680" s="176"/>
      <c r="M680" s="176"/>
      <c r="N680" s="176"/>
      <c r="O680" s="263"/>
      <c r="P680" s="294"/>
      <c r="Q680" s="134"/>
      <c r="R680" s="83"/>
    </row>
    <row r="681" spans="1:22" s="102" customFormat="1" ht="12.75" x14ac:dyDescent="0.2">
      <c r="A681" s="265"/>
      <c r="B681" s="171"/>
      <c r="C681" s="172"/>
      <c r="D681" s="172"/>
      <c r="E681" s="172"/>
      <c r="F681" s="249" t="s">
        <v>419</v>
      </c>
      <c r="G681" s="250" t="s">
        <v>421</v>
      </c>
      <c r="H681" s="175" t="s">
        <v>96</v>
      </c>
      <c r="I681" s="176">
        <f>20744217.8-1550000.1</f>
        <v>19194217.699999999</v>
      </c>
      <c r="J681" s="176"/>
      <c r="K681" s="176">
        <f>+I681</f>
        <v>19194217.699999999</v>
      </c>
      <c r="L681" s="176"/>
      <c r="M681" s="176"/>
      <c r="N681" s="176">
        <f>20744217.8-K681+1000000</f>
        <v>2550000.1000000015</v>
      </c>
      <c r="O681" s="263"/>
      <c r="P681" s="294"/>
      <c r="Q681" s="134"/>
      <c r="R681" s="83"/>
    </row>
    <row r="682" spans="1:22" s="80" customFormat="1" ht="12.75" x14ac:dyDescent="0.2">
      <c r="A682" s="265"/>
      <c r="B682" s="171"/>
      <c r="C682" s="172"/>
      <c r="D682" s="172"/>
      <c r="E682" s="172"/>
      <c r="F682" s="249"/>
      <c r="G682" s="250"/>
      <c r="H682" s="175"/>
      <c r="I682" s="176"/>
      <c r="J682" s="176"/>
      <c r="K682" s="176"/>
      <c r="L682" s="176"/>
      <c r="M682" s="176"/>
      <c r="N682" s="328"/>
      <c r="O682" s="263"/>
      <c r="P682" s="294"/>
      <c r="Q682" s="134"/>
      <c r="R682" s="83"/>
    </row>
    <row r="683" spans="1:22" s="80" customFormat="1" ht="12.75" x14ac:dyDescent="0.2">
      <c r="A683" s="265"/>
      <c r="B683" s="171"/>
      <c r="C683" s="172"/>
      <c r="D683" s="172"/>
      <c r="E683" s="172"/>
      <c r="F683" s="249" t="s">
        <v>193</v>
      </c>
      <c r="G683" s="250"/>
      <c r="H683" s="175"/>
      <c r="I683" s="176"/>
      <c r="J683" s="176"/>
      <c r="K683" s="176"/>
      <c r="L683" s="176"/>
      <c r="M683" s="176"/>
      <c r="N683" s="328">
        <v>70638042.760000005</v>
      </c>
      <c r="O683" s="263"/>
      <c r="P683" s="294"/>
      <c r="Q683" s="134"/>
      <c r="R683" s="83"/>
    </row>
    <row r="684" spans="1:22" s="96" customFormat="1" ht="12.75" x14ac:dyDescent="0.2">
      <c r="A684" s="268"/>
      <c r="B684" s="177"/>
      <c r="C684" s="178"/>
      <c r="D684" s="178"/>
      <c r="E684" s="178"/>
      <c r="F684" s="203"/>
      <c r="G684" s="204"/>
      <c r="H684" s="181"/>
      <c r="I684" s="182"/>
      <c r="J684" s="182"/>
      <c r="K684" s="182"/>
      <c r="L684" s="182"/>
      <c r="M684" s="182"/>
      <c r="N684" s="183"/>
      <c r="O684" s="269"/>
      <c r="P684" s="294"/>
      <c r="Q684" s="138"/>
      <c r="R684" s="317"/>
    </row>
    <row r="685" spans="1:22" s="80" customFormat="1" ht="12.75" x14ac:dyDescent="0.2">
      <c r="A685" s="285" t="s">
        <v>523</v>
      </c>
      <c r="B685" s="245" t="s">
        <v>524</v>
      </c>
      <c r="C685" s="149"/>
      <c r="D685" s="149">
        <v>1550000.1</v>
      </c>
      <c r="E685" s="149">
        <v>1550000.1</v>
      </c>
      <c r="F685" s="166"/>
      <c r="G685" s="110"/>
      <c r="H685" s="153"/>
      <c r="I685" s="154">
        <f t="shared" ref="I685:N685" si="47">SUM(I686)</f>
        <v>1550000.1</v>
      </c>
      <c r="J685" s="154">
        <f t="shared" si="47"/>
        <v>0</v>
      </c>
      <c r="K685" s="154">
        <f t="shared" si="47"/>
        <v>1550000.1</v>
      </c>
      <c r="L685" s="154">
        <f t="shared" si="47"/>
        <v>0</v>
      </c>
      <c r="M685" s="154">
        <f t="shared" si="47"/>
        <v>0</v>
      </c>
      <c r="N685" s="154">
        <f t="shared" si="47"/>
        <v>0</v>
      </c>
      <c r="O685" s="263"/>
      <c r="P685" s="294"/>
      <c r="Q685" s="134"/>
      <c r="R685" s="83"/>
      <c r="S685" s="87"/>
      <c r="T685" s="87"/>
      <c r="U685" s="87"/>
      <c r="V685" s="87"/>
    </row>
    <row r="686" spans="1:22" s="80" customFormat="1" ht="12.75" x14ac:dyDescent="0.2">
      <c r="A686" s="265"/>
      <c r="B686" s="163"/>
      <c r="C686" s="149"/>
      <c r="D686" s="149"/>
      <c r="E686" s="149"/>
      <c r="F686" s="166" t="s">
        <v>201</v>
      </c>
      <c r="G686" s="251" t="s">
        <v>524</v>
      </c>
      <c r="H686" s="153" t="s">
        <v>96</v>
      </c>
      <c r="I686" s="151">
        <v>1550000.1</v>
      </c>
      <c r="J686" s="151"/>
      <c r="K686" s="151">
        <f>+I686</f>
        <v>1550000.1</v>
      </c>
      <c r="L686" s="151"/>
      <c r="M686" s="151"/>
      <c r="N686" s="150"/>
      <c r="O686" s="263"/>
      <c r="P686" s="294"/>
      <c r="Q686" s="134"/>
      <c r="R686" s="83"/>
      <c r="S686" s="112"/>
      <c r="T686" s="112"/>
      <c r="U686" s="112"/>
    </row>
    <row r="687" spans="1:22" s="96" customFormat="1" ht="12.75" x14ac:dyDescent="0.2">
      <c r="A687" s="268"/>
      <c r="B687" s="177"/>
      <c r="C687" s="178"/>
      <c r="D687" s="178"/>
      <c r="E687" s="178"/>
      <c r="F687" s="203"/>
      <c r="G687" s="204"/>
      <c r="H687" s="181"/>
      <c r="I687" s="182"/>
      <c r="J687" s="182"/>
      <c r="K687" s="182"/>
      <c r="L687" s="182"/>
      <c r="M687" s="182"/>
      <c r="N687" s="183"/>
      <c r="O687" s="269"/>
      <c r="P687" s="294"/>
      <c r="Q687" s="138"/>
      <c r="R687" s="317"/>
    </row>
    <row r="688" spans="1:22" s="80" customFormat="1" ht="12.75" x14ac:dyDescent="0.2">
      <c r="A688" s="265" t="s">
        <v>428</v>
      </c>
      <c r="B688" s="163" t="s">
        <v>525</v>
      </c>
      <c r="C688" s="149"/>
      <c r="D688" s="149">
        <v>0</v>
      </c>
      <c r="E688" s="149">
        <v>2733587.91</v>
      </c>
      <c r="F688" s="166"/>
      <c r="G688" s="110"/>
      <c r="H688" s="153"/>
      <c r="I688" s="154">
        <f t="shared" ref="I688:N688" si="48">SUM(I689)</f>
        <v>0</v>
      </c>
      <c r="J688" s="154">
        <f t="shared" si="48"/>
        <v>0</v>
      </c>
      <c r="K688" s="154">
        <f t="shared" si="48"/>
        <v>0</v>
      </c>
      <c r="L688" s="154">
        <f t="shared" si="48"/>
        <v>0</v>
      </c>
      <c r="M688" s="154">
        <f t="shared" si="48"/>
        <v>0</v>
      </c>
      <c r="N688" s="154">
        <f t="shared" si="48"/>
        <v>2733587.91</v>
      </c>
      <c r="O688" s="263"/>
      <c r="P688" s="294"/>
      <c r="Q688" s="134"/>
      <c r="R688" s="83"/>
      <c r="S688" s="87"/>
      <c r="T688" s="87"/>
      <c r="U688" s="87"/>
    </row>
    <row r="689" spans="1:21" s="112" customFormat="1" ht="12.75" x14ac:dyDescent="0.2">
      <c r="A689" s="265"/>
      <c r="B689" s="163"/>
      <c r="C689" s="149"/>
      <c r="D689" s="149"/>
      <c r="E689" s="149"/>
      <c r="F689" s="166" t="s">
        <v>193</v>
      </c>
      <c r="G689" s="110"/>
      <c r="H689" s="153"/>
      <c r="I689" s="151"/>
      <c r="J689" s="151"/>
      <c r="K689" s="151"/>
      <c r="L689" s="151"/>
      <c r="M689" s="151"/>
      <c r="N689" s="328">
        <v>2733587.91</v>
      </c>
      <c r="O689" s="263"/>
      <c r="P689" s="294"/>
      <c r="Q689" s="134"/>
      <c r="R689" s="83"/>
      <c r="S689" s="87"/>
      <c r="T689" s="87"/>
      <c r="U689" s="87"/>
    </row>
    <row r="690" spans="1:21" s="96" customFormat="1" ht="12.75" x14ac:dyDescent="0.2">
      <c r="A690" s="268"/>
      <c r="B690" s="177"/>
      <c r="C690" s="178"/>
      <c r="D690" s="178"/>
      <c r="E690" s="178"/>
      <c r="F690" s="203"/>
      <c r="G690" s="204"/>
      <c r="H690" s="181"/>
      <c r="I690" s="182"/>
      <c r="J690" s="182"/>
      <c r="K690" s="182"/>
      <c r="L690" s="182"/>
      <c r="M690" s="182"/>
      <c r="N690" s="183"/>
      <c r="O690" s="269"/>
      <c r="P690" s="294"/>
      <c r="Q690" s="138"/>
      <c r="R690" s="317"/>
    </row>
    <row r="691" spans="1:21" s="80" customFormat="1" ht="12.75" x14ac:dyDescent="0.2">
      <c r="A691" s="265" t="s">
        <v>526</v>
      </c>
      <c r="B691" s="163" t="s">
        <v>527</v>
      </c>
      <c r="C691" s="149"/>
      <c r="D691" s="149">
        <v>0</v>
      </c>
      <c r="E691" s="149">
        <f>-412213177.39+149057235.12+360923608.34</f>
        <v>97767666.069999993</v>
      </c>
      <c r="F691" s="166"/>
      <c r="G691" s="110"/>
      <c r="H691" s="153"/>
      <c r="I691" s="154">
        <f t="shared" ref="I691:N691" si="49">SUM(I692)</f>
        <v>0</v>
      </c>
      <c r="J691" s="154">
        <f t="shared" si="49"/>
        <v>0</v>
      </c>
      <c r="K691" s="154">
        <f t="shared" si="49"/>
        <v>0</v>
      </c>
      <c r="L691" s="154">
        <f t="shared" si="49"/>
        <v>0</v>
      </c>
      <c r="M691" s="154">
        <f t="shared" si="49"/>
        <v>0</v>
      </c>
      <c r="N691" s="154">
        <f t="shared" si="49"/>
        <v>97767666.069999993</v>
      </c>
      <c r="O691" s="263"/>
      <c r="P691" s="294"/>
      <c r="Q691" s="134"/>
      <c r="R691" s="83"/>
      <c r="S691" s="87"/>
      <c r="T691" s="87"/>
      <c r="U691" s="87"/>
    </row>
    <row r="692" spans="1:21" s="80" customFormat="1" ht="12.75" x14ac:dyDescent="0.2">
      <c r="A692" s="265"/>
      <c r="B692" s="163"/>
      <c r="C692" s="149"/>
      <c r="D692" s="149"/>
      <c r="E692" s="149"/>
      <c r="F692" s="166" t="s">
        <v>193</v>
      </c>
      <c r="G692" s="110"/>
      <c r="H692" s="153"/>
      <c r="I692" s="151"/>
      <c r="J692" s="151"/>
      <c r="K692" s="151"/>
      <c r="L692" s="151"/>
      <c r="M692" s="151"/>
      <c r="N692" s="328">
        <f>+E691</f>
        <v>97767666.069999993</v>
      </c>
      <c r="O692" s="263"/>
      <c r="P692" s="294"/>
      <c r="Q692" s="134"/>
      <c r="R692" s="83"/>
    </row>
    <row r="693" spans="1:21" s="96" customFormat="1" ht="12.75" x14ac:dyDescent="0.2">
      <c r="A693" s="268"/>
      <c r="B693" s="177"/>
      <c r="C693" s="178"/>
      <c r="D693" s="178"/>
      <c r="E693" s="178"/>
      <c r="F693" s="203"/>
      <c r="G693" s="204"/>
      <c r="H693" s="181"/>
      <c r="I693" s="182"/>
      <c r="J693" s="182"/>
      <c r="K693" s="182"/>
      <c r="L693" s="182"/>
      <c r="M693" s="182"/>
      <c r="N693" s="183"/>
      <c r="O693" s="269"/>
      <c r="P693" s="294"/>
      <c r="Q693" s="138"/>
      <c r="R693" s="317"/>
    </row>
    <row r="694" spans="1:21" s="80" customFormat="1" ht="12.75" x14ac:dyDescent="0.2">
      <c r="A694" s="265" t="s">
        <v>528</v>
      </c>
      <c r="B694" s="163" t="s">
        <v>529</v>
      </c>
      <c r="C694" s="149"/>
      <c r="D694" s="149">
        <v>0</v>
      </c>
      <c r="E694" s="149">
        <v>40920214.659999996</v>
      </c>
      <c r="F694" s="166"/>
      <c r="G694" s="110"/>
      <c r="H694" s="153"/>
      <c r="I694" s="154">
        <f t="shared" ref="I694:N694" si="50">SUM(I695)</f>
        <v>0</v>
      </c>
      <c r="J694" s="154">
        <f t="shared" si="50"/>
        <v>0</v>
      </c>
      <c r="K694" s="154">
        <f t="shared" si="50"/>
        <v>0</v>
      </c>
      <c r="L694" s="154">
        <f t="shared" si="50"/>
        <v>0</v>
      </c>
      <c r="M694" s="154">
        <f t="shared" si="50"/>
        <v>0</v>
      </c>
      <c r="N694" s="154">
        <f t="shared" si="50"/>
        <v>40920214.659999996</v>
      </c>
      <c r="O694" s="263"/>
      <c r="P694" s="294"/>
      <c r="Q694" s="134"/>
      <c r="R694" s="83"/>
      <c r="S694" s="87"/>
      <c r="T694" s="87"/>
      <c r="U694" s="87"/>
    </row>
    <row r="695" spans="1:21" s="80" customFormat="1" ht="12.75" x14ac:dyDescent="0.2">
      <c r="A695" s="265"/>
      <c r="B695" s="163"/>
      <c r="C695" s="149"/>
      <c r="D695" s="149"/>
      <c r="E695" s="149"/>
      <c r="F695" s="166" t="s">
        <v>193</v>
      </c>
      <c r="G695" s="110"/>
      <c r="H695" s="153"/>
      <c r="I695" s="151"/>
      <c r="J695" s="151"/>
      <c r="K695" s="151"/>
      <c r="L695" s="151"/>
      <c r="M695" s="151"/>
      <c r="N695" s="328">
        <v>40920214.659999996</v>
      </c>
      <c r="O695" s="263"/>
      <c r="P695" s="294"/>
      <c r="Q695" s="134"/>
      <c r="R695" s="83"/>
    </row>
    <row r="696" spans="1:21" s="96" customFormat="1" ht="12.75" x14ac:dyDescent="0.2">
      <c r="A696" s="268"/>
      <c r="B696" s="177"/>
      <c r="C696" s="178"/>
      <c r="D696" s="178"/>
      <c r="E696" s="178"/>
      <c r="F696" s="203"/>
      <c r="G696" s="204"/>
      <c r="H696" s="181"/>
      <c r="I696" s="182"/>
      <c r="J696" s="182"/>
      <c r="K696" s="182"/>
      <c r="L696" s="182"/>
      <c r="M696" s="182"/>
      <c r="N696" s="183"/>
      <c r="O696" s="269"/>
      <c r="P696" s="294"/>
      <c r="Q696" s="138"/>
      <c r="R696" s="317"/>
    </row>
    <row r="697" spans="1:21" s="80" customFormat="1" ht="12.75" x14ac:dyDescent="0.2">
      <c r="A697" s="265" t="s">
        <v>530</v>
      </c>
      <c r="B697" s="163" t="s">
        <v>531</v>
      </c>
      <c r="C697" s="149"/>
      <c r="D697" s="149"/>
      <c r="E697" s="149">
        <v>4605361.1399999997</v>
      </c>
      <c r="F697" s="166"/>
      <c r="G697" s="110"/>
      <c r="H697" s="153"/>
      <c r="I697" s="154">
        <f t="shared" ref="I697:N697" si="51">SUM(I698)</f>
        <v>0</v>
      </c>
      <c r="J697" s="154">
        <f t="shared" si="51"/>
        <v>0</v>
      </c>
      <c r="K697" s="154">
        <f t="shared" si="51"/>
        <v>0</v>
      </c>
      <c r="L697" s="154">
        <f t="shared" si="51"/>
        <v>0</v>
      </c>
      <c r="M697" s="154">
        <f t="shared" si="51"/>
        <v>0</v>
      </c>
      <c r="N697" s="154">
        <f t="shared" si="51"/>
        <v>4605361.1399999997</v>
      </c>
      <c r="O697" s="263"/>
      <c r="P697" s="294"/>
      <c r="Q697" s="134"/>
      <c r="R697" s="83"/>
      <c r="S697" s="87"/>
      <c r="T697" s="87"/>
      <c r="U697" s="87"/>
    </row>
    <row r="698" spans="1:21" s="80" customFormat="1" ht="12.75" x14ac:dyDescent="0.2">
      <c r="A698" s="265"/>
      <c r="B698" s="163"/>
      <c r="C698" s="149"/>
      <c r="D698" s="149"/>
      <c r="E698" s="149"/>
      <c r="F698" s="166" t="s">
        <v>193</v>
      </c>
      <c r="G698" s="110"/>
      <c r="H698" s="153"/>
      <c r="I698" s="151"/>
      <c r="J698" s="151"/>
      <c r="K698" s="151"/>
      <c r="L698" s="151"/>
      <c r="M698" s="151"/>
      <c r="N698" s="172">
        <v>4605361.1399999997</v>
      </c>
      <c r="O698" s="263"/>
      <c r="P698" s="294"/>
      <c r="Q698" s="134"/>
      <c r="R698" s="83"/>
    </row>
    <row r="699" spans="1:21" s="96" customFormat="1" ht="12.75" x14ac:dyDescent="0.2">
      <c r="A699" s="268"/>
      <c r="B699" s="177"/>
      <c r="C699" s="178"/>
      <c r="D699" s="178"/>
      <c r="E699" s="178"/>
      <c r="F699" s="203"/>
      <c r="G699" s="204"/>
      <c r="H699" s="181"/>
      <c r="I699" s="182"/>
      <c r="J699" s="182"/>
      <c r="K699" s="182"/>
      <c r="L699" s="182"/>
      <c r="M699" s="182"/>
      <c r="N699" s="328"/>
      <c r="O699" s="269"/>
      <c r="P699" s="294"/>
      <c r="Q699" s="138"/>
      <c r="R699" s="317"/>
    </row>
    <row r="700" spans="1:21" s="80" customFormat="1" ht="12.75" x14ac:dyDescent="0.2">
      <c r="A700" s="265" t="s">
        <v>530</v>
      </c>
      <c r="B700" s="163" t="s">
        <v>532</v>
      </c>
      <c r="C700" s="149"/>
      <c r="D700" s="149"/>
      <c r="E700" s="149">
        <v>59162684.229999997</v>
      </c>
      <c r="F700" s="166"/>
      <c r="G700" s="110"/>
      <c r="H700" s="153"/>
      <c r="I700" s="154">
        <f t="shared" ref="I700:N700" si="52">SUM(I701)</f>
        <v>0</v>
      </c>
      <c r="J700" s="154">
        <f t="shared" si="52"/>
        <v>0</v>
      </c>
      <c r="K700" s="154">
        <f t="shared" si="52"/>
        <v>0</v>
      </c>
      <c r="L700" s="154">
        <f t="shared" si="52"/>
        <v>0</v>
      </c>
      <c r="M700" s="154">
        <f t="shared" si="52"/>
        <v>0</v>
      </c>
      <c r="N700" s="154">
        <f t="shared" si="52"/>
        <v>59162684.229999997</v>
      </c>
      <c r="O700" s="263"/>
      <c r="P700" s="294"/>
      <c r="Q700" s="134"/>
      <c r="R700" s="83"/>
      <c r="S700" s="87"/>
      <c r="T700" s="87"/>
      <c r="U700" s="87"/>
    </row>
    <row r="701" spans="1:21" s="80" customFormat="1" ht="12.75" x14ac:dyDescent="0.2">
      <c r="A701" s="265"/>
      <c r="B701" s="163"/>
      <c r="C701" s="149"/>
      <c r="D701" s="149"/>
      <c r="E701" s="149"/>
      <c r="F701" s="166" t="s">
        <v>193</v>
      </c>
      <c r="G701" s="110"/>
      <c r="H701" s="153"/>
      <c r="I701" s="151"/>
      <c r="J701" s="151"/>
      <c r="K701" s="151"/>
      <c r="L701" s="151"/>
      <c r="M701" s="151"/>
      <c r="N701" s="172">
        <v>59162684.229999997</v>
      </c>
      <c r="O701" s="263"/>
      <c r="P701" s="294"/>
      <c r="Q701" s="134"/>
      <c r="R701" s="83"/>
    </row>
    <row r="702" spans="1:21" s="96" customFormat="1" ht="12.75" x14ac:dyDescent="0.2">
      <c r="A702" s="268"/>
      <c r="B702" s="177"/>
      <c r="C702" s="178"/>
      <c r="D702" s="178"/>
      <c r="E702" s="178"/>
      <c r="F702" s="203"/>
      <c r="G702" s="204"/>
      <c r="H702" s="181"/>
      <c r="I702" s="182"/>
      <c r="J702" s="182"/>
      <c r="K702" s="182"/>
      <c r="L702" s="182"/>
      <c r="M702" s="182"/>
      <c r="N702" s="183"/>
      <c r="O702" s="269"/>
      <c r="P702" s="294"/>
      <c r="Q702" s="138"/>
      <c r="R702" s="317"/>
    </row>
    <row r="703" spans="1:21" s="80" customFormat="1" ht="12.75" x14ac:dyDescent="0.2">
      <c r="A703" s="265" t="s">
        <v>530</v>
      </c>
      <c r="B703" s="163" t="s">
        <v>533</v>
      </c>
      <c r="C703" s="149"/>
      <c r="D703" s="149"/>
      <c r="E703" s="149">
        <v>11224944.119999999</v>
      </c>
      <c r="F703" s="166"/>
      <c r="G703" s="110"/>
      <c r="H703" s="153"/>
      <c r="I703" s="154">
        <f t="shared" ref="I703:N703" si="53">SUM(I704)</f>
        <v>0</v>
      </c>
      <c r="J703" s="154">
        <f t="shared" si="53"/>
        <v>0</v>
      </c>
      <c r="K703" s="154">
        <f t="shared" si="53"/>
        <v>0</v>
      </c>
      <c r="L703" s="154">
        <f t="shared" si="53"/>
        <v>0</v>
      </c>
      <c r="M703" s="154">
        <f t="shared" si="53"/>
        <v>0</v>
      </c>
      <c r="N703" s="154">
        <f t="shared" si="53"/>
        <v>11224944.119999999</v>
      </c>
      <c r="O703" s="263"/>
      <c r="P703" s="294"/>
      <c r="Q703" s="134"/>
      <c r="R703" s="83"/>
      <c r="S703" s="87"/>
      <c r="T703" s="87"/>
      <c r="U703" s="87"/>
    </row>
    <row r="704" spans="1:21" s="80" customFormat="1" ht="12.75" x14ac:dyDescent="0.2">
      <c r="A704" s="265"/>
      <c r="B704" s="163"/>
      <c r="C704" s="149"/>
      <c r="D704" s="149"/>
      <c r="E704" s="149"/>
      <c r="F704" s="166" t="s">
        <v>193</v>
      </c>
      <c r="G704" s="110"/>
      <c r="H704" s="153"/>
      <c r="I704" s="151"/>
      <c r="J704" s="151"/>
      <c r="K704" s="151"/>
      <c r="L704" s="151"/>
      <c r="M704" s="151"/>
      <c r="N704" s="172">
        <v>11224944.119999999</v>
      </c>
      <c r="O704" s="263"/>
      <c r="P704" s="294"/>
      <c r="Q704" s="134"/>
      <c r="R704" s="83"/>
    </row>
    <row r="705" spans="1:21" s="96" customFormat="1" ht="12.75" x14ac:dyDescent="0.2">
      <c r="A705" s="268"/>
      <c r="B705" s="177"/>
      <c r="C705" s="178"/>
      <c r="D705" s="178"/>
      <c r="E705" s="178"/>
      <c r="F705" s="203"/>
      <c r="G705" s="204"/>
      <c r="H705" s="181"/>
      <c r="I705" s="182"/>
      <c r="J705" s="182"/>
      <c r="K705" s="182"/>
      <c r="L705" s="182"/>
      <c r="M705" s="182"/>
      <c r="N705" s="183"/>
      <c r="O705" s="269"/>
      <c r="P705" s="294"/>
      <c r="Q705" s="138"/>
      <c r="R705" s="317"/>
    </row>
    <row r="706" spans="1:21" s="80" customFormat="1" ht="12.75" x14ac:dyDescent="0.2">
      <c r="A706" s="265" t="s">
        <v>530</v>
      </c>
      <c r="B706" s="163" t="s">
        <v>534</v>
      </c>
      <c r="C706" s="149"/>
      <c r="D706" s="149">
        <v>7427034.2199999997</v>
      </c>
      <c r="E706" s="149">
        <v>7427034.2199999997</v>
      </c>
      <c r="F706" s="166"/>
      <c r="G706" s="110"/>
      <c r="H706" s="153"/>
      <c r="I706" s="154">
        <f t="shared" ref="I706:N706" si="54">SUM(I707)</f>
        <v>7426990.1900000004</v>
      </c>
      <c r="J706" s="154">
        <f t="shared" si="54"/>
        <v>0</v>
      </c>
      <c r="K706" s="154">
        <f t="shared" si="54"/>
        <v>7426990.1900000004</v>
      </c>
      <c r="L706" s="154">
        <f t="shared" si="54"/>
        <v>0</v>
      </c>
      <c r="M706" s="154">
        <f t="shared" si="54"/>
        <v>0</v>
      </c>
      <c r="N706" s="154">
        <f t="shared" si="54"/>
        <v>44.03</v>
      </c>
      <c r="O706" s="263"/>
      <c r="P706" s="294"/>
      <c r="Q706" s="134"/>
      <c r="R706" s="83"/>
      <c r="S706" s="87"/>
      <c r="T706" s="87"/>
      <c r="U706" s="87"/>
    </row>
    <row r="707" spans="1:21" s="80" customFormat="1" ht="12.75" x14ac:dyDescent="0.2">
      <c r="A707" s="265"/>
      <c r="B707" s="163"/>
      <c r="C707" s="149"/>
      <c r="D707" s="149"/>
      <c r="E707" s="149"/>
      <c r="F707" s="166" t="s">
        <v>535</v>
      </c>
      <c r="G707" s="110" t="s">
        <v>536</v>
      </c>
      <c r="H707" s="153" t="s">
        <v>94</v>
      </c>
      <c r="I707" s="149">
        <v>7426990.1900000004</v>
      </c>
      <c r="J707" s="151"/>
      <c r="K707" s="151">
        <f>+I707</f>
        <v>7426990.1900000004</v>
      </c>
      <c r="L707" s="151"/>
      <c r="M707" s="151"/>
      <c r="N707" s="328">
        <v>44.03</v>
      </c>
      <c r="O707" s="270"/>
      <c r="P707" s="299"/>
      <c r="Q707" s="134"/>
      <c r="R707" s="83"/>
    </row>
    <row r="708" spans="1:21" s="96" customFormat="1" ht="12.75" x14ac:dyDescent="0.2">
      <c r="A708" s="268"/>
      <c r="B708" s="177"/>
      <c r="C708" s="178"/>
      <c r="D708" s="178"/>
      <c r="E708" s="178"/>
      <c r="F708" s="179"/>
      <c r="G708" s="180"/>
      <c r="H708" s="181"/>
      <c r="I708" s="182"/>
      <c r="J708" s="182"/>
      <c r="K708" s="182"/>
      <c r="L708" s="182"/>
      <c r="M708" s="182"/>
      <c r="N708" s="183"/>
      <c r="O708" s="269"/>
      <c r="P708" s="294"/>
      <c r="Q708" s="138"/>
      <c r="R708" s="317"/>
    </row>
    <row r="709" spans="1:21" s="80" customFormat="1" ht="12.75" x14ac:dyDescent="0.2">
      <c r="A709" s="265" t="s">
        <v>537</v>
      </c>
      <c r="B709" s="163" t="s">
        <v>538</v>
      </c>
      <c r="C709" s="149"/>
      <c r="D709" s="149">
        <v>217468393.51000002</v>
      </c>
      <c r="E709" s="149">
        <v>219645984.91</v>
      </c>
      <c r="F709" s="166"/>
      <c r="G709" s="110"/>
      <c r="H709" s="153"/>
      <c r="I709" s="154">
        <f t="shared" ref="I709:N709" si="55">SUM(I710:I714)</f>
        <v>214968393.51000002</v>
      </c>
      <c r="J709" s="154">
        <f t="shared" si="55"/>
        <v>214968393.51000002</v>
      </c>
      <c r="K709" s="154">
        <f t="shared" si="55"/>
        <v>0</v>
      </c>
      <c r="L709" s="154">
        <f t="shared" si="55"/>
        <v>0</v>
      </c>
      <c r="M709" s="154">
        <f t="shared" si="55"/>
        <v>0</v>
      </c>
      <c r="N709" s="154">
        <f t="shared" si="55"/>
        <v>4677591.3999999762</v>
      </c>
      <c r="O709" s="263"/>
      <c r="P709" s="294"/>
      <c r="Q709" s="134"/>
      <c r="R709" s="83"/>
      <c r="S709" s="87"/>
      <c r="T709" s="87"/>
      <c r="U709" s="87"/>
    </row>
    <row r="710" spans="1:21" s="80" customFormat="1" ht="12.75" x14ac:dyDescent="0.2">
      <c r="A710" s="265"/>
      <c r="B710" s="163"/>
      <c r="C710" s="149"/>
      <c r="D710" s="149"/>
      <c r="E710" s="149"/>
      <c r="F710" s="166" t="s">
        <v>278</v>
      </c>
      <c r="G710" s="110" t="s">
        <v>279</v>
      </c>
      <c r="H710" s="153" t="s">
        <v>90</v>
      </c>
      <c r="I710" s="218">
        <v>6500000</v>
      </c>
      <c r="J710" s="151">
        <f>+I710</f>
        <v>6500000</v>
      </c>
      <c r="K710" s="151"/>
      <c r="L710" s="151"/>
      <c r="M710" s="151"/>
      <c r="N710" s="328">
        <v>0</v>
      </c>
      <c r="O710" s="263"/>
      <c r="P710" s="294"/>
      <c r="Q710" s="134"/>
      <c r="R710" s="83"/>
    </row>
    <row r="711" spans="1:21" s="80" customFormat="1" ht="12.75" x14ac:dyDescent="0.2">
      <c r="A711" s="265"/>
      <c r="B711" s="163"/>
      <c r="C711" s="149"/>
      <c r="D711" s="149"/>
      <c r="E711" s="149"/>
      <c r="F711" s="166"/>
      <c r="G711" s="110"/>
      <c r="H711" s="153" t="s">
        <v>91</v>
      </c>
      <c r="I711" s="218">
        <f>52682413.4+152936525.11</f>
        <v>205618938.51000002</v>
      </c>
      <c r="J711" s="151">
        <f>+I711</f>
        <v>205618938.51000002</v>
      </c>
      <c r="K711" s="151"/>
      <c r="L711" s="151"/>
      <c r="M711" s="151"/>
      <c r="N711" s="328">
        <v>0</v>
      </c>
      <c r="O711" s="263"/>
      <c r="P711" s="294"/>
      <c r="Q711" s="134"/>
      <c r="R711" s="83"/>
    </row>
    <row r="712" spans="1:21" s="80" customFormat="1" ht="12.75" x14ac:dyDescent="0.2">
      <c r="A712" s="265"/>
      <c r="B712" s="163"/>
      <c r="C712" s="149"/>
      <c r="D712" s="149"/>
      <c r="E712" s="149"/>
      <c r="F712" s="166"/>
      <c r="G712" s="110"/>
      <c r="H712" s="153" t="s">
        <v>92</v>
      </c>
      <c r="I712" s="218">
        <f>2599455+250000</f>
        <v>2849455</v>
      </c>
      <c r="J712" s="151">
        <f>+I712</f>
        <v>2849455</v>
      </c>
      <c r="K712" s="151"/>
      <c r="L712" s="151"/>
      <c r="M712" s="151"/>
      <c r="N712" s="328">
        <v>0</v>
      </c>
      <c r="O712" s="263"/>
      <c r="P712" s="294"/>
      <c r="Q712" s="134"/>
      <c r="R712" s="83"/>
    </row>
    <row r="713" spans="1:21" s="80" customFormat="1" ht="12.75" x14ac:dyDescent="0.2">
      <c r="A713" s="265"/>
      <c r="B713" s="163"/>
      <c r="C713" s="149"/>
      <c r="D713" s="149"/>
      <c r="E713" s="149"/>
      <c r="F713" s="166"/>
      <c r="G713" s="110"/>
      <c r="H713" s="153" t="s">
        <v>94</v>
      </c>
      <c r="I713" s="151">
        <v>0</v>
      </c>
      <c r="J713" s="151"/>
      <c r="K713" s="151">
        <f>+I713</f>
        <v>0</v>
      </c>
      <c r="L713" s="151"/>
      <c r="M713" s="151"/>
      <c r="N713" s="328">
        <v>2500000</v>
      </c>
      <c r="O713" s="263"/>
      <c r="P713" s="294"/>
      <c r="Q713" s="134"/>
      <c r="R713" s="83"/>
    </row>
    <row r="714" spans="1:21" s="80" customFormat="1" ht="12.75" x14ac:dyDescent="0.2">
      <c r="A714" s="265"/>
      <c r="B714" s="163"/>
      <c r="C714" s="149"/>
      <c r="D714" s="149"/>
      <c r="E714" s="149"/>
      <c r="F714" s="166" t="s">
        <v>539</v>
      </c>
      <c r="G714" s="110"/>
      <c r="H714" s="153"/>
      <c r="I714" s="151"/>
      <c r="J714" s="151"/>
      <c r="K714" s="151"/>
      <c r="L714" s="151"/>
      <c r="M714" s="151"/>
      <c r="N714" s="328">
        <f>+E709-D709</f>
        <v>2177591.3999999762</v>
      </c>
      <c r="O714" s="263"/>
      <c r="P714" s="294"/>
      <c r="Q714" s="134"/>
      <c r="R714" s="83"/>
    </row>
    <row r="715" spans="1:21" s="96" customFormat="1" ht="12.75" x14ac:dyDescent="0.2">
      <c r="A715" s="268"/>
      <c r="B715" s="177"/>
      <c r="C715" s="178"/>
      <c r="D715" s="178"/>
      <c r="E715" s="178"/>
      <c r="F715" s="179"/>
      <c r="G715" s="180"/>
      <c r="H715" s="181"/>
      <c r="I715" s="182"/>
      <c r="J715" s="182"/>
      <c r="K715" s="182"/>
      <c r="L715" s="182"/>
      <c r="M715" s="182"/>
      <c r="N715" s="183"/>
      <c r="O715" s="269"/>
      <c r="P715" s="294"/>
      <c r="Q715" s="138"/>
      <c r="R715" s="317"/>
    </row>
    <row r="716" spans="1:21" s="80" customFormat="1" ht="12.75" x14ac:dyDescent="0.2">
      <c r="A716" s="265" t="s">
        <v>540</v>
      </c>
      <c r="B716" s="163" t="s">
        <v>541</v>
      </c>
      <c r="C716" s="149"/>
      <c r="D716" s="149">
        <f>+'[4]Origen y Aplicación Extra 1'!$C$501+'[4]Origen y Aplicación Extra 2'!$C$514+598000000</f>
        <v>3302126138.3099999</v>
      </c>
      <c r="E716" s="149">
        <v>3307153575.8499999</v>
      </c>
      <c r="F716" s="166"/>
      <c r="G716" s="110"/>
      <c r="H716" s="153"/>
      <c r="I716" s="154">
        <f t="shared" ref="I716:N716" si="56">SUM(I717:I722)</f>
        <v>3287318293.8099995</v>
      </c>
      <c r="J716" s="154">
        <f t="shared" si="56"/>
        <v>3287191708.3099995</v>
      </c>
      <c r="K716" s="154">
        <f t="shared" si="56"/>
        <v>126585.5</v>
      </c>
      <c r="L716" s="154">
        <f t="shared" si="56"/>
        <v>0</v>
      </c>
      <c r="M716" s="154">
        <f t="shared" si="56"/>
        <v>0</v>
      </c>
      <c r="N716" s="154">
        <f t="shared" si="56"/>
        <v>19835282.039999999</v>
      </c>
      <c r="O716" s="263"/>
      <c r="P716" s="294"/>
      <c r="Q716" s="134"/>
      <c r="R716" s="83"/>
      <c r="S716" s="87"/>
      <c r="T716" s="87"/>
      <c r="U716" s="87"/>
    </row>
    <row r="717" spans="1:21" s="80" customFormat="1" ht="12.75" x14ac:dyDescent="0.2">
      <c r="A717" s="265"/>
      <c r="B717" s="163"/>
      <c r="C717" s="149"/>
      <c r="D717" s="149"/>
      <c r="E717" s="149"/>
      <c r="F717" s="166" t="s">
        <v>273</v>
      </c>
      <c r="G717" s="110" t="s">
        <v>541</v>
      </c>
      <c r="H717" s="153" t="s">
        <v>91</v>
      </c>
      <c r="I717" s="151">
        <v>2941753884.3099995</v>
      </c>
      <c r="J717" s="151">
        <f>+I717</f>
        <v>2941753884.3099995</v>
      </c>
      <c r="K717" s="151"/>
      <c r="L717" s="151"/>
      <c r="M717" s="151"/>
      <c r="N717" s="328"/>
      <c r="O717" s="263"/>
      <c r="P717" s="294"/>
      <c r="Q717" s="134"/>
      <c r="R717" s="83"/>
    </row>
    <row r="718" spans="1:21" s="80" customFormat="1" ht="12.75" x14ac:dyDescent="0.2">
      <c r="A718" s="265"/>
      <c r="B718" s="163"/>
      <c r="C718" s="149"/>
      <c r="D718" s="149"/>
      <c r="E718" s="149"/>
      <c r="F718" s="166"/>
      <c r="G718" s="110"/>
      <c r="H718" s="153" t="s">
        <v>92</v>
      </c>
      <c r="I718" s="151">
        <f>+'[4]Origen y Aplicación Extra 1'!$H$503+'[4]Origen y Aplicación Extra 2'!$H$516</f>
        <v>4057288</v>
      </c>
      <c r="J718" s="151">
        <f>+I718</f>
        <v>4057288</v>
      </c>
      <c r="K718" s="151"/>
      <c r="L718" s="151"/>
      <c r="M718" s="151"/>
      <c r="N718" s="328"/>
      <c r="O718" s="263"/>
      <c r="P718" s="294"/>
      <c r="Q718" s="134"/>
      <c r="R718" s="83"/>
    </row>
    <row r="719" spans="1:21" s="80" customFormat="1" ht="12.75" x14ac:dyDescent="0.2">
      <c r="A719" s="265"/>
      <c r="B719" s="163"/>
      <c r="C719" s="149"/>
      <c r="D719" s="149"/>
      <c r="E719" s="149"/>
      <c r="F719" s="166"/>
      <c r="G719" s="110"/>
      <c r="H719" s="153" t="s">
        <v>94</v>
      </c>
      <c r="I719" s="151">
        <v>126585.5</v>
      </c>
      <c r="J719" s="151"/>
      <c r="K719" s="151">
        <f>+I719</f>
        <v>126585.5</v>
      </c>
      <c r="L719" s="151"/>
      <c r="M719" s="151"/>
      <c r="N719" s="328">
        <f>9000000-I719</f>
        <v>8873414.5</v>
      </c>
      <c r="O719" s="263"/>
      <c r="P719" s="294"/>
      <c r="Q719" s="134"/>
      <c r="R719" s="83"/>
    </row>
    <row r="720" spans="1:21" s="80" customFormat="1" ht="12.75" x14ac:dyDescent="0.2">
      <c r="A720" s="265"/>
      <c r="B720" s="163"/>
      <c r="C720" s="149"/>
      <c r="D720" s="149"/>
      <c r="E720" s="149"/>
      <c r="F720" s="166"/>
      <c r="G720" s="110"/>
      <c r="H720" s="153"/>
      <c r="I720" s="151"/>
      <c r="J720" s="151"/>
      <c r="K720" s="151"/>
      <c r="L720" s="151"/>
      <c r="M720" s="151"/>
      <c r="N720" s="328"/>
      <c r="O720" s="263"/>
      <c r="P720" s="294"/>
      <c r="Q720" s="134"/>
      <c r="R720" s="83"/>
    </row>
    <row r="721" spans="1:21" s="112" customFormat="1" ht="12.75" x14ac:dyDescent="0.2">
      <c r="A721" s="265"/>
      <c r="B721" s="163"/>
      <c r="C721" s="149"/>
      <c r="D721" s="149"/>
      <c r="E721" s="149"/>
      <c r="F721" s="166" t="s">
        <v>542</v>
      </c>
      <c r="G721" s="251" t="s">
        <v>543</v>
      </c>
      <c r="H721" s="153" t="s">
        <v>91</v>
      </c>
      <c r="I721" s="151">
        <v>341380536</v>
      </c>
      <c r="J721" s="151">
        <f>+I721</f>
        <v>341380536</v>
      </c>
      <c r="K721" s="151"/>
      <c r="L721" s="151"/>
      <c r="M721" s="151"/>
      <c r="N721" s="176">
        <f>347314966-I721</f>
        <v>5934430</v>
      </c>
      <c r="O721" s="263"/>
      <c r="P721" s="294"/>
      <c r="Q721" s="134"/>
      <c r="R721" s="83"/>
    </row>
    <row r="722" spans="1:21" s="80" customFormat="1" ht="12.75" x14ac:dyDescent="0.2">
      <c r="A722" s="265"/>
      <c r="B722" s="163"/>
      <c r="C722" s="149"/>
      <c r="D722" s="149"/>
      <c r="E722" s="149"/>
      <c r="F722" s="166" t="s">
        <v>539</v>
      </c>
      <c r="G722" s="110"/>
      <c r="H722" s="153"/>
      <c r="I722" s="151"/>
      <c r="J722" s="151"/>
      <c r="K722" s="151"/>
      <c r="L722" s="151"/>
      <c r="M722" s="151"/>
      <c r="N722" s="328">
        <v>5027437.54</v>
      </c>
      <c r="O722" s="263"/>
      <c r="P722" s="294"/>
      <c r="Q722" s="134"/>
      <c r="R722" s="83"/>
    </row>
    <row r="723" spans="1:21" s="96" customFormat="1" ht="12.75" x14ac:dyDescent="0.2">
      <c r="A723" s="268"/>
      <c r="B723" s="177"/>
      <c r="C723" s="178"/>
      <c r="D723" s="178"/>
      <c r="E723" s="178"/>
      <c r="F723" s="179"/>
      <c r="G723" s="180"/>
      <c r="H723" s="181"/>
      <c r="I723" s="182"/>
      <c r="J723" s="182"/>
      <c r="K723" s="182"/>
      <c r="L723" s="182"/>
      <c r="M723" s="182"/>
      <c r="N723" s="183"/>
      <c r="O723" s="269"/>
      <c r="P723" s="294"/>
      <c r="Q723" s="138"/>
      <c r="R723" s="317"/>
    </row>
    <row r="724" spans="1:21" s="80" customFormat="1" ht="12.75" x14ac:dyDescent="0.2">
      <c r="A724" s="286" t="s">
        <v>544</v>
      </c>
      <c r="B724" s="245" t="s">
        <v>545</v>
      </c>
      <c r="C724" s="149"/>
      <c r="D724" s="149">
        <v>185287183.94999999</v>
      </c>
      <c r="E724" s="149">
        <v>187096751.94999999</v>
      </c>
      <c r="F724" s="166"/>
      <c r="G724" s="110"/>
      <c r="H724" s="153"/>
      <c r="I724" s="154">
        <f t="shared" ref="I724:N724" si="57">SUM(I725:I728)</f>
        <v>185287183.94999999</v>
      </c>
      <c r="J724" s="154">
        <f t="shared" si="57"/>
        <v>133334416.56</v>
      </c>
      <c r="K724" s="154">
        <f t="shared" si="57"/>
        <v>51952767.390000001</v>
      </c>
      <c r="L724" s="154">
        <f t="shared" si="57"/>
        <v>0</v>
      </c>
      <c r="M724" s="154">
        <f t="shared" si="57"/>
        <v>0</v>
      </c>
      <c r="N724" s="154">
        <f t="shared" si="57"/>
        <v>1809567.9999999965</v>
      </c>
      <c r="O724" s="263"/>
      <c r="P724" s="294"/>
      <c r="Q724" s="134"/>
      <c r="R724" s="83"/>
      <c r="S724" s="87"/>
      <c r="T724" s="87"/>
      <c r="U724" s="87"/>
    </row>
    <row r="725" spans="1:21" s="80" customFormat="1" ht="12.75" x14ac:dyDescent="0.2">
      <c r="A725" s="265"/>
      <c r="B725" s="163"/>
      <c r="C725" s="149"/>
      <c r="D725" s="149"/>
      <c r="E725" s="149"/>
      <c r="F725" s="166" t="s">
        <v>282</v>
      </c>
      <c r="G725" s="110" t="s">
        <v>283</v>
      </c>
      <c r="H725" s="153" t="s">
        <v>91</v>
      </c>
      <c r="I725" s="151">
        <f>27401181.26+95000000</f>
        <v>122401181.26000001</v>
      </c>
      <c r="J725" s="151">
        <f>+I725</f>
        <v>122401181.26000001</v>
      </c>
      <c r="K725" s="151"/>
      <c r="L725" s="151"/>
      <c r="M725" s="151"/>
      <c r="N725" s="176">
        <f>27401181.26+95000000-I725</f>
        <v>0</v>
      </c>
      <c r="O725" s="263"/>
      <c r="P725" s="294"/>
      <c r="Q725" s="134"/>
      <c r="R725" s="83"/>
    </row>
    <row r="726" spans="1:21" s="114" customFormat="1" ht="12.75" x14ac:dyDescent="0.2">
      <c r="A726" s="265"/>
      <c r="B726" s="163"/>
      <c r="C726" s="149"/>
      <c r="D726" s="149"/>
      <c r="E726" s="149"/>
      <c r="F726" s="166"/>
      <c r="G726" s="110"/>
      <c r="H726" s="153" t="s">
        <v>92</v>
      </c>
      <c r="I726" s="151">
        <v>10933235.300000001</v>
      </c>
      <c r="J726" s="151">
        <f>+I726</f>
        <v>10933235.300000001</v>
      </c>
      <c r="K726" s="151"/>
      <c r="L726" s="151"/>
      <c r="M726" s="151"/>
      <c r="N726" s="176">
        <f>10933235.3-I726</f>
        <v>0</v>
      </c>
      <c r="O726" s="263"/>
      <c r="P726" s="294"/>
      <c r="Q726" s="134"/>
      <c r="R726" s="83"/>
    </row>
    <row r="727" spans="1:21" s="80" customFormat="1" ht="12.75" x14ac:dyDescent="0.2">
      <c r="A727" s="265"/>
      <c r="B727" s="163"/>
      <c r="C727" s="149"/>
      <c r="D727" s="149"/>
      <c r="E727" s="149"/>
      <c r="F727" s="166"/>
      <c r="G727" s="110"/>
      <c r="H727" s="153" t="s">
        <v>94</v>
      </c>
      <c r="I727" s="151">
        <f>52061737.3-108969.91</f>
        <v>51952767.390000001</v>
      </c>
      <c r="J727" s="151"/>
      <c r="K727" s="151">
        <f>+I727</f>
        <v>51952767.390000001</v>
      </c>
      <c r="L727" s="151"/>
      <c r="M727" s="151"/>
      <c r="N727" s="176">
        <f>62886002.69-10824265.39-I727-108969.91</f>
        <v>-3.5797711461782455E-9</v>
      </c>
      <c r="O727" s="263"/>
      <c r="P727" s="294"/>
      <c r="Q727" s="134"/>
      <c r="R727" s="83"/>
    </row>
    <row r="728" spans="1:21" s="80" customFormat="1" ht="12.75" x14ac:dyDescent="0.2">
      <c r="A728" s="265"/>
      <c r="B728" s="163"/>
      <c r="C728" s="149"/>
      <c r="D728" s="149"/>
      <c r="E728" s="149"/>
      <c r="F728" s="166" t="s">
        <v>539</v>
      </c>
      <c r="G728" s="110"/>
      <c r="H728" s="153"/>
      <c r="I728" s="151"/>
      <c r="J728" s="151"/>
      <c r="K728" s="151"/>
      <c r="L728" s="151"/>
      <c r="M728" s="151"/>
      <c r="N728" s="336">
        <f>+E724-D724</f>
        <v>1809568</v>
      </c>
      <c r="O728" s="263"/>
      <c r="P728" s="294"/>
      <c r="Q728" s="134"/>
      <c r="R728" s="83"/>
    </row>
    <row r="729" spans="1:21" s="96" customFormat="1" ht="12.75" x14ac:dyDescent="0.2">
      <c r="A729" s="268"/>
      <c r="B729" s="177"/>
      <c r="C729" s="178"/>
      <c r="D729" s="178"/>
      <c r="E729" s="178"/>
      <c r="F729" s="179"/>
      <c r="G729" s="180"/>
      <c r="H729" s="181"/>
      <c r="I729" s="182"/>
      <c r="J729" s="182"/>
      <c r="K729" s="182"/>
      <c r="L729" s="182"/>
      <c r="M729" s="182"/>
      <c r="N729" s="183"/>
      <c r="O729" s="269"/>
      <c r="P729" s="294"/>
      <c r="Q729" s="138"/>
      <c r="R729" s="317"/>
    </row>
    <row r="730" spans="1:21" s="80" customFormat="1" ht="12.75" x14ac:dyDescent="0.2">
      <c r="A730" s="265" t="s">
        <v>546</v>
      </c>
      <c r="B730" s="163" t="s">
        <v>547</v>
      </c>
      <c r="C730" s="149"/>
      <c r="D730" s="149">
        <f>+'[4]Origen y Aplicación Extra 1'!$C$524+'[4]Origen y Aplicación Extra 2'!$C$540</f>
        <v>5875004166.3600006</v>
      </c>
      <c r="E730" s="149">
        <v>5927881663.7799997</v>
      </c>
      <c r="F730" s="166"/>
      <c r="G730" s="110"/>
      <c r="H730" s="153"/>
      <c r="I730" s="154">
        <f>SUM(I731:I740)</f>
        <v>1830441405.7299998</v>
      </c>
      <c r="J730" s="154">
        <f>SUM(J731:J740)</f>
        <v>51998854.149999999</v>
      </c>
      <c r="K730" s="154">
        <f>SUM(K731:K740)</f>
        <v>1778442551.5799999</v>
      </c>
      <c r="L730" s="154">
        <f>SUM(L731:L740)</f>
        <v>0</v>
      </c>
      <c r="M730" s="154">
        <f>SUM(M731:M740)</f>
        <v>0</v>
      </c>
      <c r="N730" s="154">
        <f>SUM(N731:N741)</f>
        <v>4097440258.0499997</v>
      </c>
      <c r="O730" s="263"/>
      <c r="P730" s="294"/>
      <c r="Q730" s="134"/>
      <c r="R730" s="83"/>
      <c r="S730" s="87"/>
      <c r="T730" s="87"/>
      <c r="U730" s="87"/>
    </row>
    <row r="731" spans="1:21" s="80" customFormat="1" ht="12.75" x14ac:dyDescent="0.2">
      <c r="A731" s="265"/>
      <c r="B731" s="163"/>
      <c r="C731" s="149"/>
      <c r="D731" s="149"/>
      <c r="E731" s="149"/>
      <c r="F731" s="166" t="s">
        <v>251</v>
      </c>
      <c r="G731" s="110" t="s">
        <v>252</v>
      </c>
      <c r="H731" s="153" t="s">
        <v>94</v>
      </c>
      <c r="I731" s="151">
        <v>443689874.14999998</v>
      </c>
      <c r="J731" s="151"/>
      <c r="K731" s="151">
        <f>+I731</f>
        <v>443689874.14999998</v>
      </c>
      <c r="L731" s="151"/>
      <c r="M731" s="151"/>
      <c r="N731" s="176">
        <f>443689874.15-I731</f>
        <v>0</v>
      </c>
      <c r="O731" s="263"/>
      <c r="P731" s="294"/>
      <c r="Q731" s="134"/>
      <c r="R731" s="83"/>
    </row>
    <row r="732" spans="1:21" s="80" customFormat="1" ht="12.75" x14ac:dyDescent="0.2">
      <c r="A732" s="265"/>
      <c r="B732" s="163"/>
      <c r="C732" s="149"/>
      <c r="D732" s="149"/>
      <c r="E732" s="149"/>
      <c r="F732" s="166"/>
      <c r="G732" s="110"/>
      <c r="H732" s="153" t="s">
        <v>95</v>
      </c>
      <c r="I732" s="151">
        <v>51998854.149999999</v>
      </c>
      <c r="J732" s="151">
        <f>+I732</f>
        <v>51998854.149999999</v>
      </c>
      <c r="K732" s="151"/>
      <c r="L732" s="151"/>
      <c r="M732" s="151"/>
      <c r="N732" s="176">
        <f>300000000-I732</f>
        <v>248001145.84999999</v>
      </c>
      <c r="O732" s="263"/>
      <c r="P732" s="294"/>
      <c r="Q732" s="134"/>
      <c r="R732" s="83"/>
    </row>
    <row r="733" spans="1:21" s="80" customFormat="1" ht="12.75" x14ac:dyDescent="0.2">
      <c r="A733" s="265"/>
      <c r="B733" s="163"/>
      <c r="C733" s="149"/>
      <c r="D733" s="149"/>
      <c r="E733" s="149"/>
      <c r="F733" s="166"/>
      <c r="G733" s="110"/>
      <c r="H733" s="153"/>
      <c r="I733" s="151"/>
      <c r="J733" s="151"/>
      <c r="K733" s="151"/>
      <c r="L733" s="151"/>
      <c r="M733" s="151"/>
      <c r="N733" s="176"/>
      <c r="O733" s="263"/>
      <c r="P733" s="294"/>
      <c r="Q733" s="134"/>
      <c r="R733" s="83"/>
    </row>
    <row r="734" spans="1:21" s="80" customFormat="1" ht="12.75" x14ac:dyDescent="0.2">
      <c r="A734" s="265"/>
      <c r="B734" s="163"/>
      <c r="C734" s="149"/>
      <c r="D734" s="149"/>
      <c r="E734" s="149"/>
      <c r="F734" s="166" t="s">
        <v>253</v>
      </c>
      <c r="G734" s="110" t="s">
        <v>548</v>
      </c>
      <c r="H734" s="153" t="s">
        <v>91</v>
      </c>
      <c r="I734" s="218">
        <v>286546391.77999997</v>
      </c>
      <c r="J734" s="151"/>
      <c r="K734" s="151">
        <f>+I734</f>
        <v>286546391.77999997</v>
      </c>
      <c r="L734" s="151"/>
      <c r="M734" s="151"/>
      <c r="N734" s="220">
        <f>286546391.78-I734</f>
        <v>0</v>
      </c>
      <c r="O734" s="263"/>
      <c r="P734" s="294"/>
      <c r="Q734" s="134"/>
      <c r="R734" s="83"/>
    </row>
    <row r="735" spans="1:21" s="80" customFormat="1" ht="12.75" x14ac:dyDescent="0.2">
      <c r="A735" s="265"/>
      <c r="B735" s="163"/>
      <c r="C735" s="149"/>
      <c r="D735" s="149"/>
      <c r="E735" s="149"/>
      <c r="F735" s="166"/>
      <c r="G735" s="110"/>
      <c r="H735" s="153" t="s">
        <v>92</v>
      </c>
      <c r="I735" s="218">
        <v>141661904.07999998</v>
      </c>
      <c r="J735" s="151"/>
      <c r="K735" s="151">
        <f>+I735</f>
        <v>141661904.07999998</v>
      </c>
      <c r="L735" s="151"/>
      <c r="M735" s="151"/>
      <c r="N735" s="220">
        <f>141661904.08-I735</f>
        <v>0</v>
      </c>
      <c r="O735" s="263"/>
      <c r="P735" s="294"/>
      <c r="Q735" s="134"/>
      <c r="R735" s="83"/>
    </row>
    <row r="736" spans="1:21" s="80" customFormat="1" ht="12.75" x14ac:dyDescent="0.2">
      <c r="A736" s="265"/>
      <c r="B736" s="163"/>
      <c r="C736" s="149"/>
      <c r="D736" s="149"/>
      <c r="E736" s="149"/>
      <c r="F736" s="166"/>
      <c r="G736" s="110"/>
      <c r="H736" s="153" t="s">
        <v>94</v>
      </c>
      <c r="I736" s="218">
        <v>906023975.29999995</v>
      </c>
      <c r="J736" s="151"/>
      <c r="K736" s="151">
        <f>+I736</f>
        <v>906023975.29999995</v>
      </c>
      <c r="L736" s="151"/>
      <c r="M736" s="151"/>
      <c r="N736" s="220">
        <f>4457585590.08-I736-58000000</f>
        <v>3493561614.7799997</v>
      </c>
      <c r="O736" s="263"/>
      <c r="P736" s="294"/>
      <c r="Q736" s="134"/>
      <c r="R736" s="83"/>
    </row>
    <row r="737" spans="1:21" s="80" customFormat="1" ht="12.75" x14ac:dyDescent="0.2">
      <c r="A737" s="265"/>
      <c r="B737" s="163"/>
      <c r="C737" s="149"/>
      <c r="D737" s="149"/>
      <c r="E737" s="149"/>
      <c r="F737" s="166"/>
      <c r="G737" s="110"/>
      <c r="H737" s="153"/>
      <c r="I737" s="151"/>
      <c r="J737" s="151"/>
      <c r="K737" s="151"/>
      <c r="L737" s="151"/>
      <c r="M737" s="151"/>
      <c r="N737" s="176"/>
      <c r="O737" s="263"/>
      <c r="P737" s="294"/>
      <c r="Q737" s="134"/>
      <c r="R737" s="83"/>
    </row>
    <row r="738" spans="1:21" s="80" customFormat="1" ht="12.75" x14ac:dyDescent="0.2">
      <c r="A738" s="265"/>
      <c r="B738" s="163"/>
      <c r="C738" s="149"/>
      <c r="D738" s="149"/>
      <c r="E738" s="149"/>
      <c r="F738" s="166" t="s">
        <v>566</v>
      </c>
      <c r="G738" s="110" t="s">
        <v>549</v>
      </c>
      <c r="H738" s="153" t="s">
        <v>94</v>
      </c>
      <c r="I738" s="218">
        <v>0</v>
      </c>
      <c r="J738" s="151"/>
      <c r="K738" s="151"/>
      <c r="L738" s="151"/>
      <c r="M738" s="151"/>
      <c r="N738" s="220">
        <f>245000000-I738+58000000</f>
        <v>303000000</v>
      </c>
      <c r="O738" s="263">
        <f>303-245</f>
        <v>58</v>
      </c>
      <c r="P738" s="294"/>
      <c r="Q738" s="134"/>
      <c r="R738" s="83"/>
    </row>
    <row r="739" spans="1:21" s="80" customFormat="1" ht="12.75" x14ac:dyDescent="0.2">
      <c r="A739" s="265"/>
      <c r="B739" s="163"/>
      <c r="C739" s="149"/>
      <c r="D739" s="149"/>
      <c r="E739" s="149"/>
      <c r="F739" s="166"/>
      <c r="G739" s="110"/>
      <c r="H739" s="153"/>
      <c r="I739" s="151"/>
      <c r="J739" s="151"/>
      <c r="K739" s="151"/>
      <c r="L739" s="151"/>
      <c r="M739" s="151"/>
      <c r="N739" s="176"/>
      <c r="O739" s="263"/>
      <c r="P739" s="294"/>
      <c r="Q739" s="134"/>
      <c r="R739" s="83"/>
    </row>
    <row r="740" spans="1:21" s="80" customFormat="1" ht="12.75" x14ac:dyDescent="0.2">
      <c r="A740" s="265"/>
      <c r="B740" s="163"/>
      <c r="C740" s="149"/>
      <c r="D740" s="149"/>
      <c r="E740" s="149"/>
      <c r="F740" s="166" t="s">
        <v>567</v>
      </c>
      <c r="G740" s="110" t="s">
        <v>550</v>
      </c>
      <c r="H740" s="153" t="s">
        <v>94</v>
      </c>
      <c r="I740" s="151">
        <v>520406.27</v>
      </c>
      <c r="J740" s="151"/>
      <c r="K740" s="151">
        <f>+I740</f>
        <v>520406.27</v>
      </c>
      <c r="L740" s="151"/>
      <c r="M740" s="151"/>
      <c r="N740" s="176">
        <f>520406.27-I740</f>
        <v>0</v>
      </c>
      <c r="O740" s="263"/>
      <c r="P740" s="294"/>
      <c r="Q740" s="134"/>
      <c r="R740" s="83"/>
    </row>
    <row r="741" spans="1:21" s="80" customFormat="1" ht="12.75" x14ac:dyDescent="0.2">
      <c r="A741" s="265"/>
      <c r="B741" s="163"/>
      <c r="C741" s="149"/>
      <c r="D741" s="149"/>
      <c r="E741" s="149"/>
      <c r="F741" s="166" t="s">
        <v>539</v>
      </c>
      <c r="G741" s="110"/>
      <c r="H741" s="153"/>
      <c r="I741" s="151"/>
      <c r="J741" s="151"/>
      <c r="K741" s="151"/>
      <c r="L741" s="151"/>
      <c r="M741" s="151"/>
      <c r="N741" s="328">
        <v>52877497.420000002</v>
      </c>
      <c r="O741" s="263"/>
      <c r="P741" s="294"/>
      <c r="Q741" s="134"/>
      <c r="R741" s="83"/>
    </row>
    <row r="742" spans="1:21" s="96" customFormat="1" ht="12.75" x14ac:dyDescent="0.2">
      <c r="A742" s="268"/>
      <c r="B742" s="177"/>
      <c r="C742" s="178"/>
      <c r="D742" s="178"/>
      <c r="E742" s="178"/>
      <c r="F742" s="179"/>
      <c r="G742" s="180"/>
      <c r="H742" s="181"/>
      <c r="I742" s="182"/>
      <c r="J742" s="182"/>
      <c r="K742" s="182"/>
      <c r="L742" s="182"/>
      <c r="M742" s="182"/>
      <c r="N742" s="183"/>
      <c r="O742" s="269"/>
      <c r="P742" s="294"/>
      <c r="Q742" s="138"/>
      <c r="R742" s="317"/>
    </row>
    <row r="743" spans="1:21" s="80" customFormat="1" ht="12.75" x14ac:dyDescent="0.2">
      <c r="A743" s="265" t="s">
        <v>551</v>
      </c>
      <c r="B743" s="163" t="s">
        <v>552</v>
      </c>
      <c r="C743" s="149"/>
      <c r="D743" s="149">
        <v>164924869.22</v>
      </c>
      <c r="E743" s="149">
        <v>164924869.22</v>
      </c>
      <c r="F743" s="166"/>
      <c r="G743" s="110"/>
      <c r="H743" s="153"/>
      <c r="I743" s="154">
        <f t="shared" ref="I743:N743" si="58">SUM(I744:I746)</f>
        <v>98394975.349999994</v>
      </c>
      <c r="J743" s="154">
        <f t="shared" si="58"/>
        <v>95502275.349999994</v>
      </c>
      <c r="K743" s="154">
        <f t="shared" si="58"/>
        <v>2892700</v>
      </c>
      <c r="L743" s="154">
        <f t="shared" si="58"/>
        <v>0</v>
      </c>
      <c r="M743" s="154">
        <f t="shared" si="58"/>
        <v>0</v>
      </c>
      <c r="N743" s="154">
        <f t="shared" si="58"/>
        <v>66529893.870000005</v>
      </c>
      <c r="O743" s="263"/>
      <c r="P743" s="294"/>
      <c r="Q743" s="134"/>
      <c r="R743" s="83"/>
      <c r="S743" s="87"/>
      <c r="T743" s="87"/>
      <c r="U743" s="87"/>
    </row>
    <row r="744" spans="1:21" s="80" customFormat="1" ht="12.75" x14ac:dyDescent="0.2">
      <c r="A744" s="265"/>
      <c r="B744" s="163"/>
      <c r="C744" s="149"/>
      <c r="D744" s="149"/>
      <c r="E744" s="149"/>
      <c r="F744" s="166" t="s">
        <v>218</v>
      </c>
      <c r="G744" s="110" t="s">
        <v>217</v>
      </c>
      <c r="H744" s="153" t="s">
        <v>91</v>
      </c>
      <c r="I744" s="151">
        <f>28128234.32+57904541.03-135000-395500</f>
        <v>85502275.349999994</v>
      </c>
      <c r="J744" s="151">
        <f>+I744</f>
        <v>85502275.349999994</v>
      </c>
      <c r="K744" s="151"/>
      <c r="L744" s="151"/>
      <c r="M744" s="151"/>
      <c r="N744" s="176">
        <f>100000000+17223272.03-I744</f>
        <v>31720996.680000007</v>
      </c>
      <c r="O744" s="263"/>
      <c r="P744" s="294"/>
      <c r="Q744" s="134"/>
      <c r="R744" s="83"/>
    </row>
    <row r="745" spans="1:21" s="80" customFormat="1" ht="12.75" x14ac:dyDescent="0.2">
      <c r="A745" s="265"/>
      <c r="B745" s="163"/>
      <c r="C745" s="149"/>
      <c r="D745" s="149"/>
      <c r="E745" s="149"/>
      <c r="F745" s="166"/>
      <c r="G745" s="110"/>
      <c r="H745" s="153" t="s">
        <v>92</v>
      </c>
      <c r="I745" s="151">
        <f>8203000+9373825.9-I168</f>
        <v>9999999.9999999981</v>
      </c>
      <c r="J745" s="151">
        <f>+I745</f>
        <v>9999999.9999999981</v>
      </c>
      <c r="K745" s="151"/>
      <c r="L745" s="151"/>
      <c r="M745" s="151"/>
      <c r="N745" s="176">
        <f>10000000-I745</f>
        <v>0</v>
      </c>
      <c r="O745" s="263"/>
      <c r="P745" s="294"/>
      <c r="Q745" s="134"/>
      <c r="R745" s="83"/>
    </row>
    <row r="746" spans="1:21" s="80" customFormat="1" ht="12.75" x14ac:dyDescent="0.2">
      <c r="A746" s="265"/>
      <c r="B746" s="163"/>
      <c r="C746" s="149"/>
      <c r="D746" s="149"/>
      <c r="E746" s="149"/>
      <c r="F746" s="166"/>
      <c r="G746" s="110"/>
      <c r="H746" s="153" t="s">
        <v>94</v>
      </c>
      <c r="I746" s="151">
        <f>1500000+1392700</f>
        <v>2892700</v>
      </c>
      <c r="J746" s="151"/>
      <c r="K746" s="151">
        <f>+I746</f>
        <v>2892700</v>
      </c>
      <c r="L746" s="151"/>
      <c r="M746" s="151"/>
      <c r="N746" s="176">
        <f>37701597.19-I746</f>
        <v>34808897.189999998</v>
      </c>
      <c r="O746" s="263"/>
      <c r="P746" s="294"/>
      <c r="Q746" s="134"/>
      <c r="R746" s="83"/>
    </row>
    <row r="747" spans="1:21" s="96" customFormat="1" ht="12.75" x14ac:dyDescent="0.2">
      <c r="A747" s="268"/>
      <c r="B747" s="177"/>
      <c r="C747" s="178"/>
      <c r="D747" s="178"/>
      <c r="E747" s="178"/>
      <c r="F747" s="179"/>
      <c r="G747" s="180"/>
      <c r="H747" s="181"/>
      <c r="I747" s="182"/>
      <c r="J747" s="182"/>
      <c r="K747" s="182"/>
      <c r="L747" s="182"/>
      <c r="M747" s="182"/>
      <c r="N747" s="183"/>
      <c r="O747" s="269"/>
      <c r="P747" s="294"/>
      <c r="Q747" s="138"/>
      <c r="R747" s="317"/>
    </row>
    <row r="748" spans="1:21" s="80" customFormat="1" ht="12.75" x14ac:dyDescent="0.2">
      <c r="A748" s="265" t="s">
        <v>553</v>
      </c>
      <c r="B748" s="163" t="s">
        <v>554</v>
      </c>
      <c r="C748" s="149"/>
      <c r="D748" s="149">
        <f>+'[4]Origen y Aplicación Extra 2'!$C$528+'[4]Origen y Aplicación Extra 1'!$C$515</f>
        <v>775479620.20000005</v>
      </c>
      <c r="E748" s="149">
        <v>775480110.02999997</v>
      </c>
      <c r="F748" s="166"/>
      <c r="G748" s="110"/>
      <c r="H748" s="153"/>
      <c r="I748" s="154">
        <f t="shared" ref="I748:N748" si="59">SUM(I749:I756)</f>
        <v>754479620.19999993</v>
      </c>
      <c r="J748" s="154">
        <f t="shared" si="59"/>
        <v>631041194.14999998</v>
      </c>
      <c r="K748" s="154">
        <f t="shared" si="59"/>
        <v>123438426.05</v>
      </c>
      <c r="L748" s="154">
        <f t="shared" si="59"/>
        <v>0</v>
      </c>
      <c r="M748" s="154">
        <f t="shared" si="59"/>
        <v>0</v>
      </c>
      <c r="N748" s="154">
        <f t="shared" si="59"/>
        <v>21000489.829999924</v>
      </c>
      <c r="O748" s="263"/>
      <c r="P748" s="294"/>
      <c r="Q748" s="134"/>
      <c r="R748" s="83"/>
      <c r="S748" s="87"/>
      <c r="T748" s="87"/>
      <c r="U748" s="87"/>
    </row>
    <row r="749" spans="1:21" s="80" customFormat="1" ht="12.75" x14ac:dyDescent="0.2">
      <c r="A749" s="265"/>
      <c r="B749" s="163"/>
      <c r="C749" s="149"/>
      <c r="D749" s="149"/>
      <c r="E749" s="149"/>
      <c r="F749" s="166" t="s">
        <v>261</v>
      </c>
      <c r="G749" s="110" t="s">
        <v>299</v>
      </c>
      <c r="H749" s="153" t="s">
        <v>91</v>
      </c>
      <c r="I749" s="252">
        <v>2410952.5</v>
      </c>
      <c r="J749" s="151">
        <f>+I749</f>
        <v>2410952.5</v>
      </c>
      <c r="K749" s="151"/>
      <c r="L749" s="151"/>
      <c r="M749" s="151"/>
      <c r="N749" s="328"/>
      <c r="O749" s="263"/>
      <c r="P749" s="294"/>
      <c r="Q749" s="134"/>
      <c r="R749" s="83"/>
    </row>
    <row r="750" spans="1:21" s="80" customFormat="1" ht="12.75" x14ac:dyDescent="0.2">
      <c r="A750" s="265"/>
      <c r="B750" s="163"/>
      <c r="C750" s="149"/>
      <c r="D750" s="149"/>
      <c r="E750" s="149"/>
      <c r="F750" s="166"/>
      <c r="G750" s="110"/>
      <c r="H750" s="153"/>
      <c r="I750" s="151"/>
      <c r="J750" s="151"/>
      <c r="K750" s="151"/>
      <c r="L750" s="151"/>
      <c r="M750" s="151"/>
      <c r="N750" s="328"/>
      <c r="O750" s="263"/>
      <c r="P750" s="294"/>
      <c r="Q750" s="134"/>
      <c r="R750" s="83"/>
    </row>
    <row r="751" spans="1:21" s="80" customFormat="1" ht="25.5" x14ac:dyDescent="0.2">
      <c r="A751" s="265"/>
      <c r="B751" s="163"/>
      <c r="C751" s="149"/>
      <c r="D751" s="149"/>
      <c r="E751" s="149"/>
      <c r="F751" s="166" t="s">
        <v>263</v>
      </c>
      <c r="G751" s="110" t="s">
        <v>555</v>
      </c>
      <c r="H751" s="153" t="s">
        <v>91</v>
      </c>
      <c r="I751" s="151">
        <v>507886114.01999998</v>
      </c>
      <c r="J751" s="151">
        <f>+I751</f>
        <v>507886114.01999998</v>
      </c>
      <c r="K751" s="151"/>
      <c r="L751" s="151"/>
      <c r="M751" s="151"/>
      <c r="N751" s="328"/>
      <c r="O751" s="263"/>
      <c r="P751" s="294"/>
      <c r="Q751" s="134"/>
      <c r="R751" s="83"/>
    </row>
    <row r="752" spans="1:21" s="80" customFormat="1" ht="12.75" x14ac:dyDescent="0.2">
      <c r="A752" s="265"/>
      <c r="B752" s="163"/>
      <c r="C752" s="149"/>
      <c r="D752" s="149"/>
      <c r="E752" s="149"/>
      <c r="F752" s="166"/>
      <c r="G752" s="110"/>
      <c r="H752" s="153" t="s">
        <v>92</v>
      </c>
      <c r="I752" s="151">
        <v>120744127.63</v>
      </c>
      <c r="J752" s="151">
        <f>+I752</f>
        <v>120744127.63</v>
      </c>
      <c r="K752" s="151"/>
      <c r="L752" s="151"/>
      <c r="M752" s="151"/>
      <c r="N752" s="328"/>
      <c r="O752" s="263"/>
      <c r="P752" s="294"/>
      <c r="Q752" s="134"/>
      <c r="R752" s="83"/>
    </row>
    <row r="753" spans="1:21" s="80" customFormat="1" ht="12.75" x14ac:dyDescent="0.2">
      <c r="A753" s="265"/>
      <c r="B753" s="163"/>
      <c r="C753" s="149"/>
      <c r="D753" s="149"/>
      <c r="E753" s="149"/>
      <c r="F753" s="166"/>
      <c r="G753" s="110"/>
      <c r="H753" s="153" t="s">
        <v>94</v>
      </c>
      <c r="I753" s="151">
        <v>60018559.049999997</v>
      </c>
      <c r="J753" s="151"/>
      <c r="K753" s="151">
        <f>+I753</f>
        <v>60018559.049999997</v>
      </c>
      <c r="L753" s="151"/>
      <c r="M753" s="151"/>
      <c r="N753" s="220">
        <f>23018559.05+58000000-I753</f>
        <v>21000000</v>
      </c>
      <c r="O753" s="263"/>
      <c r="P753" s="294"/>
      <c r="Q753" s="134"/>
      <c r="R753" s="83"/>
    </row>
    <row r="754" spans="1:21" s="80" customFormat="1" ht="12.75" x14ac:dyDescent="0.2">
      <c r="A754" s="265"/>
      <c r="B754" s="163"/>
      <c r="C754" s="149"/>
      <c r="D754" s="149"/>
      <c r="E754" s="149"/>
      <c r="F754" s="166"/>
      <c r="G754" s="110"/>
      <c r="H754" s="153"/>
      <c r="I754" s="151"/>
      <c r="J754" s="151"/>
      <c r="K754" s="151"/>
      <c r="L754" s="151"/>
      <c r="M754" s="151"/>
      <c r="N754" s="328"/>
      <c r="O754" s="263"/>
      <c r="P754" s="294"/>
      <c r="Q754" s="134"/>
      <c r="R754" s="83"/>
    </row>
    <row r="755" spans="1:21" s="80" customFormat="1" ht="12.75" x14ac:dyDescent="0.2">
      <c r="A755" s="265"/>
      <c r="B755" s="163"/>
      <c r="C755" s="149"/>
      <c r="D755" s="149"/>
      <c r="E755" s="149"/>
      <c r="F755" s="166" t="s">
        <v>556</v>
      </c>
      <c r="G755" s="251" t="s">
        <v>557</v>
      </c>
      <c r="H755" s="153" t="s">
        <v>94</v>
      </c>
      <c r="I755" s="218">
        <v>63419867</v>
      </c>
      <c r="J755" s="151"/>
      <c r="K755" s="151">
        <f>+I755</f>
        <v>63419867</v>
      </c>
      <c r="L755" s="151"/>
      <c r="M755" s="151"/>
      <c r="N755" s="328"/>
      <c r="O755" s="263"/>
      <c r="P755" s="294"/>
      <c r="Q755" s="134"/>
      <c r="R755" s="83"/>
    </row>
    <row r="756" spans="1:21" s="80" customFormat="1" ht="12.75" x14ac:dyDescent="0.2">
      <c r="A756" s="265"/>
      <c r="B756" s="163"/>
      <c r="C756" s="149"/>
      <c r="D756" s="149"/>
      <c r="E756" s="149"/>
      <c r="F756" s="166" t="s">
        <v>558</v>
      </c>
      <c r="G756" s="110"/>
      <c r="H756" s="153"/>
      <c r="I756" s="151"/>
      <c r="J756" s="151"/>
      <c r="K756" s="151"/>
      <c r="L756" s="151"/>
      <c r="M756" s="151"/>
      <c r="N756" s="328">
        <f>+E748-D748</f>
        <v>489.82999992370605</v>
      </c>
      <c r="O756" s="263"/>
      <c r="P756" s="294"/>
      <c r="Q756" s="134"/>
      <c r="R756" s="83"/>
    </row>
    <row r="757" spans="1:21" s="96" customFormat="1" ht="12.75" x14ac:dyDescent="0.2">
      <c r="A757" s="268"/>
      <c r="B757" s="177"/>
      <c r="C757" s="178"/>
      <c r="D757" s="178"/>
      <c r="E757" s="178"/>
      <c r="F757" s="179"/>
      <c r="G757" s="180"/>
      <c r="H757" s="181"/>
      <c r="I757" s="182"/>
      <c r="J757" s="182"/>
      <c r="K757" s="182"/>
      <c r="L757" s="182"/>
      <c r="M757" s="182"/>
      <c r="N757" s="183"/>
      <c r="O757" s="269"/>
      <c r="P757" s="294"/>
      <c r="Q757" s="138"/>
      <c r="R757" s="317"/>
    </row>
    <row r="758" spans="1:21" s="80" customFormat="1" ht="12.75" x14ac:dyDescent="0.2">
      <c r="A758" s="265" t="s">
        <v>559</v>
      </c>
      <c r="B758" s="163" t="s">
        <v>560</v>
      </c>
      <c r="C758" s="149"/>
      <c r="D758" s="149">
        <f>+'[4]Origen y Aplicación Extra 1'!$C$788+'[4]Origen y Aplicación Extra 2'!$C$799</f>
        <v>475710081.33000004</v>
      </c>
      <c r="E758" s="149">
        <v>641988315.5</v>
      </c>
      <c r="F758" s="166"/>
      <c r="G758" s="110"/>
      <c r="H758" s="153"/>
      <c r="I758" s="154">
        <f>SUM(I759:I766)</f>
        <v>199105185.92000002</v>
      </c>
      <c r="J758" s="154">
        <f>SUM(J759:J766)</f>
        <v>161865389.06</v>
      </c>
      <c r="K758" s="154">
        <f>SUM(K759:K766)</f>
        <v>37239796.859999999</v>
      </c>
      <c r="L758" s="154">
        <f>SUM(L759:L766)</f>
        <v>0</v>
      </c>
      <c r="M758" s="154">
        <f>SUM(M759:M766)</f>
        <v>0</v>
      </c>
      <c r="N758" s="154">
        <f>SUM(N759:N767)</f>
        <v>442883129.57999998</v>
      </c>
      <c r="O758" s="263"/>
      <c r="P758" s="294"/>
      <c r="Q758" s="134"/>
      <c r="R758" s="83"/>
      <c r="S758" s="87"/>
      <c r="T758" s="87"/>
      <c r="U758" s="87"/>
    </row>
    <row r="759" spans="1:21" s="80" customFormat="1" ht="12.75" x14ac:dyDescent="0.2">
      <c r="A759" s="265"/>
      <c r="B759" s="163"/>
      <c r="C759" s="149"/>
      <c r="D759" s="149"/>
      <c r="E759" s="149"/>
      <c r="F759" s="166" t="s">
        <v>182</v>
      </c>
      <c r="G759" s="110" t="s">
        <v>300</v>
      </c>
      <c r="H759" s="153" t="s">
        <v>91</v>
      </c>
      <c r="I759" s="151">
        <v>77791138.960000008</v>
      </c>
      <c r="J759" s="151">
        <f>+I759</f>
        <v>77791138.960000008</v>
      </c>
      <c r="K759" s="151"/>
      <c r="L759" s="151"/>
      <c r="M759" s="151"/>
      <c r="N759" s="176">
        <f>77791138.96-I759</f>
        <v>0</v>
      </c>
      <c r="O759" s="263"/>
      <c r="P759" s="294"/>
      <c r="Q759" s="134"/>
      <c r="R759" s="83"/>
    </row>
    <row r="760" spans="1:21" s="80" customFormat="1" ht="12.75" x14ac:dyDescent="0.2">
      <c r="A760" s="265"/>
      <c r="B760" s="163"/>
      <c r="C760" s="149"/>
      <c r="D760" s="149"/>
      <c r="E760" s="149"/>
      <c r="F760" s="166"/>
      <c r="G760" s="110"/>
      <c r="H760" s="153" t="s">
        <v>92</v>
      </c>
      <c r="I760" s="151">
        <f>91074250.1-7000000</f>
        <v>84074250.099999994</v>
      </c>
      <c r="J760" s="151">
        <f>+I760</f>
        <v>84074250.099999994</v>
      </c>
      <c r="K760" s="151"/>
      <c r="L760" s="151"/>
      <c r="M760" s="151"/>
      <c r="N760" s="176">
        <f>84074250.1-I760</f>
        <v>0</v>
      </c>
      <c r="O760" s="263"/>
      <c r="P760" s="294"/>
      <c r="Q760" s="134"/>
      <c r="R760" s="83"/>
    </row>
    <row r="761" spans="1:21" s="80" customFormat="1" ht="12.75" x14ac:dyDescent="0.2">
      <c r="A761" s="265"/>
      <c r="B761" s="163"/>
      <c r="C761" s="149"/>
      <c r="D761" s="149"/>
      <c r="E761" s="149"/>
      <c r="F761" s="166"/>
      <c r="G761" s="110"/>
      <c r="H761" s="153" t="s">
        <v>94</v>
      </c>
      <c r="I761" s="151">
        <v>30239796.859999999</v>
      </c>
      <c r="J761" s="151"/>
      <c r="K761" s="151">
        <f>+I761</f>
        <v>30239796.859999999</v>
      </c>
      <c r="L761" s="151"/>
      <c r="M761" s="151"/>
      <c r="N761" s="176">
        <f>209934982.27-I761</f>
        <v>179695185.41000003</v>
      </c>
      <c r="O761" s="263"/>
      <c r="P761" s="294"/>
      <c r="Q761" s="134"/>
      <c r="R761" s="83"/>
    </row>
    <row r="762" spans="1:21" s="80" customFormat="1" ht="12.75" x14ac:dyDescent="0.2">
      <c r="A762" s="265"/>
      <c r="B762" s="163"/>
      <c r="C762" s="149"/>
      <c r="D762" s="149"/>
      <c r="E762" s="149"/>
      <c r="F762" s="166"/>
      <c r="G762" s="110"/>
      <c r="H762" s="153"/>
      <c r="I762" s="151"/>
      <c r="J762" s="151"/>
      <c r="K762" s="151"/>
      <c r="L762" s="151"/>
      <c r="M762" s="151"/>
      <c r="N762" s="176"/>
      <c r="O762" s="263"/>
      <c r="P762" s="294"/>
      <c r="Q762" s="134"/>
      <c r="R762" s="83"/>
    </row>
    <row r="763" spans="1:21" s="80" customFormat="1" ht="25.5" x14ac:dyDescent="0.2">
      <c r="A763" s="265"/>
      <c r="B763" s="163"/>
      <c r="C763" s="149"/>
      <c r="D763" s="149"/>
      <c r="E763" s="149"/>
      <c r="F763" s="166" t="s">
        <v>408</v>
      </c>
      <c r="G763" s="110" t="s">
        <v>561</v>
      </c>
      <c r="H763" s="153" t="s">
        <v>94</v>
      </c>
      <c r="I763" s="151">
        <v>0</v>
      </c>
      <c r="J763" s="151"/>
      <c r="K763" s="151"/>
      <c r="L763" s="151"/>
      <c r="M763" s="151"/>
      <c r="N763" s="176">
        <f>96909710-I763</f>
        <v>96909710</v>
      </c>
      <c r="O763" s="263"/>
      <c r="P763" s="294"/>
      <c r="Q763" s="134"/>
      <c r="R763" s="83"/>
    </row>
    <row r="764" spans="1:21" s="80" customFormat="1" ht="12.75" x14ac:dyDescent="0.2">
      <c r="A764" s="265"/>
      <c r="B764" s="163"/>
      <c r="C764" s="149"/>
      <c r="D764" s="149"/>
      <c r="E764" s="149"/>
      <c r="F764" s="166"/>
      <c r="G764" s="110"/>
      <c r="H764" s="153"/>
      <c r="I764" s="151"/>
      <c r="J764" s="151"/>
      <c r="K764" s="151"/>
      <c r="L764" s="151"/>
      <c r="M764" s="151"/>
      <c r="N764" s="328"/>
      <c r="O764" s="263"/>
      <c r="P764" s="294"/>
      <c r="Q764" s="134"/>
      <c r="R764" s="83"/>
    </row>
    <row r="765" spans="1:21" s="80" customFormat="1" ht="25.5" x14ac:dyDescent="0.2">
      <c r="A765" s="265"/>
      <c r="B765" s="163"/>
      <c r="C765" s="149"/>
      <c r="D765" s="149"/>
      <c r="E765" s="149"/>
      <c r="F765" s="166" t="s">
        <v>148</v>
      </c>
      <c r="G765" s="110" t="s">
        <v>490</v>
      </c>
      <c r="H765" s="153" t="s">
        <v>94</v>
      </c>
      <c r="I765" s="151">
        <v>7000000</v>
      </c>
      <c r="J765" s="151"/>
      <c r="K765" s="151">
        <f>+I765</f>
        <v>7000000</v>
      </c>
      <c r="L765" s="151"/>
      <c r="M765" s="151"/>
      <c r="N765" s="176">
        <f>7000000-I765</f>
        <v>0</v>
      </c>
      <c r="O765" s="263"/>
      <c r="P765" s="294"/>
      <c r="Q765" s="134"/>
      <c r="R765" s="83"/>
    </row>
    <row r="766" spans="1:21" s="80" customFormat="1" ht="12.75" x14ac:dyDescent="0.2">
      <c r="A766" s="265"/>
      <c r="B766" s="163"/>
      <c r="C766" s="149"/>
      <c r="D766" s="149"/>
      <c r="E766" s="149"/>
      <c r="F766" s="166"/>
      <c r="G766" s="110"/>
      <c r="H766" s="153"/>
      <c r="I766" s="151"/>
      <c r="J766" s="151"/>
      <c r="K766" s="151"/>
      <c r="L766" s="151"/>
      <c r="M766" s="151"/>
      <c r="N766" s="328"/>
      <c r="O766" s="263"/>
      <c r="P766" s="294"/>
      <c r="Q766" s="134"/>
      <c r="R766" s="83"/>
    </row>
    <row r="767" spans="1:21" s="80" customFormat="1" ht="12.75" x14ac:dyDescent="0.2">
      <c r="A767" s="265"/>
      <c r="B767" s="163"/>
      <c r="C767" s="149"/>
      <c r="D767" s="149"/>
      <c r="E767" s="149"/>
      <c r="F767" s="166" t="s">
        <v>558</v>
      </c>
      <c r="G767" s="110"/>
      <c r="H767" s="153"/>
      <c r="I767" s="151"/>
      <c r="J767" s="151"/>
      <c r="K767" s="151"/>
      <c r="L767" s="151"/>
      <c r="M767" s="151"/>
      <c r="N767" s="328">
        <v>166278234.16999996</v>
      </c>
      <c r="O767" s="263"/>
      <c r="P767" s="294"/>
      <c r="Q767" s="134"/>
      <c r="R767" s="83"/>
    </row>
    <row r="768" spans="1:21" s="96" customFormat="1" ht="12.75" x14ac:dyDescent="0.2">
      <c r="A768" s="268"/>
      <c r="B768" s="177"/>
      <c r="C768" s="178"/>
      <c r="D768" s="178"/>
      <c r="E768" s="178"/>
      <c r="F768" s="179"/>
      <c r="G768" s="180"/>
      <c r="H768" s="181"/>
      <c r="I768" s="182"/>
      <c r="J768" s="182"/>
      <c r="K768" s="182"/>
      <c r="L768" s="182"/>
      <c r="M768" s="182"/>
      <c r="N768" s="183"/>
      <c r="O768" s="269"/>
      <c r="P768" s="294"/>
      <c r="Q768" s="138"/>
      <c r="R768" s="317"/>
    </row>
    <row r="769" spans="1:21" s="103" customFormat="1" ht="12.75" x14ac:dyDescent="0.2">
      <c r="A769" s="278"/>
      <c r="B769" s="226"/>
      <c r="C769" s="227"/>
      <c r="D769" s="227"/>
      <c r="E769" s="227"/>
      <c r="F769" s="228"/>
      <c r="G769" s="229"/>
      <c r="H769" s="230"/>
      <c r="I769" s="231"/>
      <c r="J769" s="231"/>
      <c r="K769" s="231"/>
      <c r="L769" s="231"/>
      <c r="M769" s="231"/>
      <c r="N769" s="231"/>
      <c r="O769" s="279"/>
      <c r="P769" s="294"/>
      <c r="Q769" s="139"/>
      <c r="R769" s="318"/>
    </row>
    <row r="770" spans="1:21" s="104" customFormat="1" ht="12.75" x14ac:dyDescent="0.2">
      <c r="A770" s="280" t="s">
        <v>336</v>
      </c>
      <c r="B770" s="232"/>
      <c r="C770" s="233"/>
      <c r="D770" s="233">
        <f>+D369</f>
        <v>8344310097.5199995</v>
      </c>
      <c r="E770" s="233">
        <f>+E369</f>
        <v>10553651041.200001</v>
      </c>
      <c r="F770" s="234"/>
      <c r="G770" s="235"/>
      <c r="H770" s="236"/>
      <c r="I770" s="233">
        <f t="shared" ref="I770:N770" si="60">+I369</f>
        <v>5291528784.9299994</v>
      </c>
      <c r="J770" s="233">
        <f t="shared" si="60"/>
        <v>382185557.81</v>
      </c>
      <c r="K770" s="233">
        <f t="shared" si="60"/>
        <v>4909343227.1199999</v>
      </c>
      <c r="L770" s="233">
        <f t="shared" si="60"/>
        <v>0</v>
      </c>
      <c r="M770" s="233">
        <f t="shared" si="60"/>
        <v>0</v>
      </c>
      <c r="N770" s="233">
        <f t="shared" si="60"/>
        <v>5262122256.2700005</v>
      </c>
      <c r="O770" s="281"/>
      <c r="P770" s="294"/>
      <c r="Q770" s="142"/>
      <c r="R770" s="319"/>
      <c r="S770" s="117"/>
      <c r="T770" s="117"/>
      <c r="U770" s="117"/>
    </row>
    <row r="771" spans="1:21" s="106" customFormat="1" ht="12.75" x14ac:dyDescent="0.2">
      <c r="A771" s="282" t="s">
        <v>337</v>
      </c>
      <c r="B771" s="237"/>
      <c r="C771" s="238"/>
      <c r="D771" s="238">
        <f>+D758+D748+D743+D730+D724+D716+D709+D706+D703+D700+D697+D694+D691+D688+D685+D514+D511+D505+D501+D498+D495+D492+D489+D486+D482+D479+D476+D473+D470+D467</f>
        <v>24438112276.910004</v>
      </c>
      <c r="E771" s="238">
        <f>+E758+E748+E743+E730+E724+E716+E709+E706+E703+E700+E697+E694+E691+E688+E685+E514+E511+E505+E501+E498+E495+E492+E489+E486+E482+E479+E476+E473+E470+E467</f>
        <v>24994702787.950005</v>
      </c>
      <c r="F771" s="239"/>
      <c r="G771" s="240"/>
      <c r="H771" s="186"/>
      <c r="I771" s="238">
        <f t="shared" ref="I771:N771" si="61">+I758+I748+I743+I730+I724+I716+I709+I706+I703+I700+I697+I694+I691+I688+I685+I514+I511+I505+I501+I498+I495+I492+I489+I486+I482+I479+I476+I473+I470+I467</f>
        <v>14368179171.089998</v>
      </c>
      <c r="J771" s="238">
        <f t="shared" si="61"/>
        <v>6135113394.04</v>
      </c>
      <c r="K771" s="238">
        <f t="shared" si="61"/>
        <v>8233065777.0500011</v>
      </c>
      <c r="L771" s="238">
        <f t="shared" si="61"/>
        <v>0</v>
      </c>
      <c r="M771" s="238">
        <f t="shared" si="61"/>
        <v>0</v>
      </c>
      <c r="N771" s="238">
        <f t="shared" si="61"/>
        <v>10626523616.860001</v>
      </c>
      <c r="O771" s="283"/>
      <c r="P771" s="302"/>
      <c r="Q771" s="141"/>
      <c r="R771" s="105"/>
      <c r="S771" s="105"/>
      <c r="T771" s="105"/>
      <c r="U771" s="105"/>
    </row>
    <row r="772" spans="1:21" s="114" customFormat="1" ht="12.75" x14ac:dyDescent="0.2">
      <c r="A772" s="265" t="s">
        <v>338</v>
      </c>
      <c r="B772" s="149">
        <f>SUM(D369:D768)</f>
        <v>32782422374.430004</v>
      </c>
      <c r="C772" s="149"/>
      <c r="D772" s="149">
        <f>+D770+D771</f>
        <v>32782422374.430004</v>
      </c>
      <c r="E772" s="149">
        <f>+E770+E771</f>
        <v>35548353829.150009</v>
      </c>
      <c r="F772" s="241"/>
      <c r="G772" s="110"/>
      <c r="H772" s="153"/>
      <c r="I772" s="149">
        <f t="shared" ref="I772:N772" si="62">SUM(I770:I771)</f>
        <v>19659707956.019997</v>
      </c>
      <c r="J772" s="149">
        <f t="shared" si="62"/>
        <v>6517298951.8500004</v>
      </c>
      <c r="K772" s="149">
        <f t="shared" si="62"/>
        <v>13142409004.170002</v>
      </c>
      <c r="L772" s="149">
        <f t="shared" si="62"/>
        <v>0</v>
      </c>
      <c r="M772" s="149">
        <f t="shared" si="62"/>
        <v>0</v>
      </c>
      <c r="N772" s="149">
        <f t="shared" si="62"/>
        <v>15888645873.130001</v>
      </c>
      <c r="O772" s="263"/>
      <c r="P772" s="294"/>
      <c r="Q772" s="134"/>
      <c r="R772" s="83"/>
      <c r="S772" s="87"/>
      <c r="T772" s="87"/>
      <c r="U772" s="87"/>
    </row>
    <row r="773" spans="1:21" s="114" customFormat="1" ht="13.5" thickBot="1" x14ac:dyDescent="0.25">
      <c r="A773" s="287"/>
      <c r="B773" s="288"/>
      <c r="C773" s="289"/>
      <c r="D773" s="149">
        <f>+D772+D364</f>
        <v>61513615569.690002</v>
      </c>
      <c r="E773" s="149">
        <f>+E772+E364</f>
        <v>73823285655.180008</v>
      </c>
      <c r="G773" s="290"/>
      <c r="H773" s="291"/>
      <c r="I773" s="292">
        <f t="shared" ref="I773:N773" si="63">+I772+I364</f>
        <v>37563799424.298004</v>
      </c>
      <c r="J773" s="292">
        <f t="shared" si="63"/>
        <v>21162174228.718002</v>
      </c>
      <c r="K773" s="292">
        <f t="shared" si="63"/>
        <v>15919260909.590002</v>
      </c>
      <c r="L773" s="292">
        <f t="shared" si="63"/>
        <v>482364285.99000001</v>
      </c>
      <c r="M773" s="292">
        <f t="shared" si="63"/>
        <v>0</v>
      </c>
      <c r="N773" s="292">
        <f t="shared" si="63"/>
        <v>35915612866.506836</v>
      </c>
      <c r="O773" s="293"/>
      <c r="P773" s="294"/>
      <c r="Q773" s="134"/>
      <c r="R773" s="83"/>
    </row>
    <row r="774" spans="1:21" s="96" customFormat="1" ht="12.75" x14ac:dyDescent="0.2">
      <c r="A774" s="268" t="s">
        <v>635</v>
      </c>
      <c r="B774" s="177"/>
      <c r="C774" s="178"/>
      <c r="D774" s="178"/>
      <c r="E774" s="178"/>
      <c r="F774" s="179"/>
      <c r="G774" s="180"/>
      <c r="H774" s="181"/>
      <c r="I774" s="182"/>
      <c r="J774" s="182"/>
      <c r="K774" s="182"/>
      <c r="L774" s="182"/>
      <c r="M774" s="182"/>
      <c r="N774" s="183"/>
      <c r="O774" s="269"/>
      <c r="P774" s="294"/>
      <c r="Q774" s="138"/>
      <c r="R774" s="317"/>
    </row>
    <row r="775" spans="1:21" s="113" customFormat="1" ht="12.75" x14ac:dyDescent="0.2">
      <c r="A775" s="266"/>
      <c r="B775" s="171" t="s">
        <v>636</v>
      </c>
      <c r="C775" s="172"/>
      <c r="D775" s="172"/>
      <c r="E775" s="172">
        <v>-65940095</v>
      </c>
      <c r="F775" s="173"/>
      <c r="H775" s="329"/>
      <c r="J775" s="176"/>
      <c r="K775" s="176"/>
      <c r="L775" s="176"/>
      <c r="M775" s="176"/>
      <c r="N775" s="172">
        <v>-65940095</v>
      </c>
      <c r="O775" s="267"/>
      <c r="P775" s="294"/>
      <c r="Q775" s="137"/>
      <c r="R775" s="316"/>
    </row>
    <row r="776" spans="1:21" s="113" customFormat="1" ht="12.75" x14ac:dyDescent="0.2">
      <c r="A776" s="266"/>
      <c r="B776" s="171" t="s">
        <v>637</v>
      </c>
      <c r="C776" s="172"/>
      <c r="D776" s="172"/>
      <c r="E776" s="172">
        <v>2000</v>
      </c>
      <c r="F776" s="173"/>
      <c r="H776" s="175"/>
      <c r="J776" s="176"/>
      <c r="K776" s="176"/>
      <c r="L776" s="176"/>
      <c r="M776" s="176"/>
      <c r="N776" s="172">
        <v>2000</v>
      </c>
      <c r="O776" s="267"/>
      <c r="P776" s="294"/>
      <c r="Q776" s="137"/>
      <c r="R776" s="316"/>
    </row>
    <row r="777" spans="1:21" s="113" customFormat="1" ht="12.75" x14ac:dyDescent="0.2">
      <c r="A777" s="266"/>
      <c r="B777" s="171" t="s">
        <v>638</v>
      </c>
      <c r="C777" s="172"/>
      <c r="D777" s="172"/>
      <c r="E777" s="172">
        <v>183400.04</v>
      </c>
      <c r="F777" s="173"/>
      <c r="H777" s="175"/>
      <c r="J777" s="176"/>
      <c r="K777" s="176"/>
      <c r="L777" s="176"/>
      <c r="M777" s="176"/>
      <c r="N777" s="172">
        <v>183400.04</v>
      </c>
      <c r="O777" s="267"/>
      <c r="P777" s="294"/>
      <c r="Q777" s="137"/>
      <c r="R777" s="316"/>
    </row>
    <row r="778" spans="1:21" s="113" customFormat="1" ht="12.75" x14ac:dyDescent="0.2">
      <c r="A778" s="266"/>
      <c r="B778" s="171"/>
      <c r="C778" s="172"/>
      <c r="D778" s="172"/>
      <c r="E778" s="172"/>
      <c r="F778" s="173"/>
      <c r="G778" s="174"/>
      <c r="H778" s="175"/>
      <c r="I778" s="176"/>
      <c r="J778" s="176"/>
      <c r="K778" s="176"/>
      <c r="L778" s="176"/>
      <c r="M778" s="176"/>
      <c r="N778" s="176">
        <v>-254575736.97999999</v>
      </c>
      <c r="O778" s="267"/>
      <c r="P778" s="294"/>
      <c r="Q778" s="137"/>
      <c r="R778" s="316"/>
    </row>
    <row r="779" spans="1:21" s="113" customFormat="1" ht="12.75" x14ac:dyDescent="0.2">
      <c r="A779" s="266"/>
      <c r="B779" s="171"/>
      <c r="C779" s="172"/>
      <c r="D779" s="172"/>
      <c r="E779" s="172"/>
      <c r="F779" s="173"/>
      <c r="G779" s="174" t="s">
        <v>440</v>
      </c>
      <c r="H779" s="175"/>
      <c r="I779" s="176"/>
      <c r="J779" s="176"/>
      <c r="K779" s="176"/>
      <c r="L779" s="176"/>
      <c r="M779" s="176"/>
      <c r="N779" s="176">
        <f>+N282+N283</f>
        <v>632114429.25</v>
      </c>
      <c r="O779" s="267"/>
      <c r="P779" s="294"/>
      <c r="Q779" s="137"/>
      <c r="R779" s="316"/>
    </row>
    <row r="780" spans="1:21" s="113" customFormat="1" ht="12.75" x14ac:dyDescent="0.2">
      <c r="A780" s="266"/>
      <c r="B780" s="171"/>
      <c r="C780" s="172"/>
      <c r="D780" s="172"/>
      <c r="E780" s="172"/>
      <c r="F780" s="173"/>
      <c r="G780" s="174" t="s">
        <v>640</v>
      </c>
      <c r="H780" s="175"/>
      <c r="I780" s="176"/>
      <c r="J780" s="176"/>
      <c r="K780" s="176"/>
      <c r="L780" s="176"/>
      <c r="M780" s="176"/>
      <c r="N780" s="176">
        <v>-215604972.13999999</v>
      </c>
      <c r="O780" s="267"/>
      <c r="P780" s="294"/>
      <c r="Q780" s="137"/>
      <c r="R780" s="316"/>
    </row>
    <row r="781" spans="1:21" s="113" customFormat="1" ht="12.75" x14ac:dyDescent="0.2">
      <c r="A781" s="266"/>
      <c r="B781" s="171"/>
      <c r="C781" s="172"/>
      <c r="D781" s="172"/>
      <c r="E781" s="172"/>
      <c r="F781" s="173"/>
      <c r="G781" s="174" t="s">
        <v>641</v>
      </c>
      <c r="H781" s="175"/>
      <c r="I781" s="176"/>
      <c r="J781" s="176"/>
      <c r="K781" s="176"/>
      <c r="L781" s="176"/>
      <c r="M781" s="176"/>
      <c r="N781" s="176">
        <v>189452895.25</v>
      </c>
      <c r="O781" s="267"/>
      <c r="P781" s="294"/>
      <c r="Q781" s="137"/>
      <c r="R781" s="316"/>
    </row>
    <row r="782" spans="1:21" s="113" customFormat="1" ht="12.75" x14ac:dyDescent="0.2">
      <c r="A782" s="266"/>
      <c r="B782" s="171"/>
      <c r="C782" s="172"/>
      <c r="D782" s="172"/>
      <c r="E782" s="172"/>
      <c r="F782" s="173"/>
      <c r="G782" s="171" t="s">
        <v>639</v>
      </c>
      <c r="H782" s="175"/>
      <c r="I782" s="176"/>
      <c r="J782" s="176"/>
      <c r="K782" s="176"/>
      <c r="L782" s="176"/>
      <c r="M782" s="176"/>
      <c r="N782" s="328">
        <v>29827.4</v>
      </c>
      <c r="O782" s="267"/>
      <c r="P782" s="294"/>
      <c r="Q782" s="137"/>
      <c r="R782" s="316"/>
    </row>
    <row r="783" spans="1:21" s="113" customFormat="1" ht="12.75" x14ac:dyDescent="0.2">
      <c r="A783" s="266"/>
      <c r="B783" s="171"/>
      <c r="C783" s="172"/>
      <c r="D783" s="172"/>
      <c r="E783" s="172"/>
      <c r="F783" s="173"/>
      <c r="G783" s="171" t="s">
        <v>639</v>
      </c>
      <c r="H783" s="175"/>
      <c r="I783" s="176"/>
      <c r="J783" s="176"/>
      <c r="K783" s="176"/>
      <c r="L783" s="176"/>
      <c r="M783" s="176"/>
      <c r="N783" s="328"/>
      <c r="O783" s="267"/>
      <c r="P783" s="294"/>
      <c r="Q783" s="137"/>
      <c r="R783" s="316"/>
    </row>
    <row r="784" spans="1:21" s="104" customFormat="1" ht="12.75" x14ac:dyDescent="0.2">
      <c r="A784" s="280"/>
      <c r="B784" s="232"/>
      <c r="C784" s="233"/>
      <c r="D784" s="233"/>
      <c r="E784" s="233">
        <f>SUM(E775:E778)</f>
        <v>-65754694.960000001</v>
      </c>
      <c r="F784" s="234"/>
      <c r="G784" s="235"/>
      <c r="H784" s="236"/>
      <c r="I784" s="233">
        <f>SUM(I775:I778)</f>
        <v>0</v>
      </c>
      <c r="J784" s="233"/>
      <c r="K784" s="233"/>
      <c r="L784" s="233"/>
      <c r="M784" s="233"/>
      <c r="N784" s="233">
        <f>SUM(N775:N783)</f>
        <v>285661747.81999999</v>
      </c>
      <c r="O784" s="281"/>
      <c r="P784" s="294"/>
      <c r="Q784" s="142"/>
      <c r="R784" s="319"/>
      <c r="S784" s="117"/>
      <c r="T784" s="117"/>
      <c r="U784" s="117"/>
    </row>
    <row r="785" spans="1:21" s="113" customFormat="1" ht="12.75" x14ac:dyDescent="0.2">
      <c r="A785" s="266"/>
      <c r="B785" s="171" t="s">
        <v>636</v>
      </c>
      <c r="C785" s="172"/>
      <c r="D785" s="172"/>
      <c r="E785" s="172">
        <v>65940095</v>
      </c>
      <c r="F785" s="173"/>
      <c r="G785" s="174"/>
      <c r="H785" s="175"/>
      <c r="I785" s="176"/>
      <c r="J785" s="176"/>
      <c r="K785" s="176"/>
      <c r="L785" s="176"/>
      <c r="M785" s="176"/>
      <c r="N785" s="172">
        <v>65940095</v>
      </c>
      <c r="O785" s="267"/>
      <c r="P785" s="294"/>
      <c r="Q785" s="137"/>
      <c r="R785" s="316"/>
    </row>
    <row r="786" spans="1:21" s="113" customFormat="1" ht="12.75" x14ac:dyDescent="0.2">
      <c r="A786" s="266"/>
      <c r="B786" s="171" t="s">
        <v>637</v>
      </c>
      <c r="C786" s="172"/>
      <c r="D786" s="172"/>
      <c r="E786" s="172">
        <v>-2000</v>
      </c>
      <c r="F786" s="173"/>
      <c r="G786" s="330"/>
      <c r="H786" s="175"/>
      <c r="I786" s="176"/>
      <c r="J786" s="176"/>
      <c r="K786" s="176"/>
      <c r="L786" s="176"/>
      <c r="M786" s="176"/>
      <c r="N786" s="172">
        <v>-2000</v>
      </c>
      <c r="O786" s="267"/>
      <c r="P786" s="294"/>
      <c r="Q786" s="137"/>
      <c r="R786" s="316"/>
    </row>
    <row r="787" spans="1:21" s="113" customFormat="1" ht="12.75" x14ac:dyDescent="0.2">
      <c r="A787" s="266"/>
      <c r="B787" s="171"/>
      <c r="C787" s="172"/>
      <c r="D787" s="172"/>
      <c r="E787" s="172"/>
      <c r="F787" s="173"/>
      <c r="G787" s="174" t="s">
        <v>640</v>
      </c>
      <c r="H787" s="175"/>
      <c r="I787" s="176"/>
      <c r="J787" s="176"/>
      <c r="K787" s="176"/>
      <c r="L787" s="176"/>
      <c r="M787" s="176"/>
      <c r="N787" s="176">
        <v>215604972.13999999</v>
      </c>
      <c r="O787" s="267"/>
      <c r="P787" s="294"/>
      <c r="Q787" s="137"/>
      <c r="R787" s="316"/>
    </row>
    <row r="788" spans="1:21" s="113" customFormat="1" ht="12.75" x14ac:dyDescent="0.2">
      <c r="A788" s="266"/>
      <c r="B788" s="171"/>
      <c r="C788" s="172"/>
      <c r="D788" s="172"/>
      <c r="E788" s="172"/>
      <c r="F788" s="173"/>
      <c r="G788" s="171" t="s">
        <v>643</v>
      </c>
      <c r="H788" s="175"/>
      <c r="I788" s="176"/>
      <c r="J788" s="176"/>
      <c r="K788" s="176"/>
      <c r="L788" s="176"/>
      <c r="M788" s="176"/>
      <c r="N788" s="176">
        <f>-N779</f>
        <v>-632114429.25</v>
      </c>
      <c r="O788" s="267"/>
      <c r="P788" s="294"/>
      <c r="Q788" s="137"/>
      <c r="R788" s="316"/>
    </row>
    <row r="789" spans="1:21" s="113" customFormat="1" ht="12.75" x14ac:dyDescent="0.2">
      <c r="A789" s="266"/>
      <c r="B789" s="171"/>
      <c r="C789" s="172"/>
      <c r="D789" s="172"/>
      <c r="E789" s="172"/>
      <c r="F789" s="173"/>
      <c r="G789" s="174" t="s">
        <v>440</v>
      </c>
      <c r="H789" s="175"/>
      <c r="I789" s="176"/>
      <c r="J789" s="176"/>
      <c r="K789" s="176"/>
      <c r="L789" s="176"/>
      <c r="M789" s="176"/>
      <c r="N789" s="328">
        <v>254575736.97999999</v>
      </c>
      <c r="O789" s="267"/>
      <c r="P789" s="294"/>
      <c r="Q789" s="137"/>
      <c r="R789" s="316"/>
    </row>
    <row r="790" spans="1:21" s="113" customFormat="1" ht="12.75" x14ac:dyDescent="0.2">
      <c r="A790" s="266"/>
      <c r="B790" s="171"/>
      <c r="C790" s="172"/>
      <c r="D790" s="172"/>
      <c r="E790" s="172"/>
      <c r="F790" s="173"/>
      <c r="G790" s="330" t="s">
        <v>642</v>
      </c>
      <c r="H790" s="175"/>
      <c r="I790" s="176"/>
      <c r="J790" s="176"/>
      <c r="K790" s="176"/>
      <c r="L790" s="176"/>
      <c r="M790" s="176"/>
      <c r="N790" s="328">
        <v>-29827.4</v>
      </c>
      <c r="O790" s="267"/>
      <c r="P790" s="294"/>
      <c r="Q790" s="137"/>
      <c r="R790" s="316"/>
    </row>
    <row r="791" spans="1:21" s="106" customFormat="1" ht="12.75" x14ac:dyDescent="0.2">
      <c r="A791" s="282"/>
      <c r="B791" s="237"/>
      <c r="C791" s="238"/>
      <c r="D791" s="238"/>
      <c r="E791" s="238">
        <f>SUM(E785:E786)</f>
        <v>65938095</v>
      </c>
      <c r="F791" s="239"/>
      <c r="G791" s="240"/>
      <c r="H791" s="186"/>
      <c r="I791" s="238"/>
      <c r="J791" s="238"/>
      <c r="K791" s="238"/>
      <c r="L791" s="238"/>
      <c r="M791" s="238"/>
      <c r="N791" s="238">
        <f>SUM(N785:N790)</f>
        <v>-96025452.530000031</v>
      </c>
      <c r="O791" s="283"/>
      <c r="P791" s="302"/>
      <c r="Q791" s="141"/>
      <c r="R791" s="105"/>
      <c r="S791" s="105"/>
      <c r="T791" s="105"/>
      <c r="U791" s="105"/>
    </row>
    <row r="792" spans="1:21" s="104" customFormat="1" ht="12.75" x14ac:dyDescent="0.2">
      <c r="A792" s="280" t="s">
        <v>336</v>
      </c>
      <c r="B792" s="232"/>
      <c r="C792" s="233"/>
      <c r="D792" s="233">
        <f>+D770+D362</f>
        <v>14324281449.469999</v>
      </c>
      <c r="E792" s="233">
        <f>+E770+E362+E784</f>
        <v>20343589069.210003</v>
      </c>
      <c r="F792" s="234"/>
      <c r="G792" s="235"/>
      <c r="H792" s="236"/>
      <c r="I792" s="233">
        <f>+I770+I362+I784</f>
        <v>9928369556.5128002</v>
      </c>
      <c r="J792" s="233"/>
      <c r="K792" s="233"/>
      <c r="L792" s="233"/>
      <c r="M792" s="233"/>
      <c r="N792" s="233">
        <f>+N770+N362+N784</f>
        <v>10766635955.4772</v>
      </c>
      <c r="O792" s="281"/>
      <c r="P792" s="294"/>
      <c r="Q792" s="142"/>
      <c r="R792" s="319"/>
      <c r="S792" s="117"/>
      <c r="T792" s="117"/>
      <c r="U792" s="117"/>
    </row>
    <row r="793" spans="1:21" s="106" customFormat="1" ht="12.75" x14ac:dyDescent="0.2">
      <c r="A793" s="282" t="s">
        <v>337</v>
      </c>
      <c r="B793" s="237"/>
      <c r="C793" s="238"/>
      <c r="D793" s="238">
        <f>+D771+D363</f>
        <v>47189334120.220001</v>
      </c>
      <c r="E793" s="238">
        <f>+E771+E363+E791</f>
        <v>53479879986.01001</v>
      </c>
      <c r="F793" s="239"/>
      <c r="G793" s="240"/>
      <c r="H793" s="186"/>
      <c r="I793" s="238">
        <f>+I771+I363+I791</f>
        <v>27635429867.785202</v>
      </c>
      <c r="J793" s="238"/>
      <c r="K793" s="238"/>
      <c r="L793" s="238"/>
      <c r="M793" s="238"/>
      <c r="N793" s="238">
        <f>+N771+N363+N791</f>
        <v>25338613206.319633</v>
      </c>
      <c r="O793" s="283"/>
      <c r="P793" s="302"/>
      <c r="Q793" s="141"/>
      <c r="R793" s="105"/>
      <c r="S793" s="105"/>
      <c r="T793" s="105"/>
      <c r="U793" s="105"/>
    </row>
    <row r="794" spans="1:21" s="315" customFormat="1" ht="12.75" x14ac:dyDescent="0.2">
      <c r="A794" s="265" t="s">
        <v>338</v>
      </c>
      <c r="B794" s="149"/>
      <c r="C794" s="149"/>
      <c r="D794" s="149">
        <f>+D792+D793</f>
        <v>61513615569.690002</v>
      </c>
      <c r="E794" s="149">
        <f>+E792+E793</f>
        <v>73823469055.220016</v>
      </c>
      <c r="F794" s="241"/>
      <c r="G794" s="110"/>
      <c r="H794" s="153"/>
      <c r="I794" s="149">
        <f t="shared" ref="I794" si="64">SUM(I792:I793)</f>
        <v>37563799424.298004</v>
      </c>
      <c r="J794" s="149"/>
      <c r="K794" s="149"/>
      <c r="L794" s="149"/>
      <c r="M794" s="149"/>
      <c r="N794" s="149">
        <f>+N792+N793</f>
        <v>36105249161.796829</v>
      </c>
      <c r="O794" s="263"/>
      <c r="P794" s="294"/>
      <c r="Q794" s="134"/>
      <c r="R794" s="83"/>
      <c r="S794" s="87"/>
      <c r="T794" s="87"/>
      <c r="U794" s="87"/>
    </row>
    <row r="795" spans="1:21" s="315" customFormat="1" ht="12.75" x14ac:dyDescent="0.2">
      <c r="A795" s="323"/>
      <c r="B795" s="323"/>
      <c r="C795" s="324"/>
      <c r="D795" s="324">
        <f>+D773</f>
        <v>61513615569.690002</v>
      </c>
      <c r="E795" s="324"/>
      <c r="F795" s="325"/>
      <c r="G795" s="326"/>
      <c r="H795" s="312"/>
      <c r="I795" s="84"/>
      <c r="J795" s="84"/>
      <c r="K795" s="84"/>
      <c r="L795" s="84"/>
      <c r="M795" s="84"/>
      <c r="O795" s="327"/>
      <c r="P795" s="294"/>
      <c r="Q795" s="134"/>
      <c r="R795" s="83"/>
    </row>
    <row r="796" spans="1:21" s="315" customFormat="1" ht="12.75" x14ac:dyDescent="0.2">
      <c r="A796" s="323"/>
      <c r="B796" s="323"/>
      <c r="C796" s="324"/>
      <c r="D796" s="324"/>
      <c r="E796" s="324"/>
      <c r="F796" s="325"/>
      <c r="G796" s="326"/>
      <c r="H796" s="312"/>
      <c r="I796" s="84"/>
      <c r="J796" s="84"/>
      <c r="K796" s="84"/>
      <c r="L796" s="84"/>
      <c r="M796" s="84"/>
      <c r="N796" s="84"/>
      <c r="O796" s="327"/>
      <c r="P796" s="294"/>
      <c r="Q796" s="134"/>
      <c r="R796" s="83"/>
    </row>
    <row r="797" spans="1:21" s="315" customFormat="1" ht="12.75" x14ac:dyDescent="0.2">
      <c r="A797" s="323"/>
      <c r="B797" s="323"/>
      <c r="C797" s="324"/>
      <c r="D797" s="324"/>
      <c r="E797" s="324"/>
      <c r="F797" s="325"/>
      <c r="G797" s="326"/>
      <c r="H797" s="312"/>
      <c r="I797" s="84"/>
      <c r="J797" s="84"/>
      <c r="K797" s="84"/>
      <c r="L797" s="84"/>
      <c r="M797" s="84"/>
      <c r="N797" s="84"/>
      <c r="O797" s="327"/>
      <c r="P797" s="294"/>
      <c r="Q797" s="134"/>
      <c r="R797" s="83"/>
    </row>
    <row r="798" spans="1:21" s="315" customFormat="1" ht="12.75" x14ac:dyDescent="0.2">
      <c r="A798" s="323"/>
      <c r="B798" s="323"/>
      <c r="C798" s="324"/>
      <c r="D798" s="324"/>
      <c r="E798" s="324"/>
      <c r="F798" s="325"/>
      <c r="G798" s="326"/>
      <c r="H798" s="312"/>
      <c r="I798" s="84"/>
      <c r="J798" s="84"/>
      <c r="K798" s="84"/>
      <c r="L798" s="84"/>
      <c r="M798" s="84"/>
      <c r="N798" s="84"/>
      <c r="O798" s="327"/>
      <c r="P798" s="294"/>
      <c r="Q798" s="134"/>
      <c r="R798" s="83"/>
    </row>
    <row r="799" spans="1:21" ht="15.75" customHeight="1" x14ac:dyDescent="0.2"/>
    <row r="800" spans="1:21" ht="15.75" customHeight="1" x14ac:dyDescent="0.2"/>
    <row r="801" spans="12:12" ht="15.75" customHeight="1" x14ac:dyDescent="0.2"/>
    <row r="802" spans="12:12" ht="15.75" customHeight="1" x14ac:dyDescent="0.2">
      <c r="L802" s="87">
        <f>SUM(J773:L773)</f>
        <v>37563799424.298004</v>
      </c>
    </row>
    <row r="803" spans="12:12" ht="15.75" customHeight="1" x14ac:dyDescent="0.2"/>
    <row r="804" spans="12:12" ht="15.75" customHeight="1" x14ac:dyDescent="0.2"/>
    <row r="805" spans="12:12" ht="15.75" customHeight="1" x14ac:dyDescent="0.2"/>
    <row r="806" spans="12:12" ht="15.75" customHeight="1" x14ac:dyDescent="0.2"/>
    <row r="807" spans="12:12" ht="15.75" customHeight="1" x14ac:dyDescent="0.2"/>
    <row r="808" spans="12:12" ht="15.75" customHeight="1" x14ac:dyDescent="0.2"/>
    <row r="809" spans="12:12" ht="15.75" customHeight="1" x14ac:dyDescent="0.2"/>
    <row r="810" spans="12:12" ht="15.75" customHeight="1" x14ac:dyDescent="0.2"/>
    <row r="811" spans="12:12" ht="15.75" customHeight="1" x14ac:dyDescent="0.2"/>
    <row r="812" spans="12:12" ht="15.75" customHeight="1" x14ac:dyDescent="0.2"/>
    <row r="813" spans="12:12" ht="15.75" customHeight="1" x14ac:dyDescent="0.2"/>
    <row r="814" spans="12:12" ht="15.75" customHeight="1" x14ac:dyDescent="0.2"/>
    <row r="815" spans="12:12" ht="15.75" customHeight="1" x14ac:dyDescent="0.2"/>
    <row r="816" spans="12:12"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row r="1219" ht="15.75" customHeight="1" x14ac:dyDescent="0.2"/>
    <row r="1220" ht="15.75" customHeight="1" x14ac:dyDescent="0.2"/>
    <row r="1221" ht="15.75" customHeight="1" x14ac:dyDescent="0.2"/>
    <row r="1222" ht="15.75" customHeight="1" x14ac:dyDescent="0.2"/>
    <row r="1223" ht="15.75" customHeight="1" x14ac:dyDescent="0.2"/>
    <row r="1224" ht="15.75" customHeight="1" x14ac:dyDescent="0.2"/>
    <row r="1225" ht="15.75" customHeight="1" x14ac:dyDescent="0.2"/>
    <row r="1226" ht="15.75" customHeight="1" x14ac:dyDescent="0.2"/>
    <row r="1227" ht="15.75" customHeight="1" x14ac:dyDescent="0.2"/>
    <row r="1228" ht="15.75" customHeight="1" x14ac:dyDescent="0.2"/>
    <row r="1229" ht="15.75" customHeight="1" x14ac:dyDescent="0.2"/>
    <row r="1230" ht="15.75" customHeight="1" x14ac:dyDescent="0.2"/>
    <row r="1231" ht="15.75" customHeight="1" x14ac:dyDescent="0.2"/>
    <row r="1232" ht="15.75" customHeight="1" x14ac:dyDescent="0.2"/>
    <row r="1233" ht="15.75" customHeight="1" x14ac:dyDescent="0.2"/>
    <row r="1234" ht="15.75" customHeight="1" x14ac:dyDescent="0.2"/>
    <row r="1235" ht="15.75" customHeight="1" x14ac:dyDescent="0.2"/>
    <row r="1236" ht="15.75" customHeight="1" x14ac:dyDescent="0.2"/>
    <row r="1237" ht="15.75" customHeight="1" x14ac:dyDescent="0.2"/>
    <row r="1238" ht="15.75" customHeight="1" x14ac:dyDescent="0.2"/>
    <row r="1239" ht="15.75" customHeight="1" x14ac:dyDescent="0.2"/>
    <row r="1240" ht="15.75" customHeight="1" x14ac:dyDescent="0.2"/>
    <row r="1241" ht="15.75" customHeight="1" x14ac:dyDescent="0.2"/>
    <row r="1242" ht="15.75" customHeight="1" x14ac:dyDescent="0.2"/>
    <row r="1243" ht="15.75" customHeight="1" x14ac:dyDescent="0.2"/>
    <row r="1244" ht="15.75" customHeight="1" x14ac:dyDescent="0.2"/>
    <row r="1245" ht="15.75" customHeight="1" x14ac:dyDescent="0.2"/>
    <row r="1246" ht="15.75" customHeight="1" x14ac:dyDescent="0.2"/>
    <row r="1247" ht="15.75" customHeight="1" x14ac:dyDescent="0.2"/>
    <row r="1248" ht="15.75" customHeight="1" x14ac:dyDescent="0.2"/>
    <row r="1249" ht="15.75" customHeight="1" x14ac:dyDescent="0.2"/>
    <row r="1250" ht="15.75" customHeight="1" x14ac:dyDescent="0.2"/>
    <row r="1251" ht="15.75" customHeight="1" x14ac:dyDescent="0.2"/>
    <row r="1252" ht="15.75" customHeight="1" x14ac:dyDescent="0.2"/>
    <row r="1253" ht="15.75" customHeight="1" x14ac:dyDescent="0.2"/>
    <row r="1254" ht="15.75" customHeight="1" x14ac:dyDescent="0.2"/>
    <row r="1255" ht="15.75" customHeight="1" x14ac:dyDescent="0.2"/>
    <row r="1256" ht="15.75" customHeight="1" x14ac:dyDescent="0.2"/>
    <row r="1257" ht="15.75" customHeight="1" x14ac:dyDescent="0.2"/>
    <row r="1258" ht="15.75" customHeight="1" x14ac:dyDescent="0.2"/>
    <row r="1259" ht="15.75" customHeight="1" x14ac:dyDescent="0.2"/>
    <row r="1260" ht="15.75" customHeight="1" x14ac:dyDescent="0.2"/>
    <row r="1261" ht="15.75" customHeight="1" x14ac:dyDescent="0.2"/>
    <row r="1262" ht="15.75" customHeight="1" x14ac:dyDescent="0.2"/>
    <row r="1263" ht="15.75" customHeight="1" x14ac:dyDescent="0.2"/>
    <row r="1264" ht="15.75" customHeight="1" x14ac:dyDescent="0.2"/>
    <row r="1265" ht="15.75" customHeight="1" x14ac:dyDescent="0.2"/>
    <row r="1266" ht="15.75" customHeight="1" x14ac:dyDescent="0.2"/>
    <row r="1267" ht="15.75" customHeight="1" x14ac:dyDescent="0.2"/>
    <row r="1268" ht="15.75" customHeight="1" x14ac:dyDescent="0.2"/>
    <row r="1269" ht="15.75" customHeight="1" x14ac:dyDescent="0.2"/>
    <row r="1270" ht="15.75" customHeight="1" x14ac:dyDescent="0.2"/>
    <row r="1271" ht="15.75" customHeight="1" x14ac:dyDescent="0.2"/>
    <row r="1272" ht="15.75" customHeight="1" x14ac:dyDescent="0.2"/>
    <row r="1273" ht="15.75" customHeight="1" x14ac:dyDescent="0.2"/>
    <row r="1274" ht="15.75" customHeight="1" x14ac:dyDescent="0.2"/>
    <row r="1275" ht="15.75" customHeight="1" x14ac:dyDescent="0.2"/>
    <row r="1276" ht="15.75" customHeight="1" x14ac:dyDescent="0.2"/>
    <row r="1277" ht="15.75" customHeight="1" x14ac:dyDescent="0.2"/>
    <row r="1278" ht="15.75" customHeight="1" x14ac:dyDescent="0.2"/>
    <row r="1279" ht="15.75" customHeight="1" x14ac:dyDescent="0.2"/>
    <row r="1280" ht="15.75" customHeight="1" x14ac:dyDescent="0.2"/>
    <row r="1281" ht="15.75" customHeight="1" x14ac:dyDescent="0.2"/>
    <row r="1282" ht="15.75" customHeight="1" x14ac:dyDescent="0.2"/>
    <row r="1283" ht="15.75" customHeight="1" x14ac:dyDescent="0.2"/>
    <row r="1284" ht="15.75" customHeight="1" x14ac:dyDescent="0.2"/>
    <row r="1285" ht="15.75" customHeight="1" x14ac:dyDescent="0.2"/>
    <row r="1286" ht="15.75" customHeight="1" x14ac:dyDescent="0.2"/>
    <row r="1287" ht="15.75" customHeight="1" x14ac:dyDescent="0.2"/>
    <row r="1288" ht="15.75" customHeight="1" x14ac:dyDescent="0.2"/>
    <row r="1289" ht="15.75" customHeight="1" x14ac:dyDescent="0.2"/>
    <row r="1290" ht="15.75" customHeight="1" x14ac:dyDescent="0.2"/>
    <row r="1291" ht="15.75" customHeight="1" x14ac:dyDescent="0.2"/>
    <row r="1292" ht="15.75" customHeight="1" x14ac:dyDescent="0.2"/>
    <row r="1293" ht="15.75" customHeight="1" x14ac:dyDescent="0.2"/>
    <row r="1294" ht="15.75" customHeight="1" x14ac:dyDescent="0.2"/>
    <row r="1295" ht="15.75" customHeight="1" x14ac:dyDescent="0.2"/>
    <row r="1296" ht="15.75" customHeight="1" x14ac:dyDescent="0.2"/>
    <row r="1297" ht="15.75" customHeight="1" x14ac:dyDescent="0.2"/>
    <row r="1298" ht="15.75" customHeight="1" x14ac:dyDescent="0.2"/>
    <row r="1299" ht="15.75" customHeight="1" x14ac:dyDescent="0.2"/>
    <row r="1300" ht="15.75" customHeight="1" x14ac:dyDescent="0.2"/>
    <row r="1301" ht="15.75" customHeight="1" x14ac:dyDescent="0.2"/>
    <row r="1302" ht="15.75" customHeight="1" x14ac:dyDescent="0.2"/>
    <row r="1303" ht="15.75" customHeight="1" x14ac:dyDescent="0.2"/>
    <row r="1304" ht="15.75" customHeight="1" x14ac:dyDescent="0.2"/>
    <row r="1305" ht="15.75" customHeight="1" x14ac:dyDescent="0.2"/>
    <row r="1306" ht="15.75" customHeight="1" x14ac:dyDescent="0.2"/>
    <row r="1307" ht="15.75" customHeight="1" x14ac:dyDescent="0.2"/>
    <row r="1308" ht="15.75" customHeight="1" x14ac:dyDescent="0.2"/>
    <row r="1309" ht="15.75" customHeight="1" x14ac:dyDescent="0.2"/>
    <row r="1310" ht="15.75" customHeight="1" x14ac:dyDescent="0.2"/>
    <row r="1311" ht="15.75" customHeight="1" x14ac:dyDescent="0.2"/>
    <row r="1312" ht="15.75" customHeight="1" x14ac:dyDescent="0.2"/>
    <row r="1313" ht="15.75" customHeight="1" x14ac:dyDescent="0.2"/>
    <row r="1314" ht="15.75" customHeight="1" x14ac:dyDescent="0.2"/>
    <row r="1315" ht="15.75" customHeight="1" x14ac:dyDescent="0.2"/>
    <row r="1316" ht="15.75" customHeight="1" x14ac:dyDescent="0.2"/>
    <row r="1317" ht="15.75" customHeight="1" x14ac:dyDescent="0.2"/>
    <row r="1318" ht="15.75" customHeight="1" x14ac:dyDescent="0.2"/>
    <row r="1319" ht="15.75" customHeight="1" x14ac:dyDescent="0.2"/>
    <row r="1320" ht="15.75" customHeight="1" x14ac:dyDescent="0.2"/>
    <row r="1321" ht="15.75" customHeight="1" x14ac:dyDescent="0.2"/>
    <row r="1322" ht="15.75" customHeight="1" x14ac:dyDescent="0.2"/>
    <row r="1323" ht="15.75" customHeight="1" x14ac:dyDescent="0.2"/>
    <row r="1324" ht="15.75" customHeight="1" x14ac:dyDescent="0.2"/>
    <row r="1325" ht="15.75" customHeight="1" x14ac:dyDescent="0.2"/>
    <row r="1326" ht="15.75" customHeight="1" x14ac:dyDescent="0.2"/>
    <row r="1327" ht="15.75" customHeight="1" x14ac:dyDescent="0.2"/>
    <row r="1328" ht="15.75" customHeight="1" x14ac:dyDescent="0.2"/>
    <row r="1329" ht="15.75" customHeight="1" x14ac:dyDescent="0.2"/>
    <row r="1330" ht="15.75" customHeight="1" x14ac:dyDescent="0.2"/>
    <row r="1331" ht="15.75" customHeight="1" x14ac:dyDescent="0.2"/>
    <row r="1332" ht="15.75" customHeight="1" x14ac:dyDescent="0.2"/>
    <row r="1333" ht="15.75" customHeight="1" x14ac:dyDescent="0.2"/>
    <row r="1334" ht="15.75" customHeight="1" x14ac:dyDescent="0.2"/>
    <row r="1335" ht="15.75" customHeight="1" x14ac:dyDescent="0.2"/>
    <row r="1336" ht="15.75" customHeight="1" x14ac:dyDescent="0.2"/>
    <row r="1337" ht="15.75" customHeight="1" x14ac:dyDescent="0.2"/>
    <row r="1338" ht="15.75" customHeight="1" x14ac:dyDescent="0.2"/>
    <row r="1339" ht="15.75" customHeight="1" x14ac:dyDescent="0.2"/>
    <row r="1340" ht="15.75" customHeight="1" x14ac:dyDescent="0.2"/>
    <row r="1341" ht="15.75" customHeight="1" x14ac:dyDescent="0.2"/>
    <row r="1342" ht="15.75" customHeight="1" x14ac:dyDescent="0.2"/>
    <row r="1343" ht="15.75" customHeight="1" x14ac:dyDescent="0.2"/>
    <row r="1344" ht="15.75" customHeight="1" x14ac:dyDescent="0.2"/>
    <row r="1345" ht="15.75" customHeight="1" x14ac:dyDescent="0.2"/>
    <row r="1346" ht="15.75" customHeight="1" x14ac:dyDescent="0.2"/>
    <row r="1347" ht="15.75" customHeight="1" x14ac:dyDescent="0.2"/>
    <row r="1348" ht="15.75" customHeight="1" x14ac:dyDescent="0.2"/>
    <row r="1349" ht="15.75" customHeight="1" x14ac:dyDescent="0.2"/>
    <row r="1350" ht="15.75" customHeight="1" x14ac:dyDescent="0.2"/>
    <row r="1351" ht="15.75" customHeight="1" x14ac:dyDescent="0.2"/>
    <row r="1352" ht="15.75" customHeight="1" x14ac:dyDescent="0.2"/>
    <row r="1353" ht="15.75" customHeight="1" x14ac:dyDescent="0.2"/>
    <row r="1354" ht="15.75" customHeight="1" x14ac:dyDescent="0.2"/>
    <row r="1355" ht="15.75" customHeight="1" x14ac:dyDescent="0.2"/>
    <row r="1356" ht="15.75" customHeight="1" x14ac:dyDescent="0.2"/>
    <row r="1357" ht="15.75" customHeight="1" x14ac:dyDescent="0.2"/>
    <row r="1358" ht="15.75" customHeight="1" x14ac:dyDescent="0.2"/>
    <row r="1359" ht="15.75" customHeight="1" x14ac:dyDescent="0.2"/>
    <row r="1360" ht="15.75" customHeight="1" x14ac:dyDescent="0.2"/>
    <row r="1361" ht="15.75" customHeight="1" x14ac:dyDescent="0.2"/>
    <row r="1362" ht="15.75" customHeight="1" x14ac:dyDescent="0.2"/>
    <row r="1363" ht="15.75" customHeight="1" x14ac:dyDescent="0.2"/>
    <row r="1364" ht="15.75" customHeight="1" x14ac:dyDescent="0.2"/>
    <row r="1365" ht="15.75" customHeight="1" x14ac:dyDescent="0.2"/>
    <row r="1366" ht="15.75" customHeight="1" x14ac:dyDescent="0.2"/>
    <row r="1367" ht="15.75" customHeight="1" x14ac:dyDescent="0.2"/>
    <row r="1368" ht="15.75" customHeight="1" x14ac:dyDescent="0.2"/>
    <row r="1369" ht="15.75" customHeight="1" x14ac:dyDescent="0.2"/>
    <row r="1370" ht="15.75" customHeight="1" x14ac:dyDescent="0.2"/>
    <row r="1371" ht="15.75" customHeight="1" x14ac:dyDescent="0.2"/>
    <row r="1372" ht="15.75" customHeight="1" x14ac:dyDescent="0.2"/>
    <row r="1373" ht="15.75" customHeight="1" x14ac:dyDescent="0.2"/>
    <row r="1374" ht="15.75" customHeight="1" x14ac:dyDescent="0.2"/>
    <row r="1375" ht="15.75" customHeight="1" x14ac:dyDescent="0.2"/>
    <row r="1376" ht="15.75" customHeight="1" x14ac:dyDescent="0.2"/>
    <row r="1377" ht="15.75" customHeight="1" x14ac:dyDescent="0.2"/>
    <row r="1378" ht="15.75" customHeight="1" x14ac:dyDescent="0.2"/>
    <row r="1379" ht="15.75" customHeight="1" x14ac:dyDescent="0.2"/>
    <row r="1380" ht="15.75" customHeight="1" x14ac:dyDescent="0.2"/>
    <row r="1381" ht="15.75" customHeight="1" x14ac:dyDescent="0.2"/>
    <row r="1382" ht="15.75" customHeight="1" x14ac:dyDescent="0.2"/>
    <row r="1383" ht="15.75" customHeight="1" x14ac:dyDescent="0.2"/>
    <row r="1384" ht="15.75" customHeight="1" x14ac:dyDescent="0.2"/>
    <row r="1385" ht="15.75" customHeight="1" x14ac:dyDescent="0.2"/>
    <row r="1386" ht="15.75" customHeight="1" x14ac:dyDescent="0.2"/>
    <row r="1387" ht="15.75" customHeight="1" x14ac:dyDescent="0.2"/>
    <row r="1388" ht="15.75" customHeight="1" x14ac:dyDescent="0.2"/>
    <row r="1389" ht="15.75" customHeight="1" x14ac:dyDescent="0.2"/>
    <row r="1390" ht="15.75" customHeight="1" x14ac:dyDescent="0.2"/>
    <row r="1391" ht="15.75" customHeight="1" x14ac:dyDescent="0.2"/>
    <row r="1392" ht="15.75" customHeight="1" x14ac:dyDescent="0.2"/>
    <row r="1393" ht="15.75" customHeight="1" x14ac:dyDescent="0.2"/>
    <row r="1394" ht="15.75" customHeight="1" x14ac:dyDescent="0.2"/>
    <row r="1395" ht="15.75" customHeight="1" x14ac:dyDescent="0.2"/>
    <row r="1396" ht="15.75" customHeight="1" x14ac:dyDescent="0.2"/>
    <row r="1397" ht="15.75" customHeight="1" x14ac:dyDescent="0.2"/>
    <row r="1398" ht="15.75" customHeight="1" x14ac:dyDescent="0.2"/>
    <row r="1399" ht="15.75" customHeight="1" x14ac:dyDescent="0.2"/>
    <row r="1400" ht="15.75" customHeight="1" x14ac:dyDescent="0.2"/>
    <row r="1401" ht="15.75" customHeight="1" x14ac:dyDescent="0.2"/>
    <row r="1402" ht="15.75" customHeight="1" x14ac:dyDescent="0.2"/>
    <row r="1403" ht="15.75" customHeight="1" x14ac:dyDescent="0.2"/>
    <row r="1404" ht="15.75" customHeight="1" x14ac:dyDescent="0.2"/>
    <row r="1405" ht="15.75" customHeight="1" x14ac:dyDescent="0.2"/>
    <row r="1406" ht="15.75" customHeight="1" x14ac:dyDescent="0.2"/>
    <row r="1407" ht="15.75" customHeight="1" x14ac:dyDescent="0.2"/>
    <row r="1408" ht="15.75" customHeight="1" x14ac:dyDescent="0.2"/>
    <row r="1409" ht="15.75" customHeight="1" x14ac:dyDescent="0.2"/>
    <row r="1410" ht="15.75" customHeight="1" x14ac:dyDescent="0.2"/>
    <row r="1411" ht="15.75" customHeight="1" x14ac:dyDescent="0.2"/>
    <row r="1412" ht="15.75" customHeight="1" x14ac:dyDescent="0.2"/>
    <row r="1413" ht="15.75" customHeight="1" x14ac:dyDescent="0.2"/>
    <row r="1414" ht="15.75" customHeight="1" x14ac:dyDescent="0.2"/>
    <row r="1415" ht="15.75" customHeight="1" x14ac:dyDescent="0.2"/>
    <row r="1416" ht="15.75" customHeight="1" x14ac:dyDescent="0.2"/>
    <row r="1417" ht="15.75" customHeight="1" x14ac:dyDescent="0.2"/>
    <row r="1418" ht="15.75" customHeight="1" x14ac:dyDescent="0.2"/>
    <row r="1419" ht="15.75" customHeight="1" x14ac:dyDescent="0.2"/>
    <row r="1420" ht="15.75" customHeight="1" x14ac:dyDescent="0.2"/>
    <row r="1421" ht="15.75" customHeight="1" x14ac:dyDescent="0.2"/>
    <row r="1422" ht="15.75" customHeight="1" x14ac:dyDescent="0.2"/>
    <row r="1423" ht="15.75" customHeight="1" x14ac:dyDescent="0.2"/>
    <row r="1424" ht="15.75" customHeight="1" x14ac:dyDescent="0.2"/>
    <row r="1425" ht="15.75" customHeight="1" x14ac:dyDescent="0.2"/>
    <row r="1426" ht="15.75" customHeight="1" x14ac:dyDescent="0.2"/>
    <row r="1427" ht="15.75" customHeight="1" x14ac:dyDescent="0.2"/>
    <row r="1428" ht="15.75" customHeight="1" x14ac:dyDescent="0.2"/>
    <row r="1429" ht="15.75" customHeight="1" x14ac:dyDescent="0.2"/>
    <row r="1430" ht="15.75" customHeight="1" x14ac:dyDescent="0.2"/>
    <row r="1431" ht="15.75" customHeight="1" x14ac:dyDescent="0.2"/>
    <row r="1432" ht="15.75" customHeight="1" x14ac:dyDescent="0.2"/>
    <row r="1433" ht="15.75" customHeight="1" x14ac:dyDescent="0.2"/>
    <row r="1434" ht="15.75" customHeight="1" x14ac:dyDescent="0.2"/>
    <row r="1435" ht="15.75" customHeight="1" x14ac:dyDescent="0.2"/>
    <row r="1436" ht="15.75" customHeight="1" x14ac:dyDescent="0.2"/>
    <row r="1437" ht="15.75" customHeight="1" x14ac:dyDescent="0.2"/>
    <row r="1438" ht="15.75" customHeight="1" x14ac:dyDescent="0.2"/>
    <row r="1439" ht="15.75" customHeight="1" x14ac:dyDescent="0.2"/>
    <row r="1440" ht="15.75" customHeight="1" x14ac:dyDescent="0.2"/>
    <row r="1441" ht="15.75" customHeight="1" x14ac:dyDescent="0.2"/>
    <row r="1442" ht="15.75" customHeight="1" x14ac:dyDescent="0.2"/>
    <row r="1443" ht="15.75" customHeight="1" x14ac:dyDescent="0.2"/>
    <row r="1444" ht="15.75" customHeight="1" x14ac:dyDescent="0.2"/>
    <row r="1445" ht="15.75" customHeight="1" x14ac:dyDescent="0.2"/>
    <row r="1446" ht="15.75" customHeight="1" x14ac:dyDescent="0.2"/>
    <row r="1447" ht="15.75" customHeight="1" x14ac:dyDescent="0.2"/>
    <row r="1448" ht="15.75" customHeight="1" x14ac:dyDescent="0.2"/>
    <row r="1449" ht="15.75" customHeight="1" x14ac:dyDescent="0.2"/>
    <row r="1450" ht="15.75" customHeight="1" x14ac:dyDescent="0.2"/>
    <row r="1451" ht="15.75" customHeight="1" x14ac:dyDescent="0.2"/>
    <row r="1452" ht="15.75" customHeight="1" x14ac:dyDescent="0.2"/>
    <row r="1453" ht="15.75" customHeight="1" x14ac:dyDescent="0.2"/>
    <row r="1454" ht="15.75" customHeight="1" x14ac:dyDescent="0.2"/>
    <row r="1455" ht="15.75" customHeight="1" x14ac:dyDescent="0.2"/>
    <row r="1456" ht="15.75" customHeight="1" x14ac:dyDescent="0.2"/>
    <row r="1457" ht="15.75" customHeight="1" x14ac:dyDescent="0.2"/>
    <row r="1458" ht="15.75" customHeight="1" x14ac:dyDescent="0.2"/>
    <row r="1459" ht="15.75" customHeight="1" x14ac:dyDescent="0.2"/>
    <row r="1460" ht="15.75" customHeight="1" x14ac:dyDescent="0.2"/>
    <row r="1461" ht="15.75" customHeight="1" x14ac:dyDescent="0.2"/>
    <row r="1462" ht="15.75" customHeight="1" x14ac:dyDescent="0.2"/>
    <row r="1463" ht="15.75" customHeight="1" x14ac:dyDescent="0.2"/>
    <row r="1464" ht="15.75" customHeight="1" x14ac:dyDescent="0.2"/>
    <row r="1465" ht="15.75" customHeight="1" x14ac:dyDescent="0.2"/>
    <row r="1466" ht="15.75" customHeight="1" x14ac:dyDescent="0.2"/>
    <row r="1467" ht="15.75" customHeight="1" x14ac:dyDescent="0.2"/>
    <row r="1468" ht="15.75" customHeight="1" x14ac:dyDescent="0.2"/>
    <row r="1469" ht="15.75" customHeight="1" x14ac:dyDescent="0.2"/>
    <row r="1470" ht="15.75" customHeight="1" x14ac:dyDescent="0.2"/>
    <row r="1471" ht="15.75" customHeight="1" x14ac:dyDescent="0.2"/>
    <row r="1472" ht="15.75" customHeight="1" x14ac:dyDescent="0.2"/>
    <row r="1473" ht="15.75" customHeight="1" x14ac:dyDescent="0.2"/>
    <row r="1474" ht="15.75" customHeight="1" x14ac:dyDescent="0.2"/>
    <row r="1475" ht="15.75" customHeight="1" x14ac:dyDescent="0.2"/>
    <row r="1476" ht="15.75" customHeight="1" x14ac:dyDescent="0.2"/>
    <row r="1477" ht="15.75" customHeight="1" x14ac:dyDescent="0.2"/>
    <row r="1478" ht="15.75" customHeight="1" x14ac:dyDescent="0.2"/>
    <row r="1479" ht="15.75" customHeight="1" x14ac:dyDescent="0.2"/>
    <row r="1480" ht="15.75" customHeight="1" x14ac:dyDescent="0.2"/>
    <row r="1481" ht="15.75" customHeight="1" x14ac:dyDescent="0.2"/>
    <row r="1482" ht="15.75" customHeight="1" x14ac:dyDescent="0.2"/>
    <row r="1483" ht="15.75" customHeight="1" x14ac:dyDescent="0.2"/>
    <row r="1484" ht="15.75" customHeight="1" x14ac:dyDescent="0.2"/>
    <row r="1485" ht="15.75" customHeight="1" x14ac:dyDescent="0.2"/>
    <row r="1486" ht="15.75" customHeight="1" x14ac:dyDescent="0.2"/>
    <row r="1487" ht="15.75" customHeight="1" x14ac:dyDescent="0.2"/>
    <row r="1488" ht="15.75" customHeight="1" x14ac:dyDescent="0.2"/>
    <row r="1489" ht="15.75" customHeight="1" x14ac:dyDescent="0.2"/>
    <row r="1490" ht="15.75" customHeight="1" x14ac:dyDescent="0.2"/>
    <row r="1491" ht="15.75" customHeight="1" x14ac:dyDescent="0.2"/>
    <row r="1492" ht="15.75" customHeight="1" x14ac:dyDescent="0.2"/>
    <row r="1493" ht="15.75" customHeight="1" x14ac:dyDescent="0.2"/>
    <row r="1494" ht="15.75" customHeight="1" x14ac:dyDescent="0.2"/>
    <row r="1495" ht="15.75" customHeight="1" x14ac:dyDescent="0.2"/>
    <row r="1496" ht="15.75" customHeight="1" x14ac:dyDescent="0.2"/>
    <row r="1497" ht="15.75" customHeight="1" x14ac:dyDescent="0.2"/>
    <row r="1498" ht="15.75" customHeight="1" x14ac:dyDescent="0.2"/>
    <row r="1499" ht="15.75" customHeight="1" x14ac:dyDescent="0.2"/>
    <row r="1500" ht="15.75" customHeight="1" x14ac:dyDescent="0.2"/>
    <row r="1501" ht="15.75" customHeight="1" x14ac:dyDescent="0.2"/>
    <row r="1502" ht="15.75" customHeight="1" x14ac:dyDescent="0.2"/>
    <row r="1503" ht="15.75" customHeight="1" x14ac:dyDescent="0.2"/>
    <row r="1504" ht="15.75" customHeight="1" x14ac:dyDescent="0.2"/>
    <row r="1505" ht="15.75" customHeight="1" x14ac:dyDescent="0.2"/>
    <row r="1506" ht="15.75" customHeight="1" x14ac:dyDescent="0.2"/>
    <row r="1507" ht="15.75" customHeight="1" x14ac:dyDescent="0.2"/>
    <row r="1508" ht="15.75" customHeight="1" x14ac:dyDescent="0.2"/>
    <row r="1509" ht="15.75" customHeight="1" x14ac:dyDescent="0.2"/>
    <row r="1510" ht="15.75" customHeight="1" x14ac:dyDescent="0.2"/>
    <row r="1511" ht="15.75" customHeight="1" x14ac:dyDescent="0.2"/>
    <row r="1512" ht="15.75" customHeight="1" x14ac:dyDescent="0.2"/>
    <row r="1513" ht="15.75" customHeight="1" x14ac:dyDescent="0.2"/>
    <row r="1514" ht="15.75" customHeight="1" x14ac:dyDescent="0.2"/>
    <row r="1515" ht="15.75" customHeight="1" x14ac:dyDescent="0.2"/>
    <row r="1516" ht="15.75" customHeight="1" x14ac:dyDescent="0.2"/>
    <row r="1517" ht="15.75" customHeight="1" x14ac:dyDescent="0.2"/>
    <row r="1518" ht="15.75" customHeight="1" x14ac:dyDescent="0.2"/>
    <row r="1519" ht="15.75" customHeight="1" x14ac:dyDescent="0.2"/>
    <row r="1520" ht="15.75" customHeight="1" x14ac:dyDescent="0.2"/>
    <row r="1521" ht="15.75" customHeight="1" x14ac:dyDescent="0.2"/>
    <row r="1522" ht="15.75" customHeight="1" x14ac:dyDescent="0.2"/>
    <row r="1523" ht="15.75" customHeight="1" x14ac:dyDescent="0.2"/>
    <row r="1524" ht="15.75" customHeight="1" x14ac:dyDescent="0.2"/>
    <row r="1525" ht="15.75" customHeight="1" x14ac:dyDescent="0.2"/>
    <row r="1526" ht="15.75" customHeight="1" x14ac:dyDescent="0.2"/>
    <row r="1527" ht="15.75" customHeight="1" x14ac:dyDescent="0.2"/>
    <row r="1528" ht="15.75" customHeight="1" x14ac:dyDescent="0.2"/>
    <row r="1529" ht="15.75" customHeight="1" x14ac:dyDescent="0.2"/>
    <row r="1530" ht="15.75" customHeight="1" x14ac:dyDescent="0.2"/>
    <row r="1531" ht="15.75" customHeight="1" x14ac:dyDescent="0.2"/>
    <row r="1532" ht="15.75" customHeight="1" x14ac:dyDescent="0.2"/>
    <row r="1533" ht="15.75" customHeight="1" x14ac:dyDescent="0.2"/>
    <row r="1534" ht="15.75" customHeight="1" x14ac:dyDescent="0.2"/>
    <row r="1535" ht="15.75" customHeight="1" x14ac:dyDescent="0.2"/>
    <row r="1536" ht="15.75" customHeight="1" x14ac:dyDescent="0.2"/>
    <row r="1537" ht="15.75" customHeight="1" x14ac:dyDescent="0.2"/>
    <row r="1538" ht="15.75" customHeight="1" x14ac:dyDescent="0.2"/>
    <row r="1539" ht="15.75" customHeight="1" x14ac:dyDescent="0.2"/>
    <row r="1540" ht="15.75" customHeight="1" x14ac:dyDescent="0.2"/>
    <row r="1541" ht="15.75" customHeight="1" x14ac:dyDescent="0.2"/>
    <row r="1542" ht="15.75" customHeight="1" x14ac:dyDescent="0.2"/>
    <row r="1543" ht="15.75" customHeight="1" x14ac:dyDescent="0.2"/>
    <row r="1544" ht="15.75" customHeight="1" x14ac:dyDescent="0.2"/>
    <row r="1545" ht="15.75" customHeight="1" x14ac:dyDescent="0.2"/>
    <row r="1546" ht="15.75" customHeight="1" x14ac:dyDescent="0.2"/>
    <row r="1547" ht="15.75" customHeight="1" x14ac:dyDescent="0.2"/>
    <row r="1548" ht="15.75" customHeight="1" x14ac:dyDescent="0.2"/>
    <row r="1549" ht="15.75" customHeight="1" x14ac:dyDescent="0.2"/>
    <row r="1550" ht="15.75" customHeight="1" x14ac:dyDescent="0.2"/>
    <row r="1551" ht="15.75" customHeight="1" x14ac:dyDescent="0.2"/>
    <row r="1552" ht="15.75" customHeight="1" x14ac:dyDescent="0.2"/>
    <row r="1553" ht="15.75" customHeight="1" x14ac:dyDescent="0.2"/>
    <row r="1554" ht="15.75" customHeight="1" x14ac:dyDescent="0.2"/>
    <row r="1555" ht="15.75" customHeight="1" x14ac:dyDescent="0.2"/>
    <row r="1556" ht="15.75" customHeight="1" x14ac:dyDescent="0.2"/>
    <row r="1557" ht="15.75" customHeight="1" x14ac:dyDescent="0.2"/>
    <row r="1558" ht="15.75" customHeight="1" x14ac:dyDescent="0.2"/>
    <row r="1559" ht="15.75" customHeight="1" x14ac:dyDescent="0.2"/>
    <row r="1560" ht="15.75" customHeight="1" x14ac:dyDescent="0.2"/>
    <row r="1561" ht="15.75" customHeight="1" x14ac:dyDescent="0.2"/>
    <row r="1562" ht="15.75" customHeight="1" x14ac:dyDescent="0.2"/>
    <row r="1563" ht="15.75" customHeight="1" x14ac:dyDescent="0.2"/>
    <row r="1564" ht="15.75" customHeight="1" x14ac:dyDescent="0.2"/>
    <row r="1565" ht="15.75" customHeight="1" x14ac:dyDescent="0.2"/>
    <row r="1566" ht="15.75" customHeight="1" x14ac:dyDescent="0.2"/>
    <row r="1567" ht="15.75" customHeight="1" x14ac:dyDescent="0.2"/>
    <row r="1568" ht="15.75" customHeight="1" x14ac:dyDescent="0.2"/>
    <row r="1569" ht="15.75" customHeight="1" x14ac:dyDescent="0.2"/>
    <row r="1570" ht="15.75" customHeight="1" x14ac:dyDescent="0.2"/>
    <row r="1571" ht="15.75" customHeight="1" x14ac:dyDescent="0.2"/>
    <row r="1572" ht="15.75" customHeight="1" x14ac:dyDescent="0.2"/>
    <row r="1573" ht="15.75" customHeight="1" x14ac:dyDescent="0.2"/>
    <row r="1574" ht="15.75" customHeight="1" x14ac:dyDescent="0.2"/>
    <row r="1575" ht="15.75" customHeight="1" x14ac:dyDescent="0.2"/>
    <row r="1576" ht="15.75" customHeight="1" x14ac:dyDescent="0.2"/>
    <row r="1577" ht="15.75" customHeight="1" x14ac:dyDescent="0.2"/>
    <row r="1578" ht="15.75" customHeight="1" x14ac:dyDescent="0.2"/>
    <row r="1579" ht="15.75" customHeight="1" x14ac:dyDescent="0.2"/>
    <row r="1580" ht="15.75" customHeight="1" x14ac:dyDescent="0.2"/>
    <row r="1581" ht="15.75" customHeight="1" x14ac:dyDescent="0.2"/>
    <row r="1582" ht="15.75" customHeight="1" x14ac:dyDescent="0.2"/>
    <row r="1583" ht="15.75" customHeight="1" x14ac:dyDescent="0.2"/>
    <row r="1584" ht="15.75" customHeight="1" x14ac:dyDescent="0.2"/>
    <row r="1585" ht="15.75" customHeight="1" x14ac:dyDescent="0.2"/>
    <row r="1586" ht="15.75" customHeight="1" x14ac:dyDescent="0.2"/>
    <row r="1587" ht="15.75" customHeight="1" x14ac:dyDescent="0.2"/>
    <row r="1588" ht="15.75" customHeight="1" x14ac:dyDescent="0.2"/>
    <row r="1589" ht="15.75" customHeight="1" x14ac:dyDescent="0.2"/>
    <row r="1590" ht="15.75" customHeight="1" x14ac:dyDescent="0.2"/>
    <row r="1591" ht="15.75" customHeight="1" x14ac:dyDescent="0.2"/>
    <row r="1592" ht="15.75" customHeight="1" x14ac:dyDescent="0.2"/>
    <row r="1593" ht="15.75" customHeight="1" x14ac:dyDescent="0.2"/>
    <row r="1594" ht="15.75" customHeight="1" x14ac:dyDescent="0.2"/>
    <row r="1595" ht="15.75" customHeight="1" x14ac:dyDescent="0.2"/>
    <row r="1596" ht="15.75" customHeight="1" x14ac:dyDescent="0.2"/>
    <row r="1597" ht="15.75" customHeight="1" x14ac:dyDescent="0.2"/>
    <row r="1598" ht="15.75" customHeight="1" x14ac:dyDescent="0.2"/>
    <row r="1599" ht="15.75" customHeight="1" x14ac:dyDescent="0.2"/>
    <row r="1600" ht="15.75" customHeight="1" x14ac:dyDescent="0.2"/>
    <row r="1601" ht="15.75" customHeight="1" x14ac:dyDescent="0.2"/>
    <row r="1602" ht="15.75" customHeight="1" x14ac:dyDescent="0.2"/>
    <row r="1603" ht="15.75" customHeight="1" x14ac:dyDescent="0.2"/>
    <row r="1604" ht="15.75" customHeight="1" x14ac:dyDescent="0.2"/>
    <row r="1605" ht="15.75" customHeight="1" x14ac:dyDescent="0.2"/>
    <row r="1606" ht="15.75" customHeight="1" x14ac:dyDescent="0.2"/>
    <row r="1607" ht="15.75" customHeight="1" x14ac:dyDescent="0.2"/>
    <row r="1608" ht="15.75" customHeight="1" x14ac:dyDescent="0.2"/>
    <row r="1609" ht="15.75" customHeight="1" x14ac:dyDescent="0.2"/>
    <row r="1610" ht="15.75" customHeight="1" x14ac:dyDescent="0.2"/>
    <row r="1611" ht="15.75" customHeight="1" x14ac:dyDescent="0.2"/>
    <row r="1612" ht="15.75" customHeight="1" x14ac:dyDescent="0.2"/>
    <row r="1613" ht="15.75" customHeight="1" x14ac:dyDescent="0.2"/>
    <row r="1614" ht="15.75" customHeight="1" x14ac:dyDescent="0.2"/>
    <row r="1615" ht="15.75" customHeight="1" x14ac:dyDescent="0.2"/>
    <row r="1616" ht="15.75" customHeight="1" x14ac:dyDescent="0.2"/>
    <row r="1617" ht="15.75" customHeight="1" x14ac:dyDescent="0.2"/>
    <row r="1618" ht="15.75" customHeight="1" x14ac:dyDescent="0.2"/>
    <row r="1619" ht="15.75" customHeight="1" x14ac:dyDescent="0.2"/>
    <row r="1620" ht="15.75" customHeight="1" x14ac:dyDescent="0.2"/>
    <row r="1621" ht="15.75" customHeight="1" x14ac:dyDescent="0.2"/>
    <row r="1622" ht="15.75" customHeight="1" x14ac:dyDescent="0.2"/>
    <row r="1623" ht="15.75" customHeight="1" x14ac:dyDescent="0.2"/>
    <row r="1624" ht="15.75" customHeight="1" x14ac:dyDescent="0.2"/>
    <row r="1625" ht="15.75" customHeight="1" x14ac:dyDescent="0.2"/>
    <row r="1626" ht="15.75" customHeight="1" x14ac:dyDescent="0.2"/>
    <row r="1627" ht="15.75" customHeight="1" x14ac:dyDescent="0.2"/>
    <row r="1628" ht="15.75" customHeight="1" x14ac:dyDescent="0.2"/>
    <row r="1629" ht="15.75" customHeight="1" x14ac:dyDescent="0.2"/>
    <row r="1630" ht="15.75" customHeight="1" x14ac:dyDescent="0.2"/>
    <row r="1631" ht="15.75" customHeight="1" x14ac:dyDescent="0.2"/>
    <row r="1632" ht="15.75" customHeight="1" x14ac:dyDescent="0.2"/>
    <row r="1633" ht="15.75" customHeight="1" x14ac:dyDescent="0.2"/>
    <row r="1634" ht="15.75" customHeight="1" x14ac:dyDescent="0.2"/>
    <row r="1635" ht="15.75" customHeight="1" x14ac:dyDescent="0.2"/>
    <row r="1636" ht="15.75" customHeight="1" x14ac:dyDescent="0.2"/>
    <row r="1637" ht="15.75" customHeight="1" x14ac:dyDescent="0.2"/>
    <row r="1638" ht="15.75" customHeight="1" x14ac:dyDescent="0.2"/>
    <row r="1639" ht="15.75" customHeight="1" x14ac:dyDescent="0.2"/>
    <row r="1640" ht="15.75" customHeight="1" x14ac:dyDescent="0.2"/>
    <row r="1641" ht="15.75" customHeight="1" x14ac:dyDescent="0.2"/>
    <row r="1642" ht="15.75" customHeight="1" x14ac:dyDescent="0.2"/>
    <row r="1643" ht="15.75" customHeight="1" x14ac:dyDescent="0.2"/>
    <row r="1644" ht="15.75" customHeight="1" x14ac:dyDescent="0.2"/>
    <row r="1645" ht="15.75" customHeight="1" x14ac:dyDescent="0.2"/>
    <row r="1646" ht="15.75" customHeight="1" x14ac:dyDescent="0.2"/>
    <row r="1647" ht="15.75" customHeight="1" x14ac:dyDescent="0.2"/>
    <row r="1648" ht="15.75" customHeight="1" x14ac:dyDescent="0.2"/>
    <row r="1649" ht="15.75" customHeight="1" x14ac:dyDescent="0.2"/>
    <row r="1650" ht="15.75" customHeight="1" x14ac:dyDescent="0.2"/>
    <row r="1651" ht="15.75" customHeight="1" x14ac:dyDescent="0.2"/>
    <row r="1652" ht="15.75" customHeight="1" x14ac:dyDescent="0.2"/>
    <row r="1653" ht="15.75" customHeight="1" x14ac:dyDescent="0.2"/>
    <row r="1654" ht="15.75" customHeight="1" x14ac:dyDescent="0.2"/>
    <row r="1655" ht="15.75" customHeight="1" x14ac:dyDescent="0.2"/>
    <row r="1656" ht="15.75" customHeight="1" x14ac:dyDescent="0.2"/>
    <row r="1657" ht="15.75" customHeight="1" x14ac:dyDescent="0.2"/>
    <row r="1658" ht="15.75" customHeight="1" x14ac:dyDescent="0.2"/>
    <row r="1659" ht="15.75" customHeight="1" x14ac:dyDescent="0.2"/>
    <row r="1660" ht="15.75" customHeight="1" x14ac:dyDescent="0.2"/>
    <row r="1661" ht="15.75" customHeight="1" x14ac:dyDescent="0.2"/>
    <row r="1662" ht="15.75" customHeight="1" x14ac:dyDescent="0.2"/>
    <row r="1663" ht="15.75" customHeight="1" x14ac:dyDescent="0.2"/>
    <row r="1664" ht="15.75" customHeight="1" x14ac:dyDescent="0.2"/>
    <row r="1665" ht="15.75" customHeight="1" x14ac:dyDescent="0.2"/>
    <row r="1666" ht="15.75" customHeight="1" x14ac:dyDescent="0.2"/>
    <row r="1667" ht="15.75" customHeight="1" x14ac:dyDescent="0.2"/>
    <row r="1668" ht="15.75" customHeight="1" x14ac:dyDescent="0.2"/>
    <row r="1669" ht="15.75" customHeight="1" x14ac:dyDescent="0.2"/>
    <row r="1670" ht="15.75" customHeight="1" x14ac:dyDescent="0.2"/>
    <row r="1671" ht="15.75" customHeight="1" x14ac:dyDescent="0.2"/>
    <row r="1672" ht="15.75" customHeight="1" x14ac:dyDescent="0.2"/>
    <row r="1673" ht="15.75" customHeight="1" x14ac:dyDescent="0.2"/>
    <row r="1674" ht="15.75" customHeight="1" x14ac:dyDescent="0.2"/>
    <row r="1675" ht="15.75" customHeight="1" x14ac:dyDescent="0.2"/>
    <row r="1676" ht="15.75" customHeight="1" x14ac:dyDescent="0.2"/>
    <row r="1677" ht="15.75" customHeight="1" x14ac:dyDescent="0.2"/>
    <row r="1678" ht="15.75" customHeight="1" x14ac:dyDescent="0.2"/>
    <row r="1679" ht="15.75" customHeight="1" x14ac:dyDescent="0.2"/>
    <row r="1680" ht="15.75" customHeight="1" x14ac:dyDescent="0.2"/>
    <row r="1681" ht="15.75" customHeight="1" x14ac:dyDescent="0.2"/>
    <row r="1682" ht="15.75" customHeight="1" x14ac:dyDescent="0.2"/>
    <row r="1683" ht="15.75" customHeight="1" x14ac:dyDescent="0.2"/>
    <row r="1684" ht="15.75" customHeight="1" x14ac:dyDescent="0.2"/>
    <row r="1685" ht="15.75" customHeight="1" x14ac:dyDescent="0.2"/>
    <row r="1686" ht="15.75" customHeight="1" x14ac:dyDescent="0.2"/>
    <row r="1687" ht="15.75" customHeight="1" x14ac:dyDescent="0.2"/>
    <row r="1688" ht="15.75" customHeight="1" x14ac:dyDescent="0.2"/>
    <row r="1689" ht="15.75" customHeight="1" x14ac:dyDescent="0.2"/>
    <row r="1690" ht="15.75" customHeight="1" x14ac:dyDescent="0.2"/>
    <row r="1691" ht="15.75" customHeight="1" x14ac:dyDescent="0.2"/>
    <row r="1692" ht="15.75" customHeight="1" x14ac:dyDescent="0.2"/>
    <row r="1693" ht="15.75" customHeight="1" x14ac:dyDescent="0.2"/>
    <row r="1694" ht="15.75" customHeight="1" x14ac:dyDescent="0.2"/>
    <row r="1695" ht="15.75" customHeight="1" x14ac:dyDescent="0.2"/>
    <row r="1696" ht="15.75" customHeight="1" x14ac:dyDescent="0.2"/>
    <row r="1697" ht="15.75" customHeight="1" x14ac:dyDescent="0.2"/>
    <row r="1698" ht="15.75" customHeight="1" x14ac:dyDescent="0.2"/>
    <row r="1699" ht="15.75" customHeight="1" x14ac:dyDescent="0.2"/>
    <row r="1700" ht="15.75" customHeight="1" x14ac:dyDescent="0.2"/>
    <row r="1701" ht="15.75" customHeight="1" x14ac:dyDescent="0.2"/>
    <row r="1702" ht="15.75" customHeight="1" x14ac:dyDescent="0.2"/>
    <row r="1703" ht="15.75" customHeight="1" x14ac:dyDescent="0.2"/>
    <row r="1704" ht="15.75" customHeight="1" x14ac:dyDescent="0.2"/>
    <row r="1705" ht="15.75" customHeight="1" x14ac:dyDescent="0.2"/>
    <row r="1706" ht="15.75" customHeight="1" x14ac:dyDescent="0.2"/>
    <row r="1707" ht="15.75" customHeight="1" x14ac:dyDescent="0.2"/>
    <row r="1708" ht="15.75" customHeight="1" x14ac:dyDescent="0.2"/>
    <row r="1709" ht="15.75" customHeight="1" x14ac:dyDescent="0.2"/>
    <row r="1710" ht="15.75" customHeight="1" x14ac:dyDescent="0.2"/>
    <row r="1711" ht="15.75" customHeight="1" x14ac:dyDescent="0.2"/>
    <row r="1712" ht="15.75" customHeight="1" x14ac:dyDescent="0.2"/>
    <row r="1713" ht="15.75" customHeight="1" x14ac:dyDescent="0.2"/>
    <row r="1714" ht="15.75" customHeight="1" x14ac:dyDescent="0.2"/>
    <row r="1715" ht="15.75" customHeight="1" x14ac:dyDescent="0.2"/>
    <row r="1716" ht="15.75" customHeight="1" x14ac:dyDescent="0.2"/>
    <row r="1717" ht="15.75" customHeight="1" x14ac:dyDescent="0.2"/>
    <row r="1718" ht="15.75" customHeight="1" x14ac:dyDescent="0.2"/>
    <row r="1719" ht="15.75" customHeight="1" x14ac:dyDescent="0.2"/>
    <row r="1720" ht="15.75" customHeight="1" x14ac:dyDescent="0.2"/>
  </sheetData>
  <autoFilter ref="A9:N772" xr:uid="{1812D181-03F6-4F46-896F-8DCA24478C42}">
    <filterColumn colId="9" showButton="0"/>
    <filterColumn colId="10" showButton="0"/>
    <filterColumn colId="11" showButton="0"/>
  </autoFilter>
  <mergeCells count="18">
    <mergeCell ref="H9:H10"/>
    <mergeCell ref="I9:I10"/>
    <mergeCell ref="J9:M9"/>
    <mergeCell ref="N9:N10"/>
    <mergeCell ref="O9:O10"/>
    <mergeCell ref="A2:M2"/>
    <mergeCell ref="A3:M3"/>
    <mergeCell ref="A5:I6"/>
    <mergeCell ref="A7:H7"/>
    <mergeCell ref="A8:E8"/>
    <mergeCell ref="F8:O8"/>
    <mergeCell ref="A4:M4"/>
    <mergeCell ref="C9:C10"/>
    <mergeCell ref="D9:D10"/>
    <mergeCell ref="E9:E10"/>
    <mergeCell ref="F9:F10"/>
    <mergeCell ref="A9:A10"/>
    <mergeCell ref="B9:B10"/>
  </mergeCells>
  <dataValidations count="1">
    <dataValidation type="list" allowBlank="1" showErrorMessage="1" sqref="H11:H280" xr:uid="{5754D3FC-A457-41EC-B520-3D59F49F02BF}">
      <formula1>$R$124:$R$133</formula1>
    </dataValidation>
  </dataValidations>
  <printOptions horizontalCentered="1" verticalCentered="1"/>
  <pageMargins left="0.70866141732283472" right="0.70866141732283472" top="0.74803149606299213" bottom="0.74803149606299213" header="0.31496062992125984" footer="0.31496062992125984"/>
  <pageSetup paperSize="5" scale="49" orientation="landscape" horizontalDpi="0" verticalDpi="0" r:id="rId1"/>
  <rowBreaks count="6" manualBreakCount="6">
    <brk id="146" max="15" man="1"/>
    <brk id="212" max="15" man="1"/>
    <brk id="277" max="15" man="1"/>
    <brk id="343" max="15" man="1"/>
    <brk id="364" max="16383" man="1"/>
    <brk id="747" max="15" man="1"/>
  </rowBreaks>
  <colBreaks count="1" manualBreakCount="1">
    <brk id="16" max="1048575" man="1"/>
  </colBreaks>
  <legacyDrawing r:id="rId2"/>
  <extLst>
    <ext xmlns:x14="http://schemas.microsoft.com/office/spreadsheetml/2009/9/main" uri="{CCE6A557-97BC-4b89-ADB6-D9C93CAAB3DF}">
      <x14:dataValidations xmlns:xm="http://schemas.microsoft.com/office/excel/2006/main" count="1">
        <x14:dataValidation type="list" allowBlank="1" showErrorMessage="1" xr:uid="{8F0F11F7-27A6-4329-83B1-359EB5875548}">
          <x14:formula1>
            <xm:f>'4_OyA Transferencias Gob Cent'!#REF!</xm:f>
          </x14:formula1>
          <xm:sqref>H282:H798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DE6F6-FEC7-4393-BA25-422273F96790}">
  <dimension ref="A1:J37"/>
  <sheetViews>
    <sheetView workbookViewId="0">
      <selection activeCell="J5" sqref="J5"/>
    </sheetView>
  </sheetViews>
  <sheetFormatPr baseColWidth="10" defaultRowHeight="12.75" x14ac:dyDescent="0.2"/>
  <cols>
    <col min="2" max="2" width="15.28515625" bestFit="1" customWidth="1"/>
    <col min="4" max="4" width="16.7109375" style="83" bestFit="1" customWidth="1"/>
    <col min="6" max="6" width="16.7109375" bestFit="1" customWidth="1"/>
    <col min="8" max="8" width="15.28515625" bestFit="1" customWidth="1"/>
    <col min="10" max="10" width="17.7109375" bestFit="1" customWidth="1"/>
  </cols>
  <sheetData>
    <row r="1" spans="1:10" x14ac:dyDescent="0.2">
      <c r="A1" t="s">
        <v>183</v>
      </c>
      <c r="B1" s="87">
        <f>+'3_Detalle de origen y aplicació'!I383+'3_Detalle de origen y aplicació'!I384+'3_Detalle de origen y aplicació'!I128+'3_Detalle de origen y aplicació'!I537</f>
        <v>1906576615.5999999</v>
      </c>
      <c r="C1" t="s">
        <v>132</v>
      </c>
      <c r="D1" s="83">
        <f>+'3_Detalle de origen y aplicació'!I63+'3_Detalle de origen y aplicació'!I64+'3_Detalle de origen y aplicació'!I65+'3_Detalle de origen y aplicació'!I66+'3_Detalle de origen y aplicació'!I356+'3_Detalle de origen y aplicació'!I570+'3_Detalle de origen y aplicació'!I571+'3_Detalle de origen y aplicació'!I572</f>
        <v>1367028548.3099999</v>
      </c>
      <c r="E1" t="s">
        <v>407</v>
      </c>
      <c r="G1" t="s">
        <v>160</v>
      </c>
      <c r="H1" s="87">
        <f>+'3_Detalle de origen y aplicació'!I129+'3_Detalle de origen y aplicació'!I633+'3_Detalle de origen y aplicació'!I634+'3_Detalle de origen y aplicació'!I635+'3_Detalle de origen y aplicació'!I73+'3_Detalle de origen y aplicació'!I75+'3_Detalle de origen y aplicació'!I77</f>
        <v>2201544485.1999998</v>
      </c>
      <c r="I1" t="s">
        <v>419</v>
      </c>
      <c r="J1" s="87">
        <f>+'3_Detalle de origen y aplicació'!I464+'3_Detalle de origen y aplicació'!I493+'3_Detalle de origen y aplicació'!I681+1550270.1</f>
        <v>150080514.74000001</v>
      </c>
    </row>
    <row r="2" spans="1:10" x14ac:dyDescent="0.2">
      <c r="A2" s="116" t="s">
        <v>119</v>
      </c>
      <c r="B2" s="87">
        <f>+'3_Detalle de origen y aplicació'!I539</f>
        <v>22746909.329999998</v>
      </c>
      <c r="C2" s="116" t="s">
        <v>564</v>
      </c>
      <c r="E2" s="116" t="s">
        <v>565</v>
      </c>
      <c r="G2" s="116" t="s">
        <v>161</v>
      </c>
      <c r="H2" s="87">
        <f>+'3_Detalle de origen y aplicació'!I79+'3_Detalle de origen y aplicació'!I80+'3_Detalle de origen y aplicació'!I81+'3_Detalle de origen y aplicació'!I83</f>
        <v>103623963.68000001</v>
      </c>
    </row>
    <row r="3" spans="1:10" x14ac:dyDescent="0.2">
      <c r="A3" s="116" t="s">
        <v>120</v>
      </c>
      <c r="C3" s="116" t="s">
        <v>133</v>
      </c>
      <c r="D3" s="83">
        <f>+'3_Detalle de origen y aplicació'!I69+'3_Detalle de origen y aplicació'!I342+'3_Detalle de origen y aplicació'!I430+'3_Detalle de origen y aplicació'!I431+'3_Detalle de origen y aplicació'!I512+Hoja1!F338+'3_Detalle de origen y aplicació'!I574</f>
        <v>6043622028.7699995</v>
      </c>
      <c r="E3" s="116" t="s">
        <v>253</v>
      </c>
      <c r="F3" s="87">
        <f>+'3_Detalle de origen y aplicació'!I734+'3_Detalle de origen y aplicació'!I735+'3_Detalle de origen y aplicació'!I736+'3_Detalle de origen y aplicació'!I158+'3_Detalle de origen y aplicació'!I159</f>
        <v>1633289492.5099998</v>
      </c>
      <c r="G3" s="116" t="s">
        <v>542</v>
      </c>
      <c r="H3" s="87">
        <f>+'3_Detalle de origen y aplicació'!I721</f>
        <v>341380536</v>
      </c>
      <c r="I3" t="s">
        <v>568</v>
      </c>
      <c r="J3" s="87">
        <f>+'3_Detalle de origen y aplicació'!I502</f>
        <v>130958398.59</v>
      </c>
    </row>
    <row r="4" spans="1:10" x14ac:dyDescent="0.2">
      <c r="A4" s="116" t="s">
        <v>385</v>
      </c>
      <c r="C4" s="116" t="s">
        <v>134</v>
      </c>
      <c r="E4" s="116" t="s">
        <v>263</v>
      </c>
      <c r="F4" s="87">
        <f>+'3_Detalle de origen y aplicació'!I189+'3_Detalle de origen y aplicació'!I190+'3_Detalle de origen y aplicació'!I751+'3_Detalle de origen y aplicació'!I752+'3_Detalle de origen y aplicació'!I753</f>
        <v>846007396.38999999</v>
      </c>
      <c r="G4" s="116" t="s">
        <v>412</v>
      </c>
      <c r="H4" s="87">
        <f>+'3_Detalle de origen y aplicació'!I449</f>
        <v>236793600</v>
      </c>
      <c r="J4" s="85">
        <f>+J1+H31+F33+D20+B37</f>
        <v>18021706630.349998</v>
      </c>
    </row>
    <row r="5" spans="1:10" x14ac:dyDescent="0.2">
      <c r="A5" s="116" t="s">
        <v>121</v>
      </c>
      <c r="C5" s="116" t="s">
        <v>135</v>
      </c>
      <c r="D5" s="83">
        <f>+'3_Detalle de origen y aplicació'!I578</f>
        <v>14999793.359999999</v>
      </c>
      <c r="E5" s="116" t="s">
        <v>408</v>
      </c>
      <c r="G5" s="116" t="s">
        <v>162</v>
      </c>
      <c r="H5" s="87">
        <f>+'3_Detalle de origen y aplicació'!I639+'3_Detalle de origen y aplicació'!I640</f>
        <v>116459839.15000001</v>
      </c>
      <c r="J5" s="83">
        <v>18021706630.349998</v>
      </c>
    </row>
    <row r="6" spans="1:10" x14ac:dyDescent="0.2">
      <c r="A6" s="116" t="s">
        <v>122</v>
      </c>
      <c r="B6" s="87">
        <f>+'3_Detalle de origen y aplicació'!I545</f>
        <v>4235438.38</v>
      </c>
      <c r="C6" s="116" t="s">
        <v>404</v>
      </c>
      <c r="D6" s="83">
        <f>+'3_Detalle de origen y aplicació'!I433</f>
        <v>85530482</v>
      </c>
      <c r="E6" s="116" t="s">
        <v>146</v>
      </c>
      <c r="F6" s="87">
        <f>+'3_Detalle de origen y aplicació'!I601</f>
        <v>9999780.1899999995</v>
      </c>
      <c r="G6" s="116" t="s">
        <v>163</v>
      </c>
      <c r="J6" s="85">
        <f>+J4-J5</f>
        <v>0</v>
      </c>
    </row>
    <row r="7" spans="1:10" x14ac:dyDescent="0.2">
      <c r="A7" s="116" t="s">
        <v>123</v>
      </c>
      <c r="B7" s="87">
        <f>+'3_Detalle de origen y aplicació'!I547</f>
        <v>17412225.039999999</v>
      </c>
      <c r="C7" s="116" t="s">
        <v>405</v>
      </c>
      <c r="D7" s="83">
        <f>+'3_Detalle de origen y aplicació'!I435</f>
        <v>39113468</v>
      </c>
      <c r="E7" s="116" t="s">
        <v>147</v>
      </c>
      <c r="F7" s="87">
        <f>+'3_Detalle de origen y aplicació'!I603</f>
        <v>40000000</v>
      </c>
      <c r="G7" s="116" t="s">
        <v>164</v>
      </c>
      <c r="H7" s="87">
        <f>+'3_Detalle de origen y aplicació'!I644</f>
        <v>6839007.9699999997</v>
      </c>
    </row>
    <row r="8" spans="1:10" x14ac:dyDescent="0.2">
      <c r="A8" s="116" t="s">
        <v>124</v>
      </c>
      <c r="B8" s="87">
        <f>+'3_Detalle de origen y aplicació'!I549</f>
        <v>10000000</v>
      </c>
      <c r="C8" s="116" t="s">
        <v>136</v>
      </c>
      <c r="E8" s="116" t="s">
        <v>148</v>
      </c>
      <c r="F8" s="87">
        <f>+'3_Detalle de origen y aplicació'!I605+'3_Detalle de origen y aplicació'!I765</f>
        <v>46695000</v>
      </c>
      <c r="G8" s="116" t="s">
        <v>165</v>
      </c>
      <c r="H8" s="87">
        <f>+'3_Detalle de origen y aplicació'!I646</f>
        <v>297764077</v>
      </c>
    </row>
    <row r="9" spans="1:10" x14ac:dyDescent="0.2">
      <c r="A9" s="116" t="s">
        <v>125</v>
      </c>
      <c r="B9" s="87">
        <f>+'3_Detalle de origen y aplicació'!I551</f>
        <v>35000000</v>
      </c>
      <c r="C9" s="116" t="s">
        <v>137</v>
      </c>
      <c r="E9" s="116" t="s">
        <v>149</v>
      </c>
      <c r="G9" s="116" t="s">
        <v>166</v>
      </c>
      <c r="H9" s="87">
        <f>+'3_Detalle de origen y aplicació'!I648</f>
        <v>5536869.7999999998</v>
      </c>
    </row>
    <row r="10" spans="1:10" x14ac:dyDescent="0.2">
      <c r="A10" s="116" t="s">
        <v>386</v>
      </c>
      <c r="C10" s="116" t="s">
        <v>138</v>
      </c>
      <c r="E10" s="116" t="s">
        <v>150</v>
      </c>
      <c r="F10" s="87">
        <f>+'3_Detalle de origen y aplicació'!I609</f>
        <v>24300000</v>
      </c>
      <c r="G10" s="116" t="s">
        <v>167</v>
      </c>
    </row>
    <row r="11" spans="1:10" x14ac:dyDescent="0.2">
      <c r="A11" s="116" t="s">
        <v>126</v>
      </c>
      <c r="B11" s="87">
        <f>+'3_Detalle de origen y aplicació'!I390+'3_Detalle de origen y aplicació'!I553</f>
        <v>355231615.69999999</v>
      </c>
      <c r="C11" s="116" t="s">
        <v>139</v>
      </c>
      <c r="E11" s="116" t="s">
        <v>409</v>
      </c>
      <c r="G11" s="116" t="s">
        <v>168</v>
      </c>
      <c r="H11" s="87">
        <f>+'3_Detalle de origen y aplicació'!I652</f>
        <v>8716162.0800000001</v>
      </c>
    </row>
    <row r="12" spans="1:10" x14ac:dyDescent="0.2">
      <c r="A12" s="116" t="s">
        <v>387</v>
      </c>
      <c r="B12" s="87">
        <f>+'3_Detalle de origen y aplicació'!I392</f>
        <v>44185567</v>
      </c>
      <c r="C12" s="116" t="s">
        <v>140</v>
      </c>
      <c r="E12" s="116" t="s">
        <v>456</v>
      </c>
      <c r="F12" s="87">
        <f>+'3_Detalle de origen y aplicació'!I506</f>
        <v>9999568.0800000001</v>
      </c>
      <c r="G12" s="116" t="s">
        <v>413</v>
      </c>
    </row>
    <row r="13" spans="1:10" x14ac:dyDescent="0.2">
      <c r="A13" s="116" t="s">
        <v>388</v>
      </c>
      <c r="C13" s="116" t="s">
        <v>141</v>
      </c>
      <c r="E13" s="116" t="s">
        <v>566</v>
      </c>
      <c r="G13" s="116" t="s">
        <v>169</v>
      </c>
    </row>
    <row r="14" spans="1:10" x14ac:dyDescent="0.2">
      <c r="A14" s="116" t="s">
        <v>389</v>
      </c>
      <c r="C14" s="116" t="s">
        <v>142</v>
      </c>
      <c r="E14" s="116" t="s">
        <v>535</v>
      </c>
      <c r="F14" s="87">
        <f>+'3_Detalle de origen y aplicació'!I707</f>
        <v>7426990.1900000004</v>
      </c>
      <c r="G14" s="116" t="s">
        <v>170</v>
      </c>
      <c r="H14" s="87">
        <f>+'3_Detalle de origen y aplicació'!I656</f>
        <v>30185640</v>
      </c>
    </row>
    <row r="15" spans="1:10" x14ac:dyDescent="0.2">
      <c r="A15" s="116" t="s">
        <v>390</v>
      </c>
      <c r="B15" s="87">
        <f>+'3_Detalle de origen y aplicació'!I398</f>
        <v>5244360.78</v>
      </c>
      <c r="C15" s="116" t="s">
        <v>143</v>
      </c>
      <c r="D15" s="83">
        <f>+'3_Detalle de origen y aplicació'!I595</f>
        <v>29999687.780000001</v>
      </c>
      <c r="E15" s="116" t="s">
        <v>567</v>
      </c>
      <c r="F15" s="87">
        <f>+'3_Detalle de origen y aplicació'!I740</f>
        <v>520406.27</v>
      </c>
      <c r="G15" s="116" t="s">
        <v>171</v>
      </c>
    </row>
    <row r="16" spans="1:10" x14ac:dyDescent="0.2">
      <c r="A16" s="116" t="s">
        <v>391</v>
      </c>
      <c r="B16" s="87">
        <f>+'3_Detalle de origen y aplicació'!I400</f>
        <v>59876424.990000002</v>
      </c>
      <c r="C16" s="116" t="s">
        <v>144</v>
      </c>
      <c r="D16" s="83">
        <f>+'3_Detalle de origen y aplicació'!I597</f>
        <v>6524000</v>
      </c>
      <c r="E16" s="116" t="s">
        <v>458</v>
      </c>
      <c r="G16" s="116" t="s">
        <v>172</v>
      </c>
    </row>
    <row r="17" spans="1:8" x14ac:dyDescent="0.2">
      <c r="A17" s="116" t="s">
        <v>392</v>
      </c>
      <c r="B17" s="87">
        <f>+'3_Detalle de origen y aplicació'!I402</f>
        <v>0</v>
      </c>
      <c r="C17" s="116" t="s">
        <v>145</v>
      </c>
      <c r="D17" s="83">
        <f>+'3_Detalle de origen y aplicació'!I599</f>
        <v>6920113</v>
      </c>
      <c r="E17" s="116" t="s">
        <v>330</v>
      </c>
      <c r="G17" s="116" t="s">
        <v>173</v>
      </c>
    </row>
    <row r="18" spans="1:8" x14ac:dyDescent="0.2">
      <c r="A18" s="116" t="s">
        <v>393</v>
      </c>
      <c r="B18" s="87">
        <f>+'3_Detalle de origen y aplicació'!I404</f>
        <v>20000000</v>
      </c>
      <c r="C18" s="116" t="s">
        <v>436</v>
      </c>
      <c r="D18" s="83">
        <f>+'3_Detalle de origen y aplicació'!I483</f>
        <v>99666958.599999994</v>
      </c>
      <c r="E18" s="116" t="s">
        <v>192</v>
      </c>
      <c r="G18" s="116" t="s">
        <v>174</v>
      </c>
      <c r="H18" s="87">
        <f>+'3_Detalle de origen y aplicació'!I665</f>
        <v>45000000</v>
      </c>
    </row>
    <row r="19" spans="1:8" x14ac:dyDescent="0.2">
      <c r="A19" s="116" t="s">
        <v>191</v>
      </c>
      <c r="B19" s="87">
        <f>+'3_Detalle de origen y aplicació'!I406</f>
        <v>0</v>
      </c>
      <c r="C19" s="116" t="s">
        <v>406</v>
      </c>
      <c r="D19" s="83">
        <f>+'3_Detalle de origen y aplicació'!I437</f>
        <v>40000000</v>
      </c>
      <c r="E19" s="116" t="s">
        <v>410</v>
      </c>
      <c r="G19" s="116" t="s">
        <v>414</v>
      </c>
    </row>
    <row r="20" spans="1:8" x14ac:dyDescent="0.2">
      <c r="A20" s="116" t="s">
        <v>562</v>
      </c>
      <c r="B20" s="87">
        <f>+'3_Detalle de origen y aplicació'!I408</f>
        <v>0</v>
      </c>
      <c r="D20" s="83">
        <f>SUM(D1:D19)</f>
        <v>7733405079.8199997</v>
      </c>
      <c r="E20" s="116" t="s">
        <v>151</v>
      </c>
      <c r="G20" s="116" t="s">
        <v>175</v>
      </c>
      <c r="H20" s="87">
        <f>+'3_Detalle de origen y aplicació'!I667</f>
        <v>50000000</v>
      </c>
    </row>
    <row r="21" spans="1:8" x14ac:dyDescent="0.2">
      <c r="A21" s="116" t="s">
        <v>394</v>
      </c>
      <c r="B21" s="87">
        <f>+'3_Detalle de origen y aplicació'!I408</f>
        <v>0</v>
      </c>
      <c r="E21" s="116" t="s">
        <v>152</v>
      </c>
      <c r="G21" s="116" t="s">
        <v>176</v>
      </c>
    </row>
    <row r="22" spans="1:8" x14ac:dyDescent="0.2">
      <c r="A22" s="116" t="s">
        <v>563</v>
      </c>
      <c r="B22" s="87" t="s">
        <v>0</v>
      </c>
      <c r="E22" s="116" t="s">
        <v>153</v>
      </c>
      <c r="F22" s="87">
        <f>+'3_Detalle de origen y aplicació'!I617</f>
        <v>19259729</v>
      </c>
      <c r="G22" s="116" t="s">
        <v>177</v>
      </c>
    </row>
    <row r="23" spans="1:8" x14ac:dyDescent="0.2">
      <c r="A23" s="116" t="s">
        <v>395</v>
      </c>
      <c r="B23" s="87">
        <f>+'3_Detalle de origen y aplicació'!I410</f>
        <v>0</v>
      </c>
      <c r="E23" s="116" t="s">
        <v>154</v>
      </c>
      <c r="F23" s="87">
        <f>+'3_Detalle de origen y aplicació'!I619</f>
        <v>30000000</v>
      </c>
      <c r="G23" s="116" t="s">
        <v>178</v>
      </c>
      <c r="H23" s="87">
        <f>+'3_Detalle de origen y aplicació'!I455+'3_Detalle de origen y aplicació'!I673</f>
        <v>238000000</v>
      </c>
    </row>
    <row r="24" spans="1:8" x14ac:dyDescent="0.2">
      <c r="A24" s="116" t="s">
        <v>396</v>
      </c>
      <c r="E24" s="116" t="s">
        <v>155</v>
      </c>
      <c r="F24" s="87">
        <f>+'3_Detalle de origen y aplicació'!I621</f>
        <v>44225706.810000002</v>
      </c>
      <c r="G24" s="116" t="s">
        <v>179</v>
      </c>
      <c r="H24" s="87">
        <f>238000000-H23</f>
        <v>0</v>
      </c>
    </row>
    <row r="25" spans="1:8" x14ac:dyDescent="0.2">
      <c r="A25" s="116" t="s">
        <v>397</v>
      </c>
      <c r="B25" s="87">
        <f>+'3_Detalle de origen y aplicació'!I414</f>
        <v>30000000</v>
      </c>
      <c r="E25" s="116" t="s">
        <v>156</v>
      </c>
      <c r="F25" s="87">
        <f>+'3_Detalle de origen y aplicació'!I623</f>
        <v>27340000</v>
      </c>
      <c r="G25" s="116" t="s">
        <v>415</v>
      </c>
    </row>
    <row r="26" spans="1:8" x14ac:dyDescent="0.2">
      <c r="A26" s="116" t="s">
        <v>127</v>
      </c>
      <c r="B26" s="87">
        <f>+'3_Detalle de origen y aplicació'!I416</f>
        <v>22632502.530000001</v>
      </c>
      <c r="E26" s="116" t="s">
        <v>157</v>
      </c>
      <c r="F26" s="87">
        <f>+'3_Detalle de origen y aplicació'!I625</f>
        <v>275892193.38</v>
      </c>
      <c r="G26" s="116" t="s">
        <v>180</v>
      </c>
      <c r="H26" s="87">
        <f>+'3_Detalle de origen y aplicació'!I677</f>
        <v>16600000</v>
      </c>
    </row>
    <row r="27" spans="1:8" x14ac:dyDescent="0.2">
      <c r="A27" s="116" t="s">
        <v>398</v>
      </c>
      <c r="E27" s="116" t="s">
        <v>158</v>
      </c>
      <c r="F27" s="87">
        <f>+'3_Detalle de origen y aplicació'!I627</f>
        <v>0</v>
      </c>
      <c r="G27" s="116" t="s">
        <v>181</v>
      </c>
      <c r="H27" s="87">
        <f>+'3_Detalle de origen y aplicació'!I679</f>
        <v>26906107</v>
      </c>
    </row>
    <row r="28" spans="1:8" x14ac:dyDescent="0.2">
      <c r="A28" s="116" t="s">
        <v>399</v>
      </c>
      <c r="B28" s="87">
        <f>+'3_Detalle de origen y aplicació'!I420</f>
        <v>20000000</v>
      </c>
      <c r="E28" s="116" t="s">
        <v>159</v>
      </c>
      <c r="F28" s="87">
        <f>+'3_Detalle de origen y aplicació'!I629</f>
        <v>10000000</v>
      </c>
      <c r="G28" s="116" t="s">
        <v>416</v>
      </c>
      <c r="H28" s="87">
        <f>+'3_Detalle de origen y aplicació'!I459</f>
        <v>1340724.8</v>
      </c>
    </row>
    <row r="29" spans="1:8" x14ac:dyDescent="0.2">
      <c r="A29" s="116" t="s">
        <v>400</v>
      </c>
      <c r="E29" s="116" t="s">
        <v>411</v>
      </c>
      <c r="F29" s="87">
        <f>+'3_Detalle de origen y aplicació'!I447</f>
        <v>400000000</v>
      </c>
      <c r="G29" s="116" t="s">
        <v>417</v>
      </c>
      <c r="H29" s="87">
        <f>+'3_Detalle de origen y aplicació'!I461</f>
        <v>7692000</v>
      </c>
    </row>
    <row r="30" spans="1:8" x14ac:dyDescent="0.2">
      <c r="A30" s="116" t="s">
        <v>401</v>
      </c>
      <c r="B30" s="87">
        <f>+'3_Detalle de origen y aplicació'!I424</f>
        <v>15000000</v>
      </c>
      <c r="E30" s="116" t="s">
        <v>460</v>
      </c>
      <c r="F30" s="87">
        <f>+'3_Detalle de origen y aplicació'!I509</f>
        <v>4764671</v>
      </c>
      <c r="G30" s="116" t="s">
        <v>418</v>
      </c>
      <c r="H30" s="87">
        <f>+'3_Detalle de origen y aplicació'!I463</f>
        <v>23869351.149999999</v>
      </c>
    </row>
    <row r="31" spans="1:8" x14ac:dyDescent="0.2">
      <c r="A31" s="116" t="s">
        <v>128</v>
      </c>
      <c r="E31" s="116" t="s">
        <v>556</v>
      </c>
      <c r="F31" s="87">
        <f>+'3_Detalle de origen y aplicació'!I755</f>
        <v>63419867</v>
      </c>
      <c r="H31" s="87">
        <f>SUM(H1:H30)</f>
        <v>3758252363.8299999</v>
      </c>
    </row>
    <row r="32" spans="1:8" x14ac:dyDescent="0.2">
      <c r="A32" s="116" t="s">
        <v>129</v>
      </c>
      <c r="B32" s="87">
        <f>+'3_Detalle de origen y aplicació'!I563</f>
        <v>6263398.2000000002</v>
      </c>
      <c r="E32" s="116" t="s">
        <v>190</v>
      </c>
      <c r="F32" s="87">
        <f>+'3_Detalle de origen y aplicació'!I631</f>
        <v>36217750</v>
      </c>
      <c r="H32" s="87">
        <f>+H31-3758252363.83</f>
        <v>0</v>
      </c>
    </row>
    <row r="33" spans="1:8" x14ac:dyDescent="0.2">
      <c r="A33" s="116" t="s">
        <v>402</v>
      </c>
      <c r="B33" s="87">
        <f>+'3_Detalle de origen y aplicació'!I426</f>
        <v>212407515</v>
      </c>
      <c r="F33" s="83">
        <f>SUM(F1:F32)</f>
        <v>3529358550.8199997</v>
      </c>
      <c r="H33" s="87" t="e">
        <f>+'3_Detalle de origen y aplicació'!#REF!</f>
        <v>#REF!</v>
      </c>
    </row>
    <row r="34" spans="1:8" x14ac:dyDescent="0.2">
      <c r="A34" s="116" t="s">
        <v>130</v>
      </c>
      <c r="B34" s="87">
        <f>+'3_Detalle de origen y aplicació'!I565</f>
        <v>9590908.5899999999</v>
      </c>
      <c r="F34" s="83">
        <v>3529358550.8200002</v>
      </c>
      <c r="H34" s="87" t="e">
        <f>+H33-H32</f>
        <v>#REF!</v>
      </c>
    </row>
    <row r="35" spans="1:8" x14ac:dyDescent="0.2">
      <c r="A35" s="116" t="s">
        <v>131</v>
      </c>
      <c r="B35" s="87">
        <f>+'3_Detalle de origen y aplicació'!I567</f>
        <v>21630640</v>
      </c>
      <c r="F35" s="83">
        <f>+F33-F34</f>
        <v>0</v>
      </c>
    </row>
    <row r="36" spans="1:8" x14ac:dyDescent="0.2">
      <c r="A36" s="116" t="s">
        <v>403</v>
      </c>
      <c r="B36" s="87">
        <f>+'3_Detalle de origen y aplicació'!I428</f>
        <v>32576000</v>
      </c>
    </row>
    <row r="37" spans="1:8" x14ac:dyDescent="0.2">
      <c r="B37" s="87">
        <f>SUM(B1:B36)</f>
        <v>2850610121.1399999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05"/>
  <sheetViews>
    <sheetView showGridLines="0" view="pageBreakPreview" topLeftCell="E1" zoomScaleNormal="100" zoomScaleSheetLayoutView="100" workbookViewId="0">
      <pane ySplit="9" topLeftCell="A10" activePane="bottomLeft" state="frozen"/>
      <selection pane="bottomLeft" activeCell="J19" sqref="J19"/>
    </sheetView>
  </sheetViews>
  <sheetFormatPr baseColWidth="10" defaultColWidth="14.42578125" defaultRowHeight="15" customHeight="1" x14ac:dyDescent="0.2"/>
  <cols>
    <col min="1" max="1" width="1.5703125" customWidth="1"/>
    <col min="2" max="2" width="16.42578125" customWidth="1"/>
    <col min="3" max="3" width="17.5703125" customWidth="1"/>
    <col min="4" max="4" width="35.5703125" customWidth="1"/>
    <col min="5" max="5" width="16.28515625" customWidth="1"/>
    <col min="6" max="7" width="18.7109375" customWidth="1"/>
    <col min="8" max="8" width="18.85546875" customWidth="1"/>
    <col min="9" max="9" width="16.7109375" customWidth="1"/>
    <col min="10" max="10" width="19.85546875" customWidth="1"/>
    <col min="11" max="11" width="18.85546875" customWidth="1"/>
    <col min="12" max="12" width="18.7109375" customWidth="1"/>
    <col min="13" max="13" width="18.7109375" style="130" customWidth="1"/>
    <col min="14" max="14" width="18.7109375" style="130" hidden="1" customWidth="1"/>
    <col min="15" max="16" width="18.7109375" customWidth="1"/>
    <col min="17" max="17" width="30.7109375" customWidth="1"/>
    <col min="18" max="18" width="5.42578125" customWidth="1"/>
    <col min="19" max="28" width="10.7109375" customWidth="1"/>
  </cols>
  <sheetData>
    <row r="1" spans="1:28" ht="15.75" x14ac:dyDescent="0.25">
      <c r="B1" s="415" t="s">
        <v>628</v>
      </c>
      <c r="C1" s="377"/>
      <c r="D1" s="377"/>
      <c r="E1" s="377"/>
      <c r="F1" s="377"/>
      <c r="G1" s="377"/>
      <c r="H1" s="377"/>
      <c r="I1" s="377"/>
      <c r="J1" s="377"/>
      <c r="K1" s="377"/>
      <c r="L1" s="377"/>
      <c r="M1" s="377"/>
      <c r="N1" s="377"/>
      <c r="O1" s="377"/>
      <c r="T1" s="60"/>
    </row>
    <row r="2" spans="1:28" ht="15.75" x14ac:dyDescent="0.25">
      <c r="B2" s="415" t="s">
        <v>59</v>
      </c>
      <c r="C2" s="377"/>
      <c r="D2" s="377"/>
      <c r="E2" s="377"/>
      <c r="F2" s="377"/>
      <c r="G2" s="377"/>
      <c r="H2" s="377"/>
      <c r="I2" s="377"/>
      <c r="J2" s="377"/>
      <c r="K2" s="377"/>
      <c r="L2" s="377"/>
      <c r="M2" s="377"/>
      <c r="N2" s="377"/>
      <c r="O2" s="377"/>
      <c r="T2" s="60"/>
    </row>
    <row r="3" spans="1:28" ht="15.75" x14ac:dyDescent="0.25">
      <c r="B3" s="415" t="s">
        <v>60</v>
      </c>
      <c r="C3" s="377"/>
      <c r="D3" s="377"/>
      <c r="E3" s="377"/>
      <c r="F3" s="377"/>
      <c r="G3" s="377"/>
      <c r="H3" s="377"/>
      <c r="I3" s="377"/>
      <c r="J3" s="377"/>
      <c r="K3" s="377"/>
      <c r="L3" s="377"/>
      <c r="M3" s="377"/>
      <c r="N3" s="377"/>
      <c r="O3" s="377"/>
      <c r="T3" s="60"/>
    </row>
    <row r="4" spans="1:28" ht="7.5" customHeight="1" x14ac:dyDescent="0.25">
      <c r="B4" s="59"/>
      <c r="C4" s="59"/>
      <c r="D4" s="59"/>
      <c r="E4" s="59"/>
      <c r="F4" s="59"/>
      <c r="G4" s="59"/>
      <c r="H4" s="59"/>
      <c r="I4" s="59"/>
      <c r="J4" s="59"/>
      <c r="K4" s="59"/>
      <c r="L4" s="59"/>
      <c r="M4" s="133"/>
      <c r="N4" s="133"/>
      <c r="O4" s="59"/>
      <c r="T4" s="60"/>
    </row>
    <row r="5" spans="1:28" ht="24" hidden="1" customHeight="1" x14ac:dyDescent="0.25">
      <c r="A5" s="61"/>
      <c r="B5" s="416" t="s">
        <v>61</v>
      </c>
      <c r="C5" s="417"/>
      <c r="D5" s="417"/>
      <c r="E5" s="417"/>
      <c r="F5" s="417"/>
      <c r="G5" s="417"/>
      <c r="H5" s="417"/>
      <c r="I5" s="417"/>
      <c r="J5" s="417"/>
      <c r="K5" s="417"/>
      <c r="L5" s="417"/>
      <c r="M5" s="399"/>
      <c r="N5" s="399"/>
      <c r="O5" s="417"/>
      <c r="P5" s="417"/>
      <c r="Q5" s="417"/>
      <c r="R5" s="61"/>
      <c r="S5" s="61"/>
      <c r="T5" s="60"/>
      <c r="U5" s="61"/>
      <c r="V5" s="61"/>
      <c r="W5" s="61"/>
      <c r="X5" s="61"/>
      <c r="Y5" s="61"/>
      <c r="Z5" s="61"/>
      <c r="AA5" s="61"/>
      <c r="AB5" s="61"/>
    </row>
    <row r="6" spans="1:28" ht="6.75" customHeight="1" x14ac:dyDescent="0.25">
      <c r="B6" s="62"/>
      <c r="C6" s="62"/>
      <c r="D6" s="62"/>
      <c r="E6" s="62"/>
      <c r="F6" s="63"/>
      <c r="G6" s="63"/>
      <c r="H6" s="63"/>
      <c r="I6" s="63"/>
      <c r="J6" s="64"/>
      <c r="K6" s="64"/>
      <c r="L6" s="64"/>
      <c r="M6" s="64"/>
      <c r="N6" s="64"/>
      <c r="O6" s="64"/>
      <c r="T6" s="60"/>
    </row>
    <row r="7" spans="1:28" ht="15.75" x14ac:dyDescent="0.25">
      <c r="B7" s="401" t="s">
        <v>42</v>
      </c>
      <c r="C7" s="402"/>
      <c r="D7" s="402"/>
      <c r="E7" s="402"/>
      <c r="F7" s="402"/>
      <c r="G7" s="402"/>
      <c r="H7" s="375"/>
      <c r="I7" s="401" t="s">
        <v>43</v>
      </c>
      <c r="J7" s="402"/>
      <c r="K7" s="402"/>
      <c r="L7" s="402"/>
      <c r="M7" s="402"/>
      <c r="N7" s="402"/>
      <c r="O7" s="402"/>
      <c r="P7" s="402"/>
      <c r="Q7" s="375"/>
      <c r="T7" s="60"/>
    </row>
    <row r="8" spans="1:28" ht="15" customHeight="1" x14ac:dyDescent="0.25">
      <c r="B8" s="414" t="s">
        <v>62</v>
      </c>
      <c r="C8" s="411" t="s">
        <v>63</v>
      </c>
      <c r="D8" s="411" t="s">
        <v>64</v>
      </c>
      <c r="E8" s="413" t="s">
        <v>65</v>
      </c>
      <c r="F8" s="413" t="s">
        <v>66</v>
      </c>
      <c r="G8" s="413" t="s">
        <v>47</v>
      </c>
      <c r="H8" s="413" t="s">
        <v>67</v>
      </c>
      <c r="I8" s="65"/>
      <c r="J8" s="65"/>
      <c r="K8" s="418" t="s">
        <v>68</v>
      </c>
      <c r="L8" s="419"/>
      <c r="M8" s="420"/>
      <c r="N8" s="307"/>
      <c r="O8" s="409" t="s">
        <v>69</v>
      </c>
      <c r="P8" s="409" t="s">
        <v>53</v>
      </c>
      <c r="Q8" s="409" t="s">
        <v>54</v>
      </c>
      <c r="T8" s="60"/>
    </row>
    <row r="9" spans="1:28" ht="44.25" customHeight="1" x14ac:dyDescent="0.25">
      <c r="B9" s="412"/>
      <c r="C9" s="412"/>
      <c r="D9" s="412"/>
      <c r="E9" s="412"/>
      <c r="F9" s="412"/>
      <c r="G9" s="412"/>
      <c r="H9" s="412"/>
      <c r="I9" s="66" t="s">
        <v>70</v>
      </c>
      <c r="J9" s="67" t="s">
        <v>71</v>
      </c>
      <c r="K9" s="68" t="s">
        <v>72</v>
      </c>
      <c r="L9" s="68" t="s">
        <v>73</v>
      </c>
      <c r="M9" s="308" t="s">
        <v>57</v>
      </c>
      <c r="N9" s="308"/>
      <c r="O9" s="412"/>
      <c r="P9" s="412"/>
      <c r="Q9" s="412"/>
      <c r="T9" s="60" t="s">
        <v>74</v>
      </c>
    </row>
    <row r="10" spans="1:28" ht="38.25" x14ac:dyDescent="0.25">
      <c r="B10" s="69" t="s">
        <v>76</v>
      </c>
      <c r="C10" s="304" t="s">
        <v>84</v>
      </c>
      <c r="D10" s="69" t="s">
        <v>629</v>
      </c>
      <c r="E10" s="305" t="s">
        <v>80</v>
      </c>
      <c r="F10" s="212">
        <v>558720000</v>
      </c>
      <c r="G10" s="149">
        <v>558720000</v>
      </c>
      <c r="H10" s="305">
        <v>558720000</v>
      </c>
      <c r="I10" s="153" t="s">
        <v>261</v>
      </c>
      <c r="J10" s="153" t="s">
        <v>97</v>
      </c>
      <c r="K10" s="73"/>
      <c r="L10" s="74"/>
      <c r="M10" s="74"/>
      <c r="N10" s="74"/>
      <c r="O10" s="73">
        <f>SUM(K10:M10)</f>
        <v>0</v>
      </c>
      <c r="P10" s="309">
        <v>8000000</v>
      </c>
      <c r="Q10" s="76"/>
      <c r="T10" s="60" t="s">
        <v>75</v>
      </c>
    </row>
    <row r="11" spans="1:28" s="130" customFormat="1" x14ac:dyDescent="0.25">
      <c r="B11" s="69"/>
      <c r="C11" s="304"/>
      <c r="D11" s="69"/>
      <c r="E11" s="305"/>
      <c r="F11" s="305"/>
      <c r="G11" s="305"/>
      <c r="H11" s="305"/>
      <c r="I11" s="153"/>
      <c r="J11" s="153"/>
      <c r="K11" s="73"/>
      <c r="L11" s="74"/>
      <c r="M11" s="74"/>
      <c r="N11" s="74"/>
      <c r="O11" s="73">
        <f t="shared" ref="O11:O23" si="0">SUM(K11:M11)</f>
        <v>0</v>
      </c>
      <c r="P11" s="309"/>
      <c r="Q11" s="76"/>
      <c r="T11" s="60"/>
    </row>
    <row r="12" spans="1:28" s="130" customFormat="1" ht="25.5" x14ac:dyDescent="0.25">
      <c r="B12" s="69"/>
      <c r="C12" s="304"/>
      <c r="D12" s="69"/>
      <c r="E12" s="305"/>
      <c r="F12" s="305"/>
      <c r="G12" s="305"/>
      <c r="H12" s="305"/>
      <c r="I12" s="153" t="s">
        <v>182</v>
      </c>
      <c r="J12" s="153" t="s">
        <v>93</v>
      </c>
      <c r="K12" s="151">
        <v>172901580.71000001</v>
      </c>
      <c r="L12" s="74"/>
      <c r="M12" s="74"/>
      <c r="N12" s="74"/>
      <c r="O12" s="73">
        <f t="shared" si="0"/>
        <v>172901580.71000001</v>
      </c>
      <c r="P12" s="309">
        <v>32470739.039999992</v>
      </c>
      <c r="Q12" s="76"/>
      <c r="T12" s="60"/>
    </row>
    <row r="13" spans="1:28" s="130" customFormat="1" x14ac:dyDescent="0.25">
      <c r="B13" s="69"/>
      <c r="C13" s="304"/>
      <c r="D13" s="69"/>
      <c r="E13" s="305"/>
      <c r="F13" s="305"/>
      <c r="G13" s="305"/>
      <c r="H13" s="305"/>
      <c r="I13" s="153"/>
      <c r="J13" s="153" t="s">
        <v>97</v>
      </c>
      <c r="K13" s="73"/>
      <c r="L13" s="74"/>
      <c r="M13" s="151">
        <v>77555887.959999993</v>
      </c>
      <c r="N13" s="74"/>
      <c r="O13" s="73">
        <f t="shared" si="0"/>
        <v>77555887.959999993</v>
      </c>
      <c r="P13" s="309">
        <v>9071792.2900000066</v>
      </c>
      <c r="Q13" s="76"/>
      <c r="T13" s="60"/>
    </row>
    <row r="14" spans="1:28" s="130" customFormat="1" x14ac:dyDescent="0.25">
      <c r="B14" s="69"/>
      <c r="C14" s="304"/>
      <c r="D14" s="69"/>
      <c r="E14" s="305"/>
      <c r="F14" s="305"/>
      <c r="G14" s="305"/>
      <c r="H14" s="305"/>
      <c r="I14" s="153"/>
      <c r="J14" s="153"/>
      <c r="K14" s="73"/>
      <c r="L14" s="74"/>
      <c r="M14" s="74"/>
      <c r="N14" s="74"/>
      <c r="O14" s="73">
        <f t="shared" si="0"/>
        <v>0</v>
      </c>
      <c r="P14" s="309"/>
      <c r="Q14" s="76"/>
      <c r="T14" s="60"/>
    </row>
    <row r="15" spans="1:28" s="130" customFormat="1" x14ac:dyDescent="0.25">
      <c r="B15" s="69"/>
      <c r="C15" s="304"/>
      <c r="D15" s="69"/>
      <c r="E15" s="305"/>
      <c r="F15" s="305"/>
      <c r="G15" s="305"/>
      <c r="H15" s="305"/>
      <c r="I15" s="153" t="s">
        <v>330</v>
      </c>
      <c r="J15" s="153" t="s">
        <v>94</v>
      </c>
      <c r="K15" s="73"/>
      <c r="L15" s="74"/>
      <c r="M15" s="74"/>
      <c r="N15" s="74"/>
      <c r="O15" s="73">
        <f t="shared" si="0"/>
        <v>0</v>
      </c>
      <c r="P15" s="309">
        <v>258720000</v>
      </c>
      <c r="Q15" s="76"/>
      <c r="T15" s="60"/>
    </row>
    <row r="16" spans="1:28" s="130" customFormat="1" x14ac:dyDescent="0.25">
      <c r="B16" s="69"/>
      <c r="C16" s="304"/>
      <c r="D16" s="69"/>
      <c r="E16" s="305"/>
      <c r="F16" s="305"/>
      <c r="G16" s="305"/>
      <c r="H16" s="305"/>
      <c r="I16" s="153"/>
      <c r="J16" s="153"/>
      <c r="K16" s="309">
        <f t="shared" ref="K16:O16" si="1">SUM(K10:K15)</f>
        <v>172901580.71000001</v>
      </c>
      <c r="L16" s="309">
        <f t="shared" si="1"/>
        <v>0</v>
      </c>
      <c r="M16" s="309">
        <f t="shared" si="1"/>
        <v>77555887.959999993</v>
      </c>
      <c r="N16" s="309">
        <f t="shared" si="1"/>
        <v>0</v>
      </c>
      <c r="O16" s="309">
        <f t="shared" si="1"/>
        <v>250457468.67000002</v>
      </c>
      <c r="P16" s="309">
        <f>SUM(P10:P15)</f>
        <v>308262531.32999998</v>
      </c>
      <c r="Q16" s="76"/>
      <c r="T16" s="60"/>
    </row>
    <row r="17" spans="2:21" ht="38.25" x14ac:dyDescent="0.25">
      <c r="B17" s="69" t="s">
        <v>76</v>
      </c>
      <c r="C17" s="304" t="s">
        <v>85</v>
      </c>
      <c r="D17" s="69" t="s">
        <v>630</v>
      </c>
      <c r="E17" s="305" t="s">
        <v>80</v>
      </c>
      <c r="F17" s="305">
        <v>1073302108</v>
      </c>
      <c r="G17" s="305">
        <v>1073302108</v>
      </c>
      <c r="H17" s="305">
        <v>1073302108</v>
      </c>
      <c r="I17" s="153" t="s">
        <v>133</v>
      </c>
      <c r="J17" s="306" t="s">
        <v>94</v>
      </c>
      <c r="K17" s="73"/>
      <c r="L17" s="73">
        <v>1073302108</v>
      </c>
      <c r="M17" s="74"/>
      <c r="N17" s="74"/>
      <c r="O17" s="73">
        <f t="shared" si="0"/>
        <v>1073302108</v>
      </c>
      <c r="P17" s="309">
        <v>0</v>
      </c>
      <c r="Q17" s="76"/>
      <c r="T17" s="60" t="s">
        <v>76</v>
      </c>
    </row>
    <row r="18" spans="2:21" s="130" customFormat="1" x14ac:dyDescent="0.25">
      <c r="B18" s="69"/>
      <c r="C18" s="304"/>
      <c r="D18" s="69"/>
      <c r="E18" s="305"/>
      <c r="F18" s="305"/>
      <c r="G18" s="305"/>
      <c r="H18" s="305"/>
      <c r="I18" s="153"/>
      <c r="J18" s="306"/>
      <c r="K18" s="73">
        <f>SUM(K17)</f>
        <v>0</v>
      </c>
      <c r="L18" s="73">
        <f t="shared" ref="L18:P18" si="2">SUM(L17)</f>
        <v>1073302108</v>
      </c>
      <c r="M18" s="73">
        <f t="shared" si="2"/>
        <v>0</v>
      </c>
      <c r="N18" s="73">
        <f t="shared" si="2"/>
        <v>0</v>
      </c>
      <c r="O18" s="73">
        <f t="shared" si="2"/>
        <v>1073302108</v>
      </c>
      <c r="P18" s="73">
        <f t="shared" si="2"/>
        <v>0</v>
      </c>
      <c r="Q18" s="76"/>
      <c r="T18" s="60"/>
    </row>
    <row r="19" spans="2:21" ht="51" x14ac:dyDescent="0.25">
      <c r="B19" s="69" t="s">
        <v>76</v>
      </c>
      <c r="C19" s="304" t="s">
        <v>86</v>
      </c>
      <c r="D19" s="69" t="s">
        <v>333</v>
      </c>
      <c r="E19" s="305" t="s">
        <v>80</v>
      </c>
      <c r="F19" s="305">
        <v>1200000000</v>
      </c>
      <c r="G19" s="305">
        <v>1200000000</v>
      </c>
      <c r="H19" s="305">
        <v>1200000000</v>
      </c>
      <c r="I19" s="153" t="s">
        <v>178</v>
      </c>
      <c r="J19" s="306" t="s">
        <v>94</v>
      </c>
      <c r="K19" s="73"/>
      <c r="L19" s="74"/>
      <c r="M19" s="74"/>
      <c r="N19" s="74"/>
      <c r="O19" s="73">
        <f t="shared" si="0"/>
        <v>0</v>
      </c>
      <c r="P19" s="309">
        <v>1200000000</v>
      </c>
      <c r="Q19" s="76"/>
      <c r="T19" s="60"/>
      <c r="U19" s="77"/>
    </row>
    <row r="20" spans="2:21" s="130" customFormat="1" x14ac:dyDescent="0.25">
      <c r="B20" s="69"/>
      <c r="C20" s="310"/>
      <c r="D20" s="69"/>
      <c r="E20" s="311"/>
      <c r="F20" s="305"/>
      <c r="G20" s="305"/>
      <c r="H20" s="305"/>
      <c r="I20" s="312"/>
      <c r="J20" s="313"/>
      <c r="K20" s="73">
        <f>SUM(K19)</f>
        <v>0</v>
      </c>
      <c r="L20" s="73">
        <f t="shared" ref="L20" si="3">SUM(L19)</f>
        <v>0</v>
      </c>
      <c r="M20" s="73">
        <f t="shared" ref="M20" si="4">SUM(M19)</f>
        <v>0</v>
      </c>
      <c r="N20" s="73">
        <f t="shared" ref="N20" si="5">SUM(N19)</f>
        <v>0</v>
      </c>
      <c r="O20" s="73">
        <f t="shared" ref="O20" si="6">SUM(O19)</f>
        <v>0</v>
      </c>
      <c r="P20" s="73">
        <f t="shared" ref="P20" si="7">SUM(P19)</f>
        <v>1200000000</v>
      </c>
      <c r="Q20" s="76"/>
      <c r="T20" s="60"/>
      <c r="U20" s="79"/>
    </row>
    <row r="21" spans="2:21" ht="25.5" x14ac:dyDescent="0.25">
      <c r="B21" s="69" t="s">
        <v>76</v>
      </c>
      <c r="C21" s="69" t="s">
        <v>88</v>
      </c>
      <c r="D21" s="69" t="s">
        <v>631</v>
      </c>
      <c r="E21" s="70" t="s">
        <v>80</v>
      </c>
      <c r="F21" s="212">
        <v>103200000</v>
      </c>
      <c r="G21" s="212">
        <v>103200000</v>
      </c>
      <c r="H21" s="149">
        <v>61598011.43</v>
      </c>
      <c r="I21" s="72" t="s">
        <v>316</v>
      </c>
      <c r="J21" s="58" t="s">
        <v>90</v>
      </c>
      <c r="K21" s="73">
        <v>53478323.00999999</v>
      </c>
      <c r="L21" s="74"/>
      <c r="M21" s="74"/>
      <c r="N21" s="74"/>
      <c r="O21" s="73">
        <f t="shared" si="0"/>
        <v>53478323.00999999</v>
      </c>
      <c r="P21" s="75"/>
      <c r="Q21" s="76"/>
      <c r="T21" s="78"/>
      <c r="U21" s="77"/>
    </row>
    <row r="22" spans="2:21" x14ac:dyDescent="0.25">
      <c r="B22" s="69"/>
      <c r="C22" s="69"/>
      <c r="D22" s="69"/>
      <c r="E22" s="70"/>
      <c r="F22" s="71"/>
      <c r="G22" s="71"/>
      <c r="H22" s="71"/>
      <c r="I22" s="72"/>
      <c r="J22" s="58" t="s">
        <v>91</v>
      </c>
      <c r="K22" s="73">
        <v>1827801.44</v>
      </c>
      <c r="L22" s="74"/>
      <c r="M22" s="74"/>
      <c r="N22" s="74"/>
      <c r="O22" s="73">
        <f t="shared" si="0"/>
        <v>1827801.44</v>
      </c>
      <c r="P22" s="75"/>
      <c r="Q22" s="76"/>
      <c r="T22" s="78" t="s">
        <v>77</v>
      </c>
      <c r="U22" s="79" t="s">
        <v>78</v>
      </c>
    </row>
    <row r="23" spans="2:21" ht="25.5" x14ac:dyDescent="0.25">
      <c r="B23" s="69"/>
      <c r="C23" s="69"/>
      <c r="D23" s="69"/>
      <c r="E23" s="70"/>
      <c r="F23" s="71"/>
      <c r="G23" s="71"/>
      <c r="H23" s="71"/>
      <c r="I23" s="72"/>
      <c r="J23" s="58" t="s">
        <v>95</v>
      </c>
      <c r="K23" s="73">
        <v>6291886.9800000004</v>
      </c>
      <c r="L23" s="74"/>
      <c r="M23" s="74"/>
      <c r="N23" s="74"/>
      <c r="O23" s="73">
        <f t="shared" si="0"/>
        <v>6291886.9800000004</v>
      </c>
      <c r="P23" s="75"/>
      <c r="Q23" s="76"/>
      <c r="T23" s="78" t="s">
        <v>79</v>
      </c>
      <c r="U23" s="79" t="s">
        <v>80</v>
      </c>
    </row>
    <row r="24" spans="2:21" x14ac:dyDescent="0.25">
      <c r="B24" s="69"/>
      <c r="C24" s="69"/>
      <c r="D24" s="69"/>
      <c r="E24" s="70"/>
      <c r="F24" s="71"/>
      <c r="G24" s="71"/>
      <c r="H24" s="71"/>
      <c r="I24" s="72"/>
      <c r="J24" s="58"/>
      <c r="K24" s="73">
        <f>SUM(K21:K23)</f>
        <v>61598011.429999992</v>
      </c>
      <c r="L24" s="73">
        <f t="shared" ref="L24:P24" si="8">SUM(L21:L23)</f>
        <v>0</v>
      </c>
      <c r="M24" s="73">
        <f t="shared" si="8"/>
        <v>0</v>
      </c>
      <c r="N24" s="73">
        <f t="shared" si="8"/>
        <v>0</v>
      </c>
      <c r="O24" s="73">
        <f t="shared" si="8"/>
        <v>61598011.429999992</v>
      </c>
      <c r="P24" s="73">
        <f t="shared" si="8"/>
        <v>0</v>
      </c>
      <c r="Q24" s="76"/>
      <c r="T24" s="78" t="s">
        <v>81</v>
      </c>
      <c r="U24" s="77"/>
    </row>
    <row r="25" spans="2:21" x14ac:dyDescent="0.25">
      <c r="B25" s="69"/>
      <c r="C25" s="69"/>
      <c r="D25" s="69"/>
      <c r="E25" s="70"/>
      <c r="F25" s="71"/>
      <c r="G25" s="71"/>
      <c r="H25" s="71"/>
      <c r="I25" s="72"/>
      <c r="J25" s="58"/>
      <c r="K25" s="73"/>
      <c r="L25" s="74"/>
      <c r="M25" s="74"/>
      <c r="N25" s="74"/>
      <c r="O25" s="73"/>
      <c r="P25" s="75"/>
      <c r="Q25" s="76"/>
      <c r="T25" s="78" t="s">
        <v>82</v>
      </c>
    </row>
    <row r="26" spans="2:21" x14ac:dyDescent="0.25">
      <c r="B26" s="69"/>
      <c r="C26" s="69"/>
      <c r="D26" s="69"/>
      <c r="E26" s="70"/>
      <c r="F26" s="71"/>
      <c r="G26" s="71"/>
      <c r="H26" s="71"/>
      <c r="I26" s="72"/>
      <c r="J26" s="58"/>
      <c r="K26" s="73"/>
      <c r="L26" s="74"/>
      <c r="M26" s="74"/>
      <c r="N26" s="74"/>
      <c r="O26" s="73"/>
      <c r="P26" s="75"/>
      <c r="Q26" s="76"/>
      <c r="T26" s="78" t="s">
        <v>83</v>
      </c>
    </row>
    <row r="27" spans="2:21" ht="15.75" customHeight="1" x14ac:dyDescent="0.25">
      <c r="T27" s="60"/>
    </row>
    <row r="28" spans="2:21" ht="15.75" customHeight="1" x14ac:dyDescent="0.25">
      <c r="T28" s="60"/>
    </row>
    <row r="29" spans="2:21" ht="15.75" customHeight="1" x14ac:dyDescent="0.25">
      <c r="T29" s="60"/>
    </row>
    <row r="30" spans="2:21" ht="15.75" customHeight="1" x14ac:dyDescent="0.25">
      <c r="T30" s="60"/>
    </row>
    <row r="31" spans="2:21" ht="15.75" customHeight="1" x14ac:dyDescent="0.25">
      <c r="T31" s="60"/>
    </row>
    <row r="32" spans="2:21" ht="15.75" customHeight="1" x14ac:dyDescent="0.25">
      <c r="T32" s="60"/>
    </row>
    <row r="33" spans="20:20" ht="15.75" customHeight="1" x14ac:dyDescent="0.25">
      <c r="T33" s="60"/>
    </row>
    <row r="34" spans="20:20" ht="15.75" customHeight="1" x14ac:dyDescent="0.25">
      <c r="T34" s="60"/>
    </row>
    <row r="35" spans="20:20" ht="15.75" customHeight="1" x14ac:dyDescent="0.25">
      <c r="T35" s="60"/>
    </row>
    <row r="36" spans="20:20" ht="15.75" customHeight="1" x14ac:dyDescent="0.25">
      <c r="T36" s="60"/>
    </row>
    <row r="37" spans="20:20" ht="15.75" customHeight="1" x14ac:dyDescent="0.25">
      <c r="T37" s="60"/>
    </row>
    <row r="38" spans="20:20" ht="15.75" customHeight="1" x14ac:dyDescent="0.25">
      <c r="T38" s="60"/>
    </row>
    <row r="39" spans="20:20" ht="15.75" customHeight="1" x14ac:dyDescent="0.25">
      <c r="T39" s="60"/>
    </row>
    <row r="40" spans="20:20" ht="15.75" customHeight="1" x14ac:dyDescent="0.25">
      <c r="T40" s="60"/>
    </row>
    <row r="41" spans="20:20" ht="15.75" customHeight="1" x14ac:dyDescent="0.25">
      <c r="T41" s="60"/>
    </row>
    <row r="42" spans="20:20" ht="15.75" customHeight="1" x14ac:dyDescent="0.25">
      <c r="T42" s="60"/>
    </row>
    <row r="43" spans="20:20" ht="15.75" customHeight="1" x14ac:dyDescent="0.25">
      <c r="T43" s="60"/>
    </row>
    <row r="44" spans="20:20" ht="15.75" customHeight="1" x14ac:dyDescent="0.25">
      <c r="T44" s="60"/>
    </row>
    <row r="45" spans="20:20" ht="15.75" customHeight="1" x14ac:dyDescent="0.25">
      <c r="T45" s="60"/>
    </row>
    <row r="46" spans="20:20" ht="15.75" customHeight="1" x14ac:dyDescent="0.25">
      <c r="T46" s="60"/>
    </row>
    <row r="47" spans="20:20" ht="15.75" customHeight="1" x14ac:dyDescent="0.25">
      <c r="T47" s="60"/>
    </row>
    <row r="48" spans="20:20" ht="15.75" customHeight="1" x14ac:dyDescent="0.25">
      <c r="T48" s="60"/>
    </row>
    <row r="49" spans="20:20" ht="15.75" customHeight="1" x14ac:dyDescent="0.25">
      <c r="T49" s="60"/>
    </row>
    <row r="50" spans="20:20" ht="15.75" customHeight="1" x14ac:dyDescent="0.25">
      <c r="T50" s="60"/>
    </row>
    <row r="51" spans="20:20" ht="15.75" customHeight="1" x14ac:dyDescent="0.25">
      <c r="T51" s="60"/>
    </row>
    <row r="52" spans="20:20" ht="15.75" customHeight="1" x14ac:dyDescent="0.25">
      <c r="T52" s="60"/>
    </row>
    <row r="53" spans="20:20" ht="15.75" customHeight="1" x14ac:dyDescent="0.25">
      <c r="T53" s="60"/>
    </row>
    <row r="54" spans="20:20" ht="15.75" customHeight="1" x14ac:dyDescent="0.25">
      <c r="T54" s="60"/>
    </row>
    <row r="55" spans="20:20" ht="15.75" customHeight="1" x14ac:dyDescent="0.25">
      <c r="T55" s="60"/>
    </row>
    <row r="56" spans="20:20" ht="15.75" customHeight="1" x14ac:dyDescent="0.25">
      <c r="T56" s="60"/>
    </row>
    <row r="57" spans="20:20" ht="15.75" customHeight="1" x14ac:dyDescent="0.25">
      <c r="T57" s="60"/>
    </row>
    <row r="58" spans="20:20" ht="15.75" customHeight="1" x14ac:dyDescent="0.25">
      <c r="T58" s="60"/>
    </row>
    <row r="59" spans="20:20" ht="15.75" customHeight="1" x14ac:dyDescent="0.25">
      <c r="T59" s="60"/>
    </row>
    <row r="60" spans="20:20" ht="15.75" customHeight="1" x14ac:dyDescent="0.25">
      <c r="T60" s="60"/>
    </row>
    <row r="61" spans="20:20" ht="15.75" customHeight="1" x14ac:dyDescent="0.25">
      <c r="T61" s="60"/>
    </row>
    <row r="62" spans="20:20" ht="15.75" customHeight="1" x14ac:dyDescent="0.25">
      <c r="T62" s="60"/>
    </row>
    <row r="63" spans="20:20" ht="15.75" customHeight="1" x14ac:dyDescent="0.25">
      <c r="T63" s="60"/>
    </row>
    <row r="64" spans="20:20" ht="15.75" customHeight="1" x14ac:dyDescent="0.25">
      <c r="T64" s="60"/>
    </row>
    <row r="65" spans="20:20" ht="15.75" customHeight="1" x14ac:dyDescent="0.25">
      <c r="T65" s="60"/>
    </row>
    <row r="66" spans="20:20" ht="15.75" customHeight="1" x14ac:dyDescent="0.25">
      <c r="T66" s="60"/>
    </row>
    <row r="67" spans="20:20" ht="15.75" customHeight="1" x14ac:dyDescent="0.25">
      <c r="T67" s="60"/>
    </row>
    <row r="68" spans="20:20" ht="15.75" customHeight="1" x14ac:dyDescent="0.25">
      <c r="T68" s="60"/>
    </row>
    <row r="69" spans="20:20" ht="15.75" customHeight="1" x14ac:dyDescent="0.25">
      <c r="T69" s="60"/>
    </row>
    <row r="70" spans="20:20" ht="15.75" customHeight="1" x14ac:dyDescent="0.25">
      <c r="T70" s="60"/>
    </row>
    <row r="71" spans="20:20" ht="15.75" customHeight="1" x14ac:dyDescent="0.25">
      <c r="T71" s="60"/>
    </row>
    <row r="72" spans="20:20" ht="15.75" customHeight="1" x14ac:dyDescent="0.25">
      <c r="T72" s="60"/>
    </row>
    <row r="73" spans="20:20" ht="15.75" customHeight="1" x14ac:dyDescent="0.25">
      <c r="T73" s="60"/>
    </row>
    <row r="74" spans="20:20" ht="15.75" customHeight="1" x14ac:dyDescent="0.25">
      <c r="T74" s="60"/>
    </row>
    <row r="75" spans="20:20" ht="15.75" customHeight="1" x14ac:dyDescent="0.25">
      <c r="T75" s="60"/>
    </row>
    <row r="76" spans="20:20" ht="15.75" customHeight="1" x14ac:dyDescent="0.25">
      <c r="T76" s="60"/>
    </row>
    <row r="77" spans="20:20" ht="15.75" customHeight="1" x14ac:dyDescent="0.25">
      <c r="T77" s="60"/>
    </row>
    <row r="78" spans="20:20" ht="15.75" customHeight="1" x14ac:dyDescent="0.25">
      <c r="T78" s="60"/>
    </row>
    <row r="79" spans="20:20" ht="15.75" customHeight="1" x14ac:dyDescent="0.25">
      <c r="T79" s="60"/>
    </row>
    <row r="80" spans="20:20" ht="15.75" customHeight="1" x14ac:dyDescent="0.25">
      <c r="T80" s="60"/>
    </row>
    <row r="81" spans="20:20" ht="15.75" customHeight="1" x14ac:dyDescent="0.25">
      <c r="T81" s="60"/>
    </row>
    <row r="82" spans="20:20" ht="15.75" customHeight="1" x14ac:dyDescent="0.25">
      <c r="T82" s="60"/>
    </row>
    <row r="83" spans="20:20" ht="15.75" customHeight="1" x14ac:dyDescent="0.25">
      <c r="T83" s="60"/>
    </row>
    <row r="84" spans="20:20" ht="15.75" customHeight="1" x14ac:dyDescent="0.25">
      <c r="T84" s="60"/>
    </row>
    <row r="85" spans="20:20" ht="15.75" customHeight="1" x14ac:dyDescent="0.25">
      <c r="T85" s="60"/>
    </row>
    <row r="86" spans="20:20" ht="15.75" customHeight="1" x14ac:dyDescent="0.25">
      <c r="T86" s="60"/>
    </row>
    <row r="87" spans="20:20" ht="15.75" customHeight="1" x14ac:dyDescent="0.25">
      <c r="T87" s="60"/>
    </row>
    <row r="88" spans="20:20" ht="15.75" customHeight="1" x14ac:dyDescent="0.25">
      <c r="T88" s="60"/>
    </row>
    <row r="89" spans="20:20" ht="15.75" customHeight="1" x14ac:dyDescent="0.25">
      <c r="T89" s="60"/>
    </row>
    <row r="90" spans="20:20" ht="15.75" customHeight="1" x14ac:dyDescent="0.25">
      <c r="T90" s="60"/>
    </row>
    <row r="91" spans="20:20" ht="15.75" customHeight="1" x14ac:dyDescent="0.25">
      <c r="T91" s="60"/>
    </row>
    <row r="92" spans="20:20" ht="15.75" customHeight="1" x14ac:dyDescent="0.25">
      <c r="T92" s="60"/>
    </row>
    <row r="93" spans="20:20" ht="15.75" customHeight="1" x14ac:dyDescent="0.25">
      <c r="T93" s="60"/>
    </row>
    <row r="94" spans="20:20" ht="15.75" customHeight="1" x14ac:dyDescent="0.25">
      <c r="T94" s="60"/>
    </row>
    <row r="95" spans="20:20" ht="15.75" customHeight="1" x14ac:dyDescent="0.25">
      <c r="T95" s="60"/>
    </row>
    <row r="96" spans="20:20" ht="15.75" customHeight="1" x14ac:dyDescent="0.25">
      <c r="T96" s="60"/>
    </row>
    <row r="97" spans="20:20" ht="15.75" customHeight="1" x14ac:dyDescent="0.25">
      <c r="T97" s="60"/>
    </row>
    <row r="98" spans="20:20" ht="15.75" customHeight="1" x14ac:dyDescent="0.25">
      <c r="T98" s="60"/>
    </row>
    <row r="99" spans="20:20" ht="15.75" customHeight="1" x14ac:dyDescent="0.25">
      <c r="T99" s="60"/>
    </row>
    <row r="100" spans="20:20" ht="15.75" customHeight="1" x14ac:dyDescent="0.25">
      <c r="T100" s="60"/>
    </row>
    <row r="101" spans="20:20" ht="15.75" customHeight="1" x14ac:dyDescent="0.25">
      <c r="T101" s="60"/>
    </row>
    <row r="102" spans="20:20" ht="15.75" customHeight="1" x14ac:dyDescent="0.25">
      <c r="T102" s="60"/>
    </row>
    <row r="103" spans="20:20" ht="15.75" customHeight="1" x14ac:dyDescent="0.25">
      <c r="T103" s="60"/>
    </row>
    <row r="104" spans="20:20" ht="15.75" customHeight="1" x14ac:dyDescent="0.25">
      <c r="T104" s="60"/>
    </row>
    <row r="105" spans="20:20" ht="15.75" customHeight="1" x14ac:dyDescent="0.25">
      <c r="T105" s="60"/>
    </row>
    <row r="106" spans="20:20" ht="15.75" customHeight="1" x14ac:dyDescent="0.25">
      <c r="T106" s="60"/>
    </row>
    <row r="107" spans="20:20" ht="15.75" customHeight="1" x14ac:dyDescent="0.25">
      <c r="T107" s="60"/>
    </row>
    <row r="108" spans="20:20" ht="15.75" customHeight="1" x14ac:dyDescent="0.25">
      <c r="T108" s="60"/>
    </row>
    <row r="109" spans="20:20" ht="15.75" customHeight="1" x14ac:dyDescent="0.25">
      <c r="T109" s="60"/>
    </row>
    <row r="110" spans="20:20" ht="15.75" customHeight="1" x14ac:dyDescent="0.25">
      <c r="T110" s="60"/>
    </row>
    <row r="111" spans="20:20" ht="15.75" customHeight="1" x14ac:dyDescent="0.25">
      <c r="T111" s="60"/>
    </row>
    <row r="112" spans="20:20" ht="15.75" customHeight="1" x14ac:dyDescent="0.25">
      <c r="T112" s="60"/>
    </row>
    <row r="113" spans="20:20" ht="15.75" customHeight="1" x14ac:dyDescent="0.25">
      <c r="T113" s="60"/>
    </row>
    <row r="114" spans="20:20" ht="15.75" customHeight="1" x14ac:dyDescent="0.25">
      <c r="T114" s="60"/>
    </row>
    <row r="115" spans="20:20" ht="15.75" customHeight="1" x14ac:dyDescent="0.25">
      <c r="T115" s="60"/>
    </row>
    <row r="116" spans="20:20" ht="15.75" customHeight="1" x14ac:dyDescent="0.25">
      <c r="T116" s="60"/>
    </row>
    <row r="117" spans="20:20" ht="15.75" customHeight="1" x14ac:dyDescent="0.25">
      <c r="T117" s="60"/>
    </row>
    <row r="118" spans="20:20" ht="15.75" customHeight="1" x14ac:dyDescent="0.25">
      <c r="T118" s="60"/>
    </row>
    <row r="119" spans="20:20" ht="15.75" customHeight="1" x14ac:dyDescent="0.25">
      <c r="T119" s="60"/>
    </row>
    <row r="120" spans="20:20" ht="15.75" customHeight="1" x14ac:dyDescent="0.25">
      <c r="T120" s="60"/>
    </row>
    <row r="121" spans="20:20" ht="15.75" customHeight="1" x14ac:dyDescent="0.25">
      <c r="T121" s="60"/>
    </row>
    <row r="122" spans="20:20" ht="15.75" customHeight="1" x14ac:dyDescent="0.25">
      <c r="T122" s="60"/>
    </row>
    <row r="123" spans="20:20" ht="15.75" customHeight="1" x14ac:dyDescent="0.25">
      <c r="T123" s="60"/>
    </row>
    <row r="124" spans="20:20" ht="15.75" customHeight="1" x14ac:dyDescent="0.25">
      <c r="T124" s="60"/>
    </row>
    <row r="125" spans="20:20" ht="15.75" customHeight="1" x14ac:dyDescent="0.25">
      <c r="T125" s="60"/>
    </row>
    <row r="126" spans="20:20" ht="15.75" customHeight="1" x14ac:dyDescent="0.25">
      <c r="T126" s="60"/>
    </row>
    <row r="127" spans="20:20" ht="15.75" customHeight="1" x14ac:dyDescent="0.25">
      <c r="T127" s="60"/>
    </row>
    <row r="128" spans="20:20" ht="15.75" customHeight="1" x14ac:dyDescent="0.25">
      <c r="T128" s="60"/>
    </row>
    <row r="129" spans="20:20" ht="15.75" customHeight="1" x14ac:dyDescent="0.25">
      <c r="T129" s="60"/>
    </row>
    <row r="130" spans="20:20" ht="15.75" customHeight="1" x14ac:dyDescent="0.25">
      <c r="T130" s="60"/>
    </row>
    <row r="131" spans="20:20" ht="15.75" customHeight="1" x14ac:dyDescent="0.25">
      <c r="T131" s="60"/>
    </row>
    <row r="132" spans="20:20" ht="15.75" customHeight="1" x14ac:dyDescent="0.25">
      <c r="T132" s="60"/>
    </row>
    <row r="133" spans="20:20" ht="15.75" customHeight="1" x14ac:dyDescent="0.25">
      <c r="T133" s="60"/>
    </row>
    <row r="134" spans="20:20" ht="15.75" customHeight="1" x14ac:dyDescent="0.2"/>
    <row r="135" spans="20:20" ht="15.75" customHeight="1" x14ac:dyDescent="0.2"/>
    <row r="136" spans="20:20" ht="15.75" customHeight="1" x14ac:dyDescent="0.2"/>
    <row r="137" spans="20:20" ht="15.75" customHeight="1" x14ac:dyDescent="0.2"/>
    <row r="138" spans="20:20" ht="15.75" customHeight="1" x14ac:dyDescent="0.2"/>
    <row r="139" spans="20:20" ht="15.75" customHeight="1" x14ac:dyDescent="0.2"/>
    <row r="140" spans="20:20" ht="15.75" customHeight="1" x14ac:dyDescent="0.2"/>
    <row r="141" spans="20:20" ht="15.75" customHeight="1" x14ac:dyDescent="0.2"/>
    <row r="142" spans="20:20" ht="15.75" customHeight="1" x14ac:dyDescent="0.2"/>
    <row r="143" spans="20:20" ht="15.75" customHeight="1" x14ac:dyDescent="0.2"/>
    <row r="144" spans="20:2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sheetData>
  <mergeCells count="17">
    <mergeCell ref="H8:H9"/>
    <mergeCell ref="O8:O9"/>
    <mergeCell ref="P8:P9"/>
    <mergeCell ref="Q8:Q9"/>
    <mergeCell ref="K8:M8"/>
    <mergeCell ref="B1:O1"/>
    <mergeCell ref="B2:O2"/>
    <mergeCell ref="B3:O3"/>
    <mergeCell ref="B5:Q5"/>
    <mergeCell ref="B7:H7"/>
    <mergeCell ref="I7:Q7"/>
    <mergeCell ref="D8:D9"/>
    <mergeCell ref="E8:E9"/>
    <mergeCell ref="F8:F9"/>
    <mergeCell ref="G8:G9"/>
    <mergeCell ref="B8:B9"/>
    <mergeCell ref="C8:C9"/>
  </mergeCells>
  <dataValidations count="4">
    <dataValidation type="list" allowBlank="1" showErrorMessage="1" sqref="B10:B26" xr:uid="{00000000-0002-0000-0300-000000000000}">
      <formula1>$T$10:$T$17</formula1>
    </dataValidation>
    <dataValidation type="list" allowBlank="1" showErrorMessage="1" sqref="E10:E26" xr:uid="{00000000-0002-0000-0300-000003000000}">
      <formula1>$U$22:$U$23</formula1>
    </dataValidation>
    <dataValidation type="list" allowBlank="1" showErrorMessage="1" sqref="J10:J26" xr:uid="{00000000-0002-0000-0300-000001000000}">
      <formula1>#REF!</formula1>
    </dataValidation>
    <dataValidation type="list" allowBlank="1" showErrorMessage="1" sqref="C10:C26" xr:uid="{00000000-0002-0000-0300-000002000000}">
      <formula1>$T$23:$T$26</formula1>
    </dataValidation>
  </dataValidations>
  <pageMargins left="0.70866141732283472" right="0.70866141732283472" top="0.74803149606299213" bottom="0.74803149606299213" header="0" footer="0"/>
  <pageSetup paperSize="5"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835B8-00A7-4367-A528-7F42682041F7}">
  <dimension ref="A2:G28"/>
  <sheetViews>
    <sheetView showGridLines="0" zoomScaleNormal="100" workbookViewId="0">
      <selection activeCell="A5" sqref="A5:F5"/>
    </sheetView>
  </sheetViews>
  <sheetFormatPr baseColWidth="10" defaultColWidth="11.42578125" defaultRowHeight="12.75" x14ac:dyDescent="0.2"/>
  <cols>
    <col min="1" max="1" width="27.85546875" style="339" bestFit="1" customWidth="1"/>
    <col min="2" max="2" width="27" style="339" customWidth="1"/>
    <col min="3" max="3" width="29.42578125" style="339" customWidth="1"/>
    <col min="4" max="4" width="26" style="339" customWidth="1"/>
    <col min="5" max="6" width="22.28515625" style="339" customWidth="1"/>
    <col min="7" max="7" width="12.7109375" style="339" customWidth="1"/>
    <col min="8" max="16384" width="11.42578125" style="339"/>
  </cols>
  <sheetData>
    <row r="2" spans="1:7" x14ac:dyDescent="0.2">
      <c r="A2" s="422" t="s">
        <v>670</v>
      </c>
      <c r="B2" s="422"/>
      <c r="C2" s="422"/>
      <c r="D2" s="422"/>
      <c r="E2" s="422"/>
      <c r="F2" s="422"/>
    </row>
    <row r="3" spans="1:7" x14ac:dyDescent="0.2">
      <c r="A3" s="422" t="s">
        <v>669</v>
      </c>
      <c r="B3" s="422"/>
      <c r="C3" s="422"/>
      <c r="D3" s="422"/>
      <c r="E3" s="422"/>
      <c r="F3" s="422"/>
    </row>
    <row r="4" spans="1:7" x14ac:dyDescent="0.2">
      <c r="A4" s="422" t="s">
        <v>668</v>
      </c>
      <c r="B4" s="422"/>
      <c r="C4" s="422"/>
      <c r="D4" s="422"/>
      <c r="E4" s="422"/>
      <c r="F4" s="422"/>
    </row>
    <row r="5" spans="1:7" x14ac:dyDescent="0.2">
      <c r="A5" s="422" t="s">
        <v>667</v>
      </c>
      <c r="B5" s="422"/>
      <c r="C5" s="422"/>
      <c r="D5" s="422"/>
      <c r="E5" s="422"/>
      <c r="F5" s="422"/>
    </row>
    <row r="7" spans="1:7" ht="15.75" x14ac:dyDescent="0.25">
      <c r="A7" s="421" t="s">
        <v>666</v>
      </c>
      <c r="B7" s="421"/>
      <c r="C7" s="421"/>
      <c r="D7" s="421"/>
      <c r="E7" s="421"/>
      <c r="F7" s="421"/>
    </row>
    <row r="8" spans="1:7" ht="13.5" thickBot="1" x14ac:dyDescent="0.25"/>
    <row r="9" spans="1:7" ht="31.5" customHeight="1" thickBot="1" x14ac:dyDescent="0.25">
      <c r="A9" s="359" t="s">
        <v>665</v>
      </c>
      <c r="B9" s="358" t="s">
        <v>664</v>
      </c>
      <c r="C9" s="358" t="s">
        <v>663</v>
      </c>
      <c r="D9" s="358" t="s">
        <v>662</v>
      </c>
      <c r="E9" s="358" t="s">
        <v>661</v>
      </c>
      <c r="F9" s="357" t="s">
        <v>660</v>
      </c>
      <c r="G9" s="356"/>
    </row>
    <row r="10" spans="1:7" ht="18" customHeight="1" x14ac:dyDescent="0.2">
      <c r="A10" s="355" t="s">
        <v>99</v>
      </c>
      <c r="B10" s="353">
        <f>'Formulario 5-Compromisos'!B10+'Formulario 5-Compromisos'!B25+'Formulario 5-Compromisos'!B40+'Formulario 5-Compromisos'!B55</f>
        <v>10640190914.9</v>
      </c>
      <c r="C10" s="353">
        <f>'Formulario 5-Compromisos'!C10+'Formulario 5-Compromisos'!C25+'Formulario 5-Compromisos'!C40+'Formulario 5-Compromisos'!C55</f>
        <v>9347933895.4200001</v>
      </c>
      <c r="D10" s="353">
        <f>'Formulario 5-Compromisos'!D10+'Formulario 5-Compromisos'!D25+'Formulario 5-Compromisos'!D40+'Formulario 5-Compromisos'!D55</f>
        <v>0</v>
      </c>
      <c r="E10" s="353">
        <f t="shared" ref="E10:E19" si="0">C10+D10</f>
        <v>9347933895.4200001</v>
      </c>
      <c r="F10" s="353">
        <f t="shared" ref="F10:F19" si="1">B10-E10</f>
        <v>1292257019.4799995</v>
      </c>
    </row>
    <row r="11" spans="1:7" ht="18" customHeight="1" x14ac:dyDescent="0.2">
      <c r="A11" s="354" t="s">
        <v>100</v>
      </c>
      <c r="B11" s="353">
        <f>'Formulario 5-Compromisos'!B11+'Formulario 5-Compromisos'!B26+'Formulario 5-Compromisos'!B41+'Formulario 5-Compromisos'!B56</f>
        <v>14433080708.49</v>
      </c>
      <c r="C11" s="353">
        <f>'Formulario 5-Compromisos'!C11+'Formulario 5-Compromisos'!C26+'Formulario 5-Compromisos'!C41+'Formulario 5-Compromisos'!C56</f>
        <v>5171878183.289999</v>
      </c>
      <c r="D11" s="353">
        <f>'Formulario 5-Compromisos'!D11+'Formulario 5-Compromisos'!D26+'Formulario 5-Compromisos'!D41+'Formulario 5-Compromisos'!D56</f>
        <v>3797103727.5099998</v>
      </c>
      <c r="E11" s="352">
        <f t="shared" si="0"/>
        <v>8968981910.7999992</v>
      </c>
      <c r="F11" s="352">
        <f t="shared" si="1"/>
        <v>5464098797.6900005</v>
      </c>
    </row>
    <row r="12" spans="1:7" ht="18" customHeight="1" x14ac:dyDescent="0.2">
      <c r="A12" s="354" t="s">
        <v>659</v>
      </c>
      <c r="B12" s="353">
        <f>'Formulario 5-Compromisos'!B12+'Formulario 5-Compromisos'!B27+'Formulario 5-Compromisos'!B42+'Formulario 5-Compromisos'!B57</f>
        <v>1791267656.75</v>
      </c>
      <c r="C12" s="353">
        <f>'Formulario 5-Compromisos'!C12+'Formulario 5-Compromisos'!C27+'Formulario 5-Compromisos'!C42+'Formulario 5-Compromisos'!C57</f>
        <v>783806217.4000001</v>
      </c>
      <c r="D12" s="353">
        <f>'Formulario 5-Compromisos'!D12+'Formulario 5-Compromisos'!D27+'Formulario 5-Compromisos'!D42+'Formulario 5-Compromisos'!D57</f>
        <v>647787574.77999997</v>
      </c>
      <c r="E12" s="352">
        <f t="shared" si="0"/>
        <v>1431593792.1800001</v>
      </c>
      <c r="F12" s="352">
        <f t="shared" si="1"/>
        <v>359673864.56999993</v>
      </c>
    </row>
    <row r="13" spans="1:7" ht="18" customHeight="1" x14ac:dyDescent="0.2">
      <c r="A13" s="354" t="s">
        <v>658</v>
      </c>
      <c r="B13" s="353">
        <f>'Formulario 5-Compromisos'!B13+'Formulario 5-Compromisos'!B28+'Formulario 5-Compromisos'!B43+'Formulario 5-Compromisos'!B58</f>
        <v>241705157.72</v>
      </c>
      <c r="C13" s="353">
        <f>'Formulario 5-Compromisos'!C13+'Formulario 5-Compromisos'!C28+'Formulario 5-Compromisos'!C43+'Formulario 5-Compromisos'!C58</f>
        <v>200341026.75</v>
      </c>
      <c r="D13" s="353">
        <f>'Formulario 5-Compromisos'!D13+'Formulario 5-Compromisos'!D28+'Formulario 5-Compromisos'!D43+'Formulario 5-Compromisos'!D58</f>
        <v>0</v>
      </c>
      <c r="E13" s="352">
        <f t="shared" si="0"/>
        <v>200341026.75</v>
      </c>
      <c r="F13" s="352">
        <f t="shared" si="1"/>
        <v>41364130.969999999</v>
      </c>
    </row>
    <row r="14" spans="1:7" ht="18" customHeight="1" x14ac:dyDescent="0.2">
      <c r="A14" s="354" t="s">
        <v>657</v>
      </c>
      <c r="B14" s="353">
        <f>'Formulario 5-Compromisos'!B14+'Formulario 5-Compromisos'!B29+'Formulario 5-Compromisos'!B44+'Formulario 5-Compromisos'!B59</f>
        <v>0</v>
      </c>
      <c r="C14" s="353">
        <f>'Formulario 5-Compromisos'!C14+'Formulario 5-Compromisos'!C29+'Formulario 5-Compromisos'!C44+'Formulario 5-Compromisos'!C59</f>
        <v>0</v>
      </c>
      <c r="D14" s="353">
        <f>'Formulario 5-Compromisos'!D14+'Formulario 5-Compromisos'!D29+'Formulario 5-Compromisos'!D44+'Formulario 5-Compromisos'!D59</f>
        <v>0</v>
      </c>
      <c r="E14" s="352">
        <f t="shared" si="0"/>
        <v>0</v>
      </c>
      <c r="F14" s="352">
        <f t="shared" si="1"/>
        <v>0</v>
      </c>
    </row>
    <row r="15" spans="1:7" ht="18" customHeight="1" x14ac:dyDescent="0.2">
      <c r="A15" s="354" t="s">
        <v>656</v>
      </c>
      <c r="B15" s="353">
        <f>'Formulario 5-Compromisos'!B15+'Formulario 5-Compromisos'!B30+'Formulario 5-Compromisos'!B45+'Formulario 5-Compromisos'!B60</f>
        <v>29324559243.91</v>
      </c>
      <c r="C15" s="353">
        <f>'Formulario 5-Compromisos'!C15+'Formulario 5-Compromisos'!C30+'Formulario 5-Compromisos'!C45+'Formulario 5-Compromisos'!C60</f>
        <v>4870851184.1900005</v>
      </c>
      <c r="D15" s="353">
        <f>'Formulario 5-Compromisos'!D15+'Formulario 5-Compromisos'!D30+'Formulario 5-Compromisos'!D45+'Formulario 5-Compromisos'!D60</f>
        <v>9123589978.5499992</v>
      </c>
      <c r="E15" s="352">
        <f t="shared" si="0"/>
        <v>13994441162.74</v>
      </c>
      <c r="F15" s="352">
        <f t="shared" si="1"/>
        <v>15330118081.17</v>
      </c>
    </row>
    <row r="16" spans="1:7" ht="18" customHeight="1" x14ac:dyDescent="0.2">
      <c r="A16" s="354" t="s">
        <v>655</v>
      </c>
      <c r="B16" s="353">
        <f>'Formulario 5-Compromisos'!B16+'Formulario 5-Compromisos'!B31+'Formulario 5-Compromisos'!B46+'Formulario 5-Compromisos'!B61</f>
        <v>4316545654.5600004</v>
      </c>
      <c r="C16" s="353">
        <f>'Formulario 5-Compromisos'!C16+'Formulario 5-Compromisos'!C31+'Formulario 5-Compromisos'!C46+'Formulario 5-Compromisos'!C61</f>
        <v>2988063105.6500001</v>
      </c>
      <c r="D16" s="353">
        <f>'Formulario 5-Compromisos'!D16+'Formulario 5-Compromisos'!D31+'Formulario 5-Compromisos'!D46+'Formulario 5-Compromisos'!D61</f>
        <v>0</v>
      </c>
      <c r="E16" s="352">
        <f t="shared" si="0"/>
        <v>2988063105.6500001</v>
      </c>
      <c r="F16" s="352">
        <f t="shared" si="1"/>
        <v>1328482548.9100003</v>
      </c>
    </row>
    <row r="17" spans="1:6" ht="18" customHeight="1" x14ac:dyDescent="0.2">
      <c r="A17" s="354" t="s">
        <v>654</v>
      </c>
      <c r="B17" s="353">
        <f>'Formulario 5-Compromisos'!B17+'Formulario 5-Compromisos'!B32+'Formulario 5-Compromisos'!B47+'Formulario 5-Compromisos'!B62</f>
        <v>209120986.46000001</v>
      </c>
      <c r="C17" s="353">
        <f>'Formulario 5-Compromisos'!C17+'Formulario 5-Compromisos'!C32+'Formulario 5-Compromisos'!C47+'Formulario 5-Compromisos'!C62</f>
        <v>150080244.74000001</v>
      </c>
      <c r="D17" s="353">
        <f>'Formulario 5-Compromisos'!D17+'Formulario 5-Compromisos'!D32+'Formulario 5-Compromisos'!D47+'Formulario 5-Compromisos'!D62</f>
        <v>0</v>
      </c>
      <c r="E17" s="352">
        <f t="shared" si="0"/>
        <v>150080244.74000001</v>
      </c>
      <c r="F17" s="352">
        <f t="shared" si="1"/>
        <v>59040741.719999999</v>
      </c>
    </row>
    <row r="18" spans="1:6" ht="18" customHeight="1" x14ac:dyDescent="0.2">
      <c r="A18" s="354" t="s">
        <v>653</v>
      </c>
      <c r="B18" s="353">
        <f>'Formulario 5-Compromisos'!B18+'Formulario 5-Compromisos'!B33+'Formulario 5-Compromisos'!B48+'Formulario 5-Compromisos'!B63</f>
        <v>495358635.42000002</v>
      </c>
      <c r="C18" s="353">
        <f>'Formulario 5-Compromisos'!C18+'Formulario 5-Compromisos'!C33+'Formulario 5-Compromisos'!C48+'Formulario 5-Compromisos'!C63</f>
        <v>482364285.99000001</v>
      </c>
      <c r="D18" s="353">
        <f>'Formulario 5-Compromisos'!D18+'Formulario 5-Compromisos'!D33+'Formulario 5-Compromisos'!D48+'Formulario 5-Compromisos'!D63</f>
        <v>0</v>
      </c>
      <c r="E18" s="352">
        <f t="shared" si="0"/>
        <v>482364285.99000001</v>
      </c>
      <c r="F18" s="352">
        <f t="shared" si="1"/>
        <v>12994349.430000007</v>
      </c>
    </row>
    <row r="19" spans="1:6" ht="18" customHeight="1" x14ac:dyDescent="0.2">
      <c r="A19" s="351" t="s">
        <v>652</v>
      </c>
      <c r="B19" s="350">
        <f>'Formulario 5-Compromisos'!B19+'Formulario 5-Compromisos'!B34+'Formulario 5-Compromisos'!B49+'Formulario 5-Compromisos'!B64</f>
        <v>61786611.579999998</v>
      </c>
      <c r="C19" s="350">
        <f>'Formulario 5-Compromisos'!C19+'Formulario 5-Compromisos'!C34+'Formulario 5-Compromisos'!C49+'Formulario 5-Compromisos'!C64</f>
        <v>0</v>
      </c>
      <c r="D19" s="350">
        <f>'Formulario 5-Compromisos'!D19+'Formulario 5-Compromisos'!D34+'Formulario 5-Compromisos'!D49+'Formulario 5-Compromisos'!D64</f>
        <v>0</v>
      </c>
      <c r="E19" s="349">
        <f t="shared" si="0"/>
        <v>0</v>
      </c>
      <c r="F19" s="349">
        <f t="shared" si="1"/>
        <v>61786611.579999998</v>
      </c>
    </row>
    <row r="20" spans="1:6" x14ac:dyDescent="0.2">
      <c r="A20" s="348" t="s">
        <v>651</v>
      </c>
      <c r="B20" s="347">
        <f>SUM(B10:B19)</f>
        <v>61513615569.790001</v>
      </c>
      <c r="C20" s="347">
        <f>SUM(C10:C19)</f>
        <v>23995318143.430004</v>
      </c>
      <c r="D20" s="347">
        <f>SUM(D10:D19)</f>
        <v>13568481280.84</v>
      </c>
      <c r="E20" s="347">
        <f>SUM(E10:E19)</f>
        <v>37563799424.269997</v>
      </c>
      <c r="F20" s="347">
        <f>SUM(F10:F19)</f>
        <v>23949816145.520004</v>
      </c>
    </row>
    <row r="22" spans="1:6" ht="14.25" x14ac:dyDescent="0.2">
      <c r="A22" s="346" t="s">
        <v>650</v>
      </c>
      <c r="B22" s="346"/>
      <c r="C22" s="340"/>
      <c r="D22" s="340"/>
      <c r="E22" s="340"/>
    </row>
    <row r="23" spans="1:6" ht="15" x14ac:dyDescent="0.25">
      <c r="A23" s="342" t="s">
        <v>37</v>
      </c>
      <c r="B23" s="341"/>
      <c r="C23" s="340"/>
      <c r="D23" s="342" t="s">
        <v>16</v>
      </c>
      <c r="E23" s="341"/>
    </row>
    <row r="24" spans="1:6" ht="14.25" x14ac:dyDescent="0.2">
      <c r="A24" s="340"/>
      <c r="B24" s="340"/>
      <c r="C24" s="340"/>
      <c r="D24" s="340"/>
      <c r="E24" s="340"/>
    </row>
    <row r="25" spans="1:6" ht="14.25" x14ac:dyDescent="0.2">
      <c r="A25" s="340"/>
      <c r="B25" s="340"/>
      <c r="C25" s="340"/>
      <c r="D25" s="340"/>
      <c r="E25" s="340"/>
    </row>
    <row r="26" spans="1:6" ht="14.25" x14ac:dyDescent="0.2">
      <c r="A26" s="345" t="s">
        <v>649</v>
      </c>
      <c r="B26" s="345"/>
      <c r="C26" s="340"/>
      <c r="D26" s="344">
        <v>44215</v>
      </c>
      <c r="E26" s="340"/>
    </row>
    <row r="27" spans="1:6" ht="15" x14ac:dyDescent="0.25">
      <c r="A27" s="343" t="s">
        <v>38</v>
      </c>
      <c r="B27" s="340"/>
      <c r="C27" s="340"/>
      <c r="D27" s="342" t="s">
        <v>19</v>
      </c>
      <c r="E27" s="341"/>
    </row>
    <row r="28" spans="1:6" ht="14.25" x14ac:dyDescent="0.2">
      <c r="A28" s="340"/>
      <c r="B28" s="340"/>
      <c r="C28" s="340"/>
      <c r="D28" s="340"/>
      <c r="E28" s="340"/>
    </row>
  </sheetData>
  <mergeCells count="5">
    <mergeCell ref="A7:F7"/>
    <mergeCell ref="A2:F2"/>
    <mergeCell ref="A3:F3"/>
    <mergeCell ref="A4:F4"/>
    <mergeCell ref="A5:F5"/>
  </mergeCells>
  <pageMargins left="0.70866141732283472" right="0.70866141732283472" top="0.74803149606299213" bottom="0.74803149606299213" header="0.31496062992125984" footer="0.31496062992125984"/>
  <pageSetup scale="75"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4551E-3FA6-4A60-9DC4-6454B0EF9E6F}">
  <dimension ref="A2:G73"/>
  <sheetViews>
    <sheetView showGridLines="0" tabSelected="1" topLeftCell="A40" zoomScaleNormal="100" workbookViewId="0">
      <selection activeCell="A5" sqref="A5:F5"/>
    </sheetView>
  </sheetViews>
  <sheetFormatPr baseColWidth="10" defaultColWidth="11.42578125" defaultRowHeight="12.75" x14ac:dyDescent="0.2"/>
  <cols>
    <col min="1" max="1" width="27.85546875" style="360" bestFit="1" customWidth="1"/>
    <col min="2" max="2" width="21.85546875" style="360" customWidth="1"/>
    <col min="3" max="3" width="23.7109375" style="360" customWidth="1"/>
    <col min="4" max="4" width="21.5703125" style="360" customWidth="1"/>
    <col min="5" max="5" width="29.28515625" style="360" customWidth="1"/>
    <col min="6" max="6" width="27.28515625" style="360" customWidth="1"/>
    <col min="7" max="7" width="22.7109375" style="360" customWidth="1"/>
    <col min="8" max="16384" width="11.42578125" style="360"/>
  </cols>
  <sheetData>
    <row r="2" spans="1:7" x14ac:dyDescent="0.2">
      <c r="A2" s="422" t="s">
        <v>680</v>
      </c>
      <c r="B2" s="422"/>
      <c r="C2" s="422"/>
      <c r="D2" s="422"/>
      <c r="E2" s="422"/>
      <c r="F2" s="422"/>
    </row>
    <row r="3" spans="1:7" x14ac:dyDescent="0.2">
      <c r="A3" s="422" t="str">
        <f>+'[5]LISTA DE HOJAS'!A1</f>
        <v>MUNICIPALIDAD DE ALAJUELA</v>
      </c>
      <c r="B3" s="422"/>
      <c r="C3" s="422"/>
      <c r="D3" s="422"/>
      <c r="E3" s="422"/>
      <c r="F3" s="422"/>
    </row>
    <row r="4" spans="1:7" x14ac:dyDescent="0.2">
      <c r="A4" s="422" t="s">
        <v>668</v>
      </c>
      <c r="B4" s="422"/>
      <c r="C4" s="422"/>
      <c r="D4" s="422"/>
      <c r="E4" s="422"/>
      <c r="F4" s="422"/>
    </row>
    <row r="5" spans="1:7" x14ac:dyDescent="0.2">
      <c r="A5" s="423" t="s">
        <v>667</v>
      </c>
      <c r="B5" s="423"/>
      <c r="C5" s="423"/>
      <c r="D5" s="423"/>
      <c r="E5" s="423"/>
      <c r="F5" s="423"/>
    </row>
    <row r="7" spans="1:7" ht="15.75" x14ac:dyDescent="0.25">
      <c r="A7" s="421" t="s">
        <v>679</v>
      </c>
      <c r="B7" s="421"/>
      <c r="C7" s="421"/>
      <c r="D7" s="421"/>
      <c r="E7" s="421"/>
      <c r="F7" s="421"/>
    </row>
    <row r="8" spans="1:7" ht="13.5" thickBot="1" x14ac:dyDescent="0.25"/>
    <row r="9" spans="1:7" ht="26.25" thickBot="1" x14ac:dyDescent="0.25">
      <c r="A9" s="359" t="s">
        <v>665</v>
      </c>
      <c r="B9" s="358" t="s">
        <v>664</v>
      </c>
      <c r="C9" s="358" t="s">
        <v>663</v>
      </c>
      <c r="D9" s="358" t="s">
        <v>662</v>
      </c>
      <c r="E9" s="358" t="s">
        <v>661</v>
      </c>
      <c r="F9" s="357" t="s">
        <v>660</v>
      </c>
      <c r="G9" s="357" t="s">
        <v>672</v>
      </c>
    </row>
    <row r="10" spans="1:7" x14ac:dyDescent="0.2">
      <c r="A10" s="355" t="s">
        <v>99</v>
      </c>
      <c r="B10" s="373">
        <v>4926557400.1300001</v>
      </c>
      <c r="C10" s="373">
        <v>4529479114.9200001</v>
      </c>
      <c r="D10" s="373">
        <v>0</v>
      </c>
      <c r="E10" s="353">
        <f t="shared" ref="E10:E19" si="0">C10+D10</f>
        <v>4529479114.9200001</v>
      </c>
      <c r="F10" s="353">
        <f t="shared" ref="F10:F19" si="1">B10-E10</f>
        <v>397078285.21000004</v>
      </c>
      <c r="G10" s="366"/>
    </row>
    <row r="11" spans="1:7" x14ac:dyDescent="0.2">
      <c r="A11" s="354" t="s">
        <v>100</v>
      </c>
      <c r="B11" s="368">
        <v>2133828671.0999999</v>
      </c>
      <c r="C11" s="368">
        <v>1259702673.5</v>
      </c>
      <c r="D11" s="368">
        <v>526478156.43000001</v>
      </c>
      <c r="E11" s="352">
        <f t="shared" si="0"/>
        <v>1786180829.9300001</v>
      </c>
      <c r="F11" s="352">
        <f t="shared" si="1"/>
        <v>347647841.16999984</v>
      </c>
      <c r="G11" s="366"/>
    </row>
    <row r="12" spans="1:7" x14ac:dyDescent="0.2">
      <c r="A12" s="354" t="s">
        <v>659</v>
      </c>
      <c r="B12" s="368">
        <v>181586895.97999999</v>
      </c>
      <c r="C12" s="368">
        <v>70326364.180000007</v>
      </c>
      <c r="D12" s="368">
        <v>13904428.08</v>
      </c>
      <c r="E12" s="352">
        <f t="shared" si="0"/>
        <v>84230792.260000005</v>
      </c>
      <c r="F12" s="352">
        <f t="shared" si="1"/>
        <v>97356103.719999984</v>
      </c>
      <c r="G12" s="366"/>
    </row>
    <row r="13" spans="1:7" x14ac:dyDescent="0.2">
      <c r="A13" s="354" t="s">
        <v>658</v>
      </c>
      <c r="B13" s="368"/>
      <c r="C13" s="367"/>
      <c r="D13" s="367"/>
      <c r="E13" s="352">
        <f t="shared" si="0"/>
        <v>0</v>
      </c>
      <c r="F13" s="352">
        <f t="shared" si="1"/>
        <v>0</v>
      </c>
      <c r="G13" s="366"/>
    </row>
    <row r="14" spans="1:7" x14ac:dyDescent="0.2">
      <c r="A14" s="354" t="s">
        <v>657</v>
      </c>
      <c r="B14" s="368"/>
      <c r="C14" s="367"/>
      <c r="D14" s="367"/>
      <c r="E14" s="352">
        <f t="shared" si="0"/>
        <v>0</v>
      </c>
      <c r="F14" s="352">
        <f t="shared" si="1"/>
        <v>0</v>
      </c>
      <c r="G14" s="366"/>
    </row>
    <row r="15" spans="1:7" x14ac:dyDescent="0.2">
      <c r="A15" s="354" t="s">
        <v>656</v>
      </c>
      <c r="B15" s="368">
        <v>383145000</v>
      </c>
      <c r="C15" s="368">
        <v>125297412.43000001</v>
      </c>
      <c r="D15" s="368">
        <v>26568932.780000001</v>
      </c>
      <c r="E15" s="352">
        <f t="shared" si="0"/>
        <v>151866345.21000001</v>
      </c>
      <c r="F15" s="352">
        <f t="shared" si="1"/>
        <v>231278654.78999999</v>
      </c>
      <c r="G15" s="366"/>
    </row>
    <row r="16" spans="1:7" x14ac:dyDescent="0.2">
      <c r="A16" s="354" t="s">
        <v>655</v>
      </c>
      <c r="B16" s="368">
        <v>3745795041.5700002</v>
      </c>
      <c r="C16" s="368">
        <v>2773634431.1999998</v>
      </c>
      <c r="D16" s="367"/>
      <c r="E16" s="352">
        <f t="shared" si="0"/>
        <v>2773634431.1999998</v>
      </c>
      <c r="F16" s="352">
        <f t="shared" si="1"/>
        <v>972160610.37000036</v>
      </c>
      <c r="G16" s="366"/>
    </row>
    <row r="17" spans="1:7" x14ac:dyDescent="0.2">
      <c r="A17" s="354" t="s">
        <v>654</v>
      </c>
      <c r="B17" s="368">
        <v>173582.52</v>
      </c>
      <c r="C17" s="367"/>
      <c r="D17" s="367"/>
      <c r="E17" s="352">
        <f t="shared" si="0"/>
        <v>0</v>
      </c>
      <c r="F17" s="352">
        <f t="shared" si="1"/>
        <v>173582.52</v>
      </c>
      <c r="G17" s="366"/>
    </row>
    <row r="18" spans="1:7" x14ac:dyDescent="0.2">
      <c r="A18" s="354" t="s">
        <v>653</v>
      </c>
      <c r="B18" s="367"/>
      <c r="C18" s="367"/>
      <c r="D18" s="367"/>
      <c r="E18" s="352">
        <f t="shared" si="0"/>
        <v>0</v>
      </c>
      <c r="F18" s="352">
        <f t="shared" si="1"/>
        <v>0</v>
      </c>
      <c r="G18" s="366"/>
    </row>
    <row r="19" spans="1:7" x14ac:dyDescent="0.2">
      <c r="A19" s="354" t="s">
        <v>652</v>
      </c>
      <c r="B19" s="368">
        <v>1747610.93</v>
      </c>
      <c r="C19" s="367"/>
      <c r="D19" s="367"/>
      <c r="E19" s="352">
        <f t="shared" si="0"/>
        <v>0</v>
      </c>
      <c r="F19" s="352">
        <f t="shared" si="1"/>
        <v>1747610.93</v>
      </c>
      <c r="G19" s="366"/>
    </row>
    <row r="20" spans="1:7" x14ac:dyDescent="0.2">
      <c r="A20" s="365" t="s">
        <v>651</v>
      </c>
      <c r="B20" s="364">
        <f>SUM(B10:B19)</f>
        <v>11372834202.23</v>
      </c>
      <c r="C20" s="364">
        <f>SUM(C10:C19)</f>
        <v>8758439996.2299995</v>
      </c>
      <c r="D20" s="364">
        <f>SUM(D10:D19)</f>
        <v>566951517.28999996</v>
      </c>
      <c r="E20" s="347">
        <f>SUM(E10:E19)</f>
        <v>9325391513.5200005</v>
      </c>
      <c r="F20" s="347">
        <f>SUM(F10:F19)</f>
        <v>2047442688.7100003</v>
      </c>
      <c r="G20" s="363" t="s">
        <v>0</v>
      </c>
    </row>
    <row r="21" spans="1:7" x14ac:dyDescent="0.2">
      <c r="E21" s="362">
        <f>[5]EGRESOS!B9</f>
        <v>9325391513.5200005</v>
      </c>
      <c r="F21" s="361" t="s">
        <v>678</v>
      </c>
    </row>
    <row r="22" spans="1:7" ht="15.75" x14ac:dyDescent="0.25">
      <c r="A22" s="421" t="s">
        <v>677</v>
      </c>
      <c r="B22" s="421"/>
      <c r="C22" s="421"/>
      <c r="D22" s="421"/>
      <c r="E22" s="421"/>
      <c r="F22" s="421"/>
    </row>
    <row r="23" spans="1:7" ht="13.5" thickBot="1" x14ac:dyDescent="0.25"/>
    <row r="24" spans="1:7" ht="26.25" thickBot="1" x14ac:dyDescent="0.25">
      <c r="A24" s="359" t="s">
        <v>665</v>
      </c>
      <c r="B24" s="358" t="s">
        <v>664</v>
      </c>
      <c r="C24" s="358" t="s">
        <v>663</v>
      </c>
      <c r="D24" s="358" t="s">
        <v>662</v>
      </c>
      <c r="E24" s="358" t="s">
        <v>661</v>
      </c>
      <c r="F24" s="357" t="s">
        <v>660</v>
      </c>
      <c r="G24" s="357" t="s">
        <v>672</v>
      </c>
    </row>
    <row r="25" spans="1:7" x14ac:dyDescent="0.2">
      <c r="A25" s="355" t="s">
        <v>99</v>
      </c>
      <c r="B25" s="373">
        <v>4113849179.3800001</v>
      </c>
      <c r="C25" s="373">
        <v>3424478166.4000001</v>
      </c>
      <c r="D25" s="373">
        <v>0</v>
      </c>
      <c r="E25" s="353">
        <f t="shared" ref="E25:E34" si="2">C25+D25</f>
        <v>3424478166.4000001</v>
      </c>
      <c r="F25" s="353">
        <f t="shared" ref="F25:F34" si="3">B25-E25</f>
        <v>689371012.98000002</v>
      </c>
      <c r="G25" s="366"/>
    </row>
    <row r="26" spans="1:7" x14ac:dyDescent="0.2">
      <c r="A26" s="354" t="s">
        <v>100</v>
      </c>
      <c r="B26" s="368">
        <v>8593411261.8199997</v>
      </c>
      <c r="C26" s="368">
        <v>3148910611.3099999</v>
      </c>
      <c r="D26" s="368">
        <v>1755995163.75</v>
      </c>
      <c r="E26" s="352">
        <f t="shared" si="2"/>
        <v>4904905775.0599995</v>
      </c>
      <c r="F26" s="352">
        <f t="shared" si="3"/>
        <v>3688505486.7600002</v>
      </c>
      <c r="G26" s="366"/>
    </row>
    <row r="27" spans="1:7" x14ac:dyDescent="0.2">
      <c r="A27" s="354" t="s">
        <v>659</v>
      </c>
      <c r="B27" s="368">
        <v>360794974.35000002</v>
      </c>
      <c r="C27" s="368">
        <v>181526123.31</v>
      </c>
      <c r="D27" s="368">
        <v>121855048.81999999</v>
      </c>
      <c r="E27" s="352">
        <f t="shared" si="2"/>
        <v>303381172.13</v>
      </c>
      <c r="F27" s="352">
        <f t="shared" si="3"/>
        <v>57413802.220000029</v>
      </c>
      <c r="G27" s="366"/>
    </row>
    <row r="28" spans="1:7" x14ac:dyDescent="0.2">
      <c r="A28" s="354" t="s">
        <v>658</v>
      </c>
      <c r="B28" s="368">
        <v>241705157.72</v>
      </c>
      <c r="C28" s="368">
        <v>200341026.75</v>
      </c>
      <c r="D28" s="367"/>
      <c r="E28" s="352">
        <f t="shared" si="2"/>
        <v>200341026.75</v>
      </c>
      <c r="F28" s="352">
        <f t="shared" si="3"/>
        <v>41364130.969999999</v>
      </c>
      <c r="G28" s="366"/>
    </row>
    <row r="29" spans="1:7" x14ac:dyDescent="0.2">
      <c r="A29" s="354" t="s">
        <v>657</v>
      </c>
      <c r="B29" s="367"/>
      <c r="C29" s="367"/>
      <c r="D29" s="367"/>
      <c r="E29" s="352">
        <f t="shared" si="2"/>
        <v>0</v>
      </c>
      <c r="F29" s="352">
        <f t="shared" si="3"/>
        <v>0</v>
      </c>
      <c r="G29" s="366"/>
    </row>
    <row r="30" spans="1:7" x14ac:dyDescent="0.2">
      <c r="A30" s="354" t="s">
        <v>656</v>
      </c>
      <c r="B30" s="368">
        <v>1405675672.98</v>
      </c>
      <c r="C30" s="368">
        <v>235586614.97</v>
      </c>
      <c r="D30" s="368">
        <v>375238806.86000001</v>
      </c>
      <c r="E30" s="352">
        <f t="shared" si="2"/>
        <v>610825421.83000004</v>
      </c>
      <c r="F30" s="352">
        <f t="shared" si="3"/>
        <v>794850251.14999998</v>
      </c>
      <c r="G30" s="366"/>
    </row>
    <row r="31" spans="1:7" x14ac:dyDescent="0.2">
      <c r="A31" s="354" t="s">
        <v>655</v>
      </c>
      <c r="B31" s="368">
        <v>480493393.14999998</v>
      </c>
      <c r="C31" s="368">
        <v>159447303.65000001</v>
      </c>
      <c r="D31" s="367"/>
      <c r="E31" s="352">
        <f t="shared" si="2"/>
        <v>159447303.65000001</v>
      </c>
      <c r="F31" s="352">
        <f t="shared" si="3"/>
        <v>321046089.5</v>
      </c>
      <c r="G31" s="366"/>
    </row>
    <row r="32" spans="1:7" x14ac:dyDescent="0.2">
      <c r="A32" s="354" t="s">
        <v>654</v>
      </c>
      <c r="B32" s="368"/>
      <c r="C32" s="367"/>
      <c r="D32" s="367"/>
      <c r="E32" s="352">
        <f t="shared" si="2"/>
        <v>0</v>
      </c>
      <c r="F32" s="352">
        <f t="shared" si="3"/>
        <v>0</v>
      </c>
      <c r="G32" s="366"/>
    </row>
    <row r="33" spans="1:7" x14ac:dyDescent="0.2">
      <c r="A33" s="354" t="s">
        <v>653</v>
      </c>
      <c r="B33" s="368">
        <v>495358635.42000002</v>
      </c>
      <c r="C33" s="368">
        <v>482364285.99000001</v>
      </c>
      <c r="D33" s="367"/>
      <c r="E33" s="352">
        <f t="shared" si="2"/>
        <v>482364285.99000001</v>
      </c>
      <c r="F33" s="352">
        <f t="shared" si="3"/>
        <v>12994349.430000007</v>
      </c>
      <c r="G33" s="366"/>
    </row>
    <row r="34" spans="1:7" x14ac:dyDescent="0.2">
      <c r="A34" s="354" t="s">
        <v>652</v>
      </c>
      <c r="B34" s="368">
        <v>59876181.969999999</v>
      </c>
      <c r="C34" s="367"/>
      <c r="D34" s="367"/>
      <c r="E34" s="352">
        <f t="shared" si="2"/>
        <v>0</v>
      </c>
      <c r="F34" s="352">
        <f t="shared" si="3"/>
        <v>59876181.969999999</v>
      </c>
      <c r="G34" s="366"/>
    </row>
    <row r="35" spans="1:7" x14ac:dyDescent="0.2">
      <c r="A35" s="365" t="s">
        <v>651</v>
      </c>
      <c r="B35" s="364">
        <f>SUM(B25:B34)</f>
        <v>15751164456.789999</v>
      </c>
      <c r="C35" s="364">
        <f>SUM(C25:C34)</f>
        <v>7832654132.3800001</v>
      </c>
      <c r="D35" s="364">
        <f>SUM(D25:D34)</f>
        <v>2253089019.4299998</v>
      </c>
      <c r="E35" s="347">
        <f>SUM(E25:E34)</f>
        <v>10085743151.809998</v>
      </c>
      <c r="F35" s="347">
        <f>SUM(F25:F34)</f>
        <v>5665421304.9800005</v>
      </c>
      <c r="G35" s="363" t="s">
        <v>0</v>
      </c>
    </row>
    <row r="36" spans="1:7" x14ac:dyDescent="0.2">
      <c r="E36" s="362">
        <f>[5]EGRESOS!B10</f>
        <v>10085743151.809999</v>
      </c>
      <c r="F36" s="361" t="s">
        <v>676</v>
      </c>
    </row>
    <row r="37" spans="1:7" ht="15.75" x14ac:dyDescent="0.25">
      <c r="A37" s="421" t="s">
        <v>675</v>
      </c>
      <c r="B37" s="421"/>
      <c r="C37" s="421"/>
      <c r="D37" s="421"/>
      <c r="E37" s="421"/>
      <c r="F37" s="421"/>
    </row>
    <row r="38" spans="1:7" ht="13.5" thickBot="1" x14ac:dyDescent="0.25"/>
    <row r="39" spans="1:7" ht="26.25" thickBot="1" x14ac:dyDescent="0.25">
      <c r="A39" s="359" t="s">
        <v>665</v>
      </c>
      <c r="B39" s="358" t="s">
        <v>664</v>
      </c>
      <c r="C39" s="358" t="s">
        <v>663</v>
      </c>
      <c r="D39" s="358" t="s">
        <v>662</v>
      </c>
      <c r="E39" s="358" t="s">
        <v>661</v>
      </c>
      <c r="F39" s="357" t="s">
        <v>660</v>
      </c>
      <c r="G39" s="357" t="s">
        <v>672</v>
      </c>
    </row>
    <row r="40" spans="1:7" x14ac:dyDescent="0.2">
      <c r="A40" s="355" t="s">
        <v>99</v>
      </c>
      <c r="B40" s="373">
        <v>1599784335.3900001</v>
      </c>
      <c r="C40" s="373">
        <v>1393976614.0999999</v>
      </c>
      <c r="D40" s="370"/>
      <c r="E40" s="372">
        <f t="shared" ref="E40:E49" si="4">C40+D40</f>
        <v>1393976614.0999999</v>
      </c>
      <c r="F40" s="353">
        <f t="shared" ref="F40:F49" si="5">B40-E40</f>
        <v>205807721.2900002</v>
      </c>
      <c r="G40" s="366"/>
    </row>
    <row r="41" spans="1:7" x14ac:dyDescent="0.2">
      <c r="A41" s="354" t="s">
        <v>100</v>
      </c>
      <c r="B41" s="368">
        <v>3705840775.5700002</v>
      </c>
      <c r="C41" s="368">
        <v>763264898.48000002</v>
      </c>
      <c r="D41" s="368">
        <v>1514630407.3299999</v>
      </c>
      <c r="E41" s="371">
        <f t="shared" si="4"/>
        <v>2277895305.8099999</v>
      </c>
      <c r="F41" s="352">
        <f t="shared" si="5"/>
        <v>1427945469.7600002</v>
      </c>
      <c r="G41" s="366"/>
    </row>
    <row r="42" spans="1:7" x14ac:dyDescent="0.2">
      <c r="A42" s="354" t="s">
        <v>659</v>
      </c>
      <c r="B42" s="368">
        <v>1248885786.4200001</v>
      </c>
      <c r="C42" s="368">
        <v>531953729.91000003</v>
      </c>
      <c r="D42" s="368">
        <v>512028097.88</v>
      </c>
      <c r="E42" s="371">
        <f t="shared" si="4"/>
        <v>1043981827.79</v>
      </c>
      <c r="F42" s="352">
        <f t="shared" si="5"/>
        <v>204903958.63000011</v>
      </c>
      <c r="G42" s="366"/>
    </row>
    <row r="43" spans="1:7" x14ac:dyDescent="0.2">
      <c r="A43" s="354" t="s">
        <v>658</v>
      </c>
      <c r="B43" s="367"/>
      <c r="C43" s="367"/>
      <c r="D43" s="367"/>
      <c r="E43" s="371">
        <f t="shared" si="4"/>
        <v>0</v>
      </c>
      <c r="F43" s="352">
        <f t="shared" si="5"/>
        <v>0</v>
      </c>
      <c r="G43" s="366"/>
    </row>
    <row r="44" spans="1:7" x14ac:dyDescent="0.2">
      <c r="A44" s="354" t="s">
        <v>657</v>
      </c>
      <c r="B44" s="367"/>
      <c r="C44" s="367"/>
      <c r="D44" s="367"/>
      <c r="E44" s="371">
        <f t="shared" si="4"/>
        <v>0</v>
      </c>
      <c r="F44" s="352">
        <f t="shared" si="5"/>
        <v>0</v>
      </c>
      <c r="G44" s="366"/>
    </row>
    <row r="45" spans="1:7" x14ac:dyDescent="0.2">
      <c r="A45" s="354" t="s">
        <v>656</v>
      </c>
      <c r="B45" s="368">
        <v>27300830475.029999</v>
      </c>
      <c r="C45" s="368">
        <v>4379008758.2000008</v>
      </c>
      <c r="D45" s="368">
        <v>8721782238.9099998</v>
      </c>
      <c r="E45" s="371">
        <f t="shared" si="4"/>
        <v>13100790997.110001</v>
      </c>
      <c r="F45" s="352">
        <f t="shared" si="5"/>
        <v>14200039477.919998</v>
      </c>
      <c r="G45" s="366"/>
    </row>
    <row r="46" spans="1:7" x14ac:dyDescent="0.2">
      <c r="A46" s="354" t="s">
        <v>655</v>
      </c>
      <c r="B46" s="368">
        <v>90257219.840000004</v>
      </c>
      <c r="C46" s="368">
        <v>54981370.799999997</v>
      </c>
      <c r="D46" s="367">
        <v>0</v>
      </c>
      <c r="E46" s="371">
        <f t="shared" si="4"/>
        <v>54981370.799999997</v>
      </c>
      <c r="F46" s="352">
        <f t="shared" si="5"/>
        <v>35275849.040000007</v>
      </c>
      <c r="G46" s="366"/>
    </row>
    <row r="47" spans="1:7" x14ac:dyDescent="0.2">
      <c r="A47" s="354" t="s">
        <v>654</v>
      </c>
      <c r="B47" s="368">
        <v>208947403.94</v>
      </c>
      <c r="C47" s="368">
        <v>150080244.74000001</v>
      </c>
      <c r="D47" s="367"/>
      <c r="E47" s="371">
        <f t="shared" si="4"/>
        <v>150080244.74000001</v>
      </c>
      <c r="F47" s="352">
        <f t="shared" si="5"/>
        <v>58867159.199999988</v>
      </c>
      <c r="G47" s="366"/>
    </row>
    <row r="48" spans="1:7" x14ac:dyDescent="0.2">
      <c r="A48" s="354" t="s">
        <v>653</v>
      </c>
      <c r="B48" s="367"/>
      <c r="C48" s="367"/>
      <c r="D48" s="367"/>
      <c r="E48" s="371">
        <f t="shared" si="4"/>
        <v>0</v>
      </c>
      <c r="F48" s="352">
        <f t="shared" si="5"/>
        <v>0</v>
      </c>
      <c r="G48" s="366"/>
    </row>
    <row r="49" spans="1:7" x14ac:dyDescent="0.2">
      <c r="A49" s="354" t="s">
        <v>652</v>
      </c>
      <c r="B49" s="368">
        <v>162818.68</v>
      </c>
      <c r="C49" s="367"/>
      <c r="D49" s="367"/>
      <c r="E49" s="371">
        <f t="shared" si="4"/>
        <v>0</v>
      </c>
      <c r="F49" s="352">
        <f t="shared" si="5"/>
        <v>162818.68</v>
      </c>
      <c r="G49" s="366"/>
    </row>
    <row r="50" spans="1:7" x14ac:dyDescent="0.2">
      <c r="A50" s="365" t="s">
        <v>651</v>
      </c>
      <c r="B50" s="364">
        <f>SUM(B40:B49)</f>
        <v>34154708814.869999</v>
      </c>
      <c r="C50" s="364">
        <f>SUM(C40:C49)</f>
        <v>7273265616.2300005</v>
      </c>
      <c r="D50" s="364">
        <f>SUM(D40:D49)</f>
        <v>10748440744.119999</v>
      </c>
      <c r="E50" s="347">
        <f>SUM(E40:E49)</f>
        <v>18021706360.350002</v>
      </c>
      <c r="F50" s="347">
        <f>SUM(F40:F49)</f>
        <v>16133002454.52</v>
      </c>
      <c r="G50" s="363" t="s">
        <v>0</v>
      </c>
    </row>
    <row r="51" spans="1:7" x14ac:dyDescent="0.2">
      <c r="E51" s="362">
        <f>[5]EGRESOS!B11</f>
        <v>18021706360.349998</v>
      </c>
      <c r="F51" s="361" t="s">
        <v>674</v>
      </c>
    </row>
    <row r="52" spans="1:7" ht="15.75" x14ac:dyDescent="0.25">
      <c r="A52" s="421" t="s">
        <v>673</v>
      </c>
      <c r="B52" s="421"/>
      <c r="C52" s="421"/>
      <c r="D52" s="421"/>
      <c r="E52" s="421"/>
      <c r="F52" s="421"/>
    </row>
    <row r="53" spans="1:7" ht="13.5" thickBot="1" x14ac:dyDescent="0.25"/>
    <row r="54" spans="1:7" ht="26.25" thickBot="1" x14ac:dyDescent="0.25">
      <c r="A54" s="359" t="s">
        <v>665</v>
      </c>
      <c r="B54" s="358" t="s">
        <v>664</v>
      </c>
      <c r="C54" s="358" t="s">
        <v>663</v>
      </c>
      <c r="D54" s="358" t="s">
        <v>662</v>
      </c>
      <c r="E54" s="358" t="s">
        <v>661</v>
      </c>
      <c r="F54" s="357" t="s">
        <v>660</v>
      </c>
      <c r="G54" s="357" t="s">
        <v>672</v>
      </c>
    </row>
    <row r="55" spans="1:7" x14ac:dyDescent="0.2">
      <c r="A55" s="355" t="s">
        <v>99</v>
      </c>
      <c r="B55" s="370"/>
      <c r="C55" s="370"/>
      <c r="D55" s="370"/>
      <c r="E55" s="353">
        <f t="shared" ref="E55:E64" si="6">C55+D55</f>
        <v>0</v>
      </c>
      <c r="F55" s="353">
        <f t="shared" ref="F55:F64" si="7">B55-E55</f>
        <v>0</v>
      </c>
      <c r="G55" s="366"/>
    </row>
    <row r="56" spans="1:7" x14ac:dyDescent="0.2">
      <c r="A56" s="354" t="s">
        <v>100</v>
      </c>
      <c r="B56" s="369"/>
      <c r="C56" s="367">
        <v>0</v>
      </c>
      <c r="D56" s="369"/>
      <c r="E56" s="352">
        <f t="shared" si="6"/>
        <v>0</v>
      </c>
      <c r="F56" s="352">
        <f t="shared" si="7"/>
        <v>0</v>
      </c>
      <c r="G56" s="366"/>
    </row>
    <row r="57" spans="1:7" x14ac:dyDescent="0.2">
      <c r="A57" s="354" t="s">
        <v>659</v>
      </c>
      <c r="B57" s="367"/>
      <c r="C57" s="367"/>
      <c r="D57" s="367"/>
      <c r="E57" s="352">
        <f t="shared" si="6"/>
        <v>0</v>
      </c>
      <c r="F57" s="352">
        <f t="shared" si="7"/>
        <v>0</v>
      </c>
      <c r="G57" s="366"/>
    </row>
    <row r="58" spans="1:7" x14ac:dyDescent="0.2">
      <c r="A58" s="354" t="s">
        <v>658</v>
      </c>
      <c r="B58" s="367"/>
      <c r="C58" s="367"/>
      <c r="D58" s="367"/>
      <c r="E58" s="352">
        <f t="shared" si="6"/>
        <v>0</v>
      </c>
      <c r="F58" s="352">
        <f t="shared" si="7"/>
        <v>0</v>
      </c>
      <c r="G58" s="366"/>
    </row>
    <row r="59" spans="1:7" x14ac:dyDescent="0.2">
      <c r="A59" s="354" t="s">
        <v>657</v>
      </c>
      <c r="B59" s="367"/>
      <c r="C59" s="367"/>
      <c r="D59" s="367"/>
      <c r="E59" s="352">
        <f t="shared" si="6"/>
        <v>0</v>
      </c>
      <c r="F59" s="352">
        <f t="shared" si="7"/>
        <v>0</v>
      </c>
      <c r="G59" s="366"/>
    </row>
    <row r="60" spans="1:7" x14ac:dyDescent="0.2">
      <c r="A60" s="354" t="s">
        <v>656</v>
      </c>
      <c r="B60" s="368">
        <v>234908095.90000001</v>
      </c>
      <c r="C60" s="368">
        <v>130958398.59</v>
      </c>
      <c r="D60" s="368"/>
      <c r="E60" s="352">
        <f t="shared" si="6"/>
        <v>130958398.59</v>
      </c>
      <c r="F60" s="352">
        <f t="shared" si="7"/>
        <v>103949697.31</v>
      </c>
      <c r="G60" s="366"/>
    </row>
    <row r="61" spans="1:7" x14ac:dyDescent="0.2">
      <c r="A61" s="354" t="s">
        <v>655</v>
      </c>
      <c r="B61" s="367"/>
      <c r="C61" s="367"/>
      <c r="D61" s="367"/>
      <c r="E61" s="352">
        <f t="shared" si="6"/>
        <v>0</v>
      </c>
      <c r="F61" s="352">
        <f t="shared" si="7"/>
        <v>0</v>
      </c>
      <c r="G61" s="366"/>
    </row>
    <row r="62" spans="1:7" x14ac:dyDescent="0.2">
      <c r="A62" s="354" t="s">
        <v>654</v>
      </c>
      <c r="B62" s="367"/>
      <c r="C62" s="367"/>
      <c r="D62" s="367"/>
      <c r="E62" s="352">
        <f t="shared" si="6"/>
        <v>0</v>
      </c>
      <c r="F62" s="352">
        <f t="shared" si="7"/>
        <v>0</v>
      </c>
      <c r="G62" s="366"/>
    </row>
    <row r="63" spans="1:7" x14ac:dyDescent="0.2">
      <c r="A63" s="354" t="s">
        <v>653</v>
      </c>
      <c r="B63" s="367"/>
      <c r="C63" s="367"/>
      <c r="D63" s="367"/>
      <c r="E63" s="352">
        <f t="shared" si="6"/>
        <v>0</v>
      </c>
      <c r="F63" s="352">
        <f t="shared" si="7"/>
        <v>0</v>
      </c>
      <c r="G63" s="366"/>
    </row>
    <row r="64" spans="1:7" x14ac:dyDescent="0.2">
      <c r="A64" s="354" t="s">
        <v>652</v>
      </c>
      <c r="B64" s="367"/>
      <c r="C64" s="367"/>
      <c r="D64" s="367"/>
      <c r="E64" s="352">
        <f t="shared" si="6"/>
        <v>0</v>
      </c>
      <c r="F64" s="352">
        <f t="shared" si="7"/>
        <v>0</v>
      </c>
      <c r="G64" s="366"/>
    </row>
    <row r="65" spans="1:7" x14ac:dyDescent="0.2">
      <c r="A65" s="365" t="s">
        <v>651</v>
      </c>
      <c r="B65" s="364">
        <f>SUM(B55:B64)</f>
        <v>234908095.90000001</v>
      </c>
      <c r="C65" s="364">
        <f>SUM(C55:C64)</f>
        <v>130958398.59</v>
      </c>
      <c r="D65" s="364">
        <f>SUM(D55:D64)</f>
        <v>0</v>
      </c>
      <c r="E65" s="347">
        <f>SUM(E55:E64)</f>
        <v>130958398.59</v>
      </c>
      <c r="F65" s="347">
        <f>SUM(F55:F64)</f>
        <v>103949697.31</v>
      </c>
      <c r="G65" s="363" t="s">
        <v>0</v>
      </c>
    </row>
    <row r="66" spans="1:7" x14ac:dyDescent="0.2">
      <c r="E66" s="362">
        <f>[5]EGRESOS!B12</f>
        <v>130958398.59</v>
      </c>
      <c r="F66" s="361" t="s">
        <v>671</v>
      </c>
    </row>
    <row r="67" spans="1:7" ht="14.25" x14ac:dyDescent="0.2">
      <c r="A67" s="346" t="s">
        <v>650</v>
      </c>
      <c r="B67" s="346"/>
      <c r="C67" s="340"/>
      <c r="D67" s="340"/>
      <c r="E67" s="340"/>
    </row>
    <row r="68" spans="1:7" ht="15" x14ac:dyDescent="0.25">
      <c r="A68" s="342" t="s">
        <v>37</v>
      </c>
      <c r="B68" s="341"/>
      <c r="C68" s="340"/>
      <c r="D68" s="342" t="s">
        <v>16</v>
      </c>
      <c r="E68" s="341"/>
    </row>
    <row r="69" spans="1:7" ht="14.25" x14ac:dyDescent="0.2">
      <c r="A69" s="340"/>
      <c r="B69" s="340"/>
      <c r="C69" s="340"/>
      <c r="D69" s="340"/>
      <c r="E69" s="340"/>
    </row>
    <row r="70" spans="1:7" ht="14.25" x14ac:dyDescent="0.2">
      <c r="A70" s="340"/>
      <c r="B70" s="340"/>
      <c r="C70" s="340"/>
      <c r="D70" s="340"/>
      <c r="E70" s="340"/>
    </row>
    <row r="71" spans="1:7" ht="14.25" x14ac:dyDescent="0.2">
      <c r="A71" s="345" t="s">
        <v>649</v>
      </c>
      <c r="B71" s="345"/>
      <c r="C71" s="340"/>
      <c r="D71" s="344">
        <v>44580</v>
      </c>
      <c r="E71" s="340"/>
    </row>
    <row r="72" spans="1:7" ht="15" x14ac:dyDescent="0.25">
      <c r="A72" s="343" t="s">
        <v>38</v>
      </c>
      <c r="B72" s="340"/>
      <c r="C72" s="340"/>
      <c r="D72" s="342" t="s">
        <v>19</v>
      </c>
      <c r="E72" s="341"/>
    </row>
    <row r="73" spans="1:7" ht="14.25" x14ac:dyDescent="0.2">
      <c r="A73" s="346"/>
      <c r="B73" s="346"/>
      <c r="C73" s="346"/>
      <c r="D73" s="346"/>
      <c r="E73" s="346"/>
    </row>
  </sheetData>
  <mergeCells count="8">
    <mergeCell ref="A37:F37"/>
    <mergeCell ref="A52:F52"/>
    <mergeCell ref="A2:F2"/>
    <mergeCell ref="A3:F3"/>
    <mergeCell ref="A4:F4"/>
    <mergeCell ref="A5:F5"/>
    <mergeCell ref="A7:F7"/>
    <mergeCell ref="A22:F22"/>
  </mergeCells>
  <conditionalFormatting sqref="E20">
    <cfRule type="expression" dxfId="7" priority="7">
      <formula>$E$20&lt;&gt;$E$21</formula>
    </cfRule>
    <cfRule type="expression" dxfId="6" priority="8">
      <formula>$E$20=$E$21</formula>
    </cfRule>
  </conditionalFormatting>
  <conditionalFormatting sqref="E35">
    <cfRule type="expression" dxfId="5" priority="5">
      <formula>$E$35&lt;&gt;$E$36</formula>
    </cfRule>
    <cfRule type="expression" dxfId="4" priority="6">
      <formula>$E$35=$E$36</formula>
    </cfRule>
  </conditionalFormatting>
  <conditionalFormatting sqref="E50">
    <cfRule type="expression" dxfId="3" priority="3">
      <formula>$E$50&lt;&gt;$E$51</formula>
    </cfRule>
    <cfRule type="expression" dxfId="2" priority="4">
      <formula>$E$50=$E$51</formula>
    </cfRule>
  </conditionalFormatting>
  <conditionalFormatting sqref="E65">
    <cfRule type="expression" dxfId="1" priority="1">
      <formula>$E$65&lt;&gt;$E$66</formula>
    </cfRule>
    <cfRule type="expression" dxfId="0" priority="2">
      <formula>$E$65=$E$66</formula>
    </cfRule>
  </conditionalFormatting>
  <pageMargins left="0.70866141732283472" right="0.70866141732283472" top="0.74803149606299213" bottom="0.74803149606299213" header="0.31496062992125984" footer="0.31496062992125984"/>
  <pageSetup scale="7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8BA89F879F804418F4C7E540C0E035E" ma:contentTypeVersion="9" ma:contentTypeDescription="Crear nuevo documento." ma:contentTypeScope="" ma:versionID="a65a715b0879a0e8dbb1f249275c4303">
  <xsd:schema xmlns:xsd="http://www.w3.org/2001/XMLSchema" xmlns:xs="http://www.w3.org/2001/XMLSchema" xmlns:p="http://schemas.microsoft.com/office/2006/metadata/properties" xmlns:ns3="d6a808b2-7ed7-497d-8e73-c02619b18d83" targetNamespace="http://schemas.microsoft.com/office/2006/metadata/properties" ma:root="true" ma:fieldsID="0d8864a7df3e9aae2a88b19e9521ce44" ns3:_="">
    <xsd:import namespace="d6a808b2-7ed7-497d-8e73-c02619b18d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a808b2-7ed7-497d-8e73-c02619b18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C585A-11A9-4685-B0B8-F645E3E4304F}">
  <ds:schemaRefs>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http://purl.org/dc/terms/"/>
    <ds:schemaRef ds:uri="d6a808b2-7ed7-497d-8e73-c02619b18d8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B156882-791F-447B-B6A2-B5EE48A08CB2}">
  <ds:schemaRefs>
    <ds:schemaRef ds:uri="http://schemas.microsoft.com/sharepoint/v3/contenttype/forms"/>
  </ds:schemaRefs>
</ds:datastoreItem>
</file>

<file path=customXml/itemProps3.xml><?xml version="1.0" encoding="utf-8"?>
<ds:datastoreItem xmlns:ds="http://schemas.openxmlformats.org/officeDocument/2006/customXml" ds:itemID="{F57FDFDB-363E-4DAB-9064-54DBB7BED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a808b2-7ed7-497d-8e73-c02619b18d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 1_Liquidación</vt:lpstr>
      <vt:lpstr>2_Morosidad</vt:lpstr>
      <vt:lpstr>3_Detalle de origen y aplicació</vt:lpstr>
      <vt:lpstr>Hoja1</vt:lpstr>
      <vt:lpstr>4_OyA Transferencias Gob Cent</vt:lpstr>
      <vt:lpstr>Formulario 4-Compromisos</vt:lpstr>
      <vt:lpstr>Formulario 5-Compromisos</vt:lpstr>
      <vt:lpstr>'3_Detalle de origen y aplicació'!Área_de_impresión</vt:lpstr>
      <vt:lpstr>'4_OyA Transferencias Gob Cent'!Área_de_impresión</vt:lpstr>
      <vt:lpstr>'3_Detalle de origen y aplicació'!Títulos_a_imprimir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 DE LA REPU</dc:creator>
  <cp:lastModifiedBy>Ana Maria Alvarado Garita</cp:lastModifiedBy>
  <cp:lastPrinted>2022-02-09T16:29:21Z</cp:lastPrinted>
  <dcterms:created xsi:type="dcterms:W3CDTF">1999-01-08T03:50:12Z</dcterms:created>
  <dcterms:modified xsi:type="dcterms:W3CDTF">2022-04-07T18:02:05Z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0x01010028BA89F879F804418F4C7E540C0E035E</vt:lpwstr>
  </property>
</Properties>
</file>