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1595" windowHeight="5835" firstSheet="6" activeTab="11"/>
  </bookViews>
  <sheets>
    <sheet name="Clasific. Económica de Ingr (2)" sheetId="1" state="hidden" r:id="rId1"/>
    <sheet name="Clasific. Económica de Ingresos" sheetId="2" r:id="rId2"/>
    <sheet name="GASTOS" sheetId="3" r:id="rId3"/>
    <sheet name="general" sheetId="4" r:id="rId4"/>
    <sheet name="Origen y Aplicación" sheetId="5" r:id="rId5"/>
    <sheet name="CUADRO 2 RH (2)" sheetId="6" r:id="rId6"/>
    <sheet name="CUADRO 3 SA (2)" sheetId="7" r:id="rId7"/>
    <sheet name="CUADRO 4 Deudas (2)" sheetId="8" r:id="rId8"/>
    <sheet name="Cuadro 5" sheetId="9" r:id="rId9"/>
    <sheet name="ANEXO 3" sheetId="10" r:id="rId10"/>
    <sheet name="Justificación de Imgresos" sheetId="11" r:id="rId11"/>
    <sheet name="Justificación de Egresos" sheetId="12" r:id="rId12"/>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GoBack" localSheetId="11">'Justificación de Egresos'!$A$152</definedName>
    <definedName name="_xlnm.Print_Area" localSheetId="8">'Cuadro 5'!$A$1:$F$91</definedName>
    <definedName name="_xlnm.Print_Area" localSheetId="2">'GASTOS'!$A$1:$G$27</definedName>
    <definedName name="_xlnm.Print_Area" localSheetId="3">'general'!$A$1:$I$254</definedName>
    <definedName name="_xlnm.Print_Area" localSheetId="4">'Origen y Aplicación'!$A$1:$I$361</definedName>
    <definedName name="_xlnm.Print_Titles" localSheetId="8">'Cuadro 5'!$1:$6</definedName>
    <definedName name="Z_BC930EA0_BB45_11D6_934F_00E07D8B5739_.wvu.Cols" localSheetId="4" hidden="1">'Origen y Aplicación'!#REF!</definedName>
    <definedName name="Z_BC930EA0_BB45_11D6_934F_00E07D8B5739_.wvu.Rows" localSheetId="4" hidden="1">'Origen y Aplicación'!#REF!</definedName>
  </definedNames>
  <calcPr fullCalcOnLoad="1"/>
</workbook>
</file>

<file path=xl/comments5.xml><?xml version="1.0" encoding="utf-8"?>
<comments xmlns="http://schemas.openxmlformats.org/spreadsheetml/2006/main">
  <authors>
    <author>x</author>
    <author>Planificacion</author>
  </authors>
  <commentList>
    <comment ref="H10" authorId="0">
      <text>
        <r>
          <rPr>
            <b/>
            <sz val="8"/>
            <rFont val="Tahoma"/>
            <family val="2"/>
          </rPr>
          <t>Según Ley 7729 sólo se podrá disponer del 10% para gastos administrativosx:</t>
        </r>
        <r>
          <rPr>
            <sz val="8"/>
            <rFont val="Tahoma"/>
            <family val="2"/>
          </rPr>
          <t xml:space="preserve">
ESTOS RECURSOS DEBERAN DISTRIBUIRSE ENTRE LOS DIFERENTES GRUPOS Y REGLONES DEL PROGRAMA I en los reglones que siguen.
ADEMAS SE DEBE VARIAR LA FORMULA CADA VEZ QUE SE ABRA UN REGLON NUEVO HACIA ABAJO RESTANDO A </t>
        </r>
        <r>
          <rPr>
            <sz val="8"/>
            <rFont val="Tahoma"/>
            <family val="2"/>
          </rPr>
          <t xml:space="preserve">M18
</t>
        </r>
      </text>
    </comment>
    <comment ref="J10" authorId="1">
      <text>
        <r>
          <rPr>
            <b/>
            <sz val="8"/>
            <rFont val="Tahoma"/>
            <family val="2"/>
          </rPr>
          <t>Este ingreso no tiene un fin específico por lo que puede utilizarse para sufragar los gastos de  LOS DIFERENTES GRUPOS Y REGLONES DEL PROGRAMA I, en los reglones que siguen.
ADEMAS SE DEBE VARIAR LA FORMULA CADA VEZ QUE SE ABRA UN REGLON NUEVO HACIA ABAJO RESTANDO A M63</t>
        </r>
      </text>
    </comment>
    <comment ref="H62" authorId="0">
      <text>
        <r>
          <rPr>
            <b/>
            <sz val="8"/>
            <rFont val="Tahoma"/>
            <family val="2"/>
          </rPr>
          <t>Según Ley 7729 sólo se podrá disponer del 10% para gastos administrativosx:</t>
        </r>
        <r>
          <rPr>
            <sz val="8"/>
            <rFont val="Tahoma"/>
            <family val="2"/>
          </rPr>
          <t xml:space="preserve">
ESTOS RECURSOS DEBERAN DISTRIBUIRSE ENTRE LOS DIFERENTES GRUPOS Y REGLONES DEL PROGRAMA I en los reglones que siguen.
ADEMAS SE DEBE VARIAR LA FORMULA CADA VEZ QUE SE ABRA UN REGLON NUEVO HACIA ABAJO RESTANDO A </t>
        </r>
        <r>
          <rPr>
            <sz val="8"/>
            <rFont val="Tahoma"/>
            <family val="2"/>
          </rPr>
          <t>M23</t>
        </r>
      </text>
    </comment>
    <comment ref="H66" authorId="0">
      <text>
        <r>
          <rPr>
            <b/>
            <sz val="8"/>
            <rFont val="Tahoma"/>
            <family val="2"/>
          </rPr>
          <t>Según Ley 7729 se podrá disponer de un porcentaje (que nosotros hemos estimado en 20%) para gastos en PROYECTOS Y OBRAS:</t>
        </r>
        <r>
          <rPr>
            <sz val="8"/>
            <rFont val="Tahoma"/>
            <family val="2"/>
          </rPr>
          <t xml:space="preserve">
ESTOS RECURSOS DEBERAN DISTRIBUIRSE ENTRE LOS DIFERENTES GRUPOS Y REGLONES DEL PROGRAMA III en los reglones que siguen.
ADEMAS SE DEBE VARIAR LA FORMULA CADA VEZ QUE SE ABRA UN REGLON NUEVO HACIA ABAJO RESTANDO A </t>
        </r>
        <r>
          <rPr>
            <sz val="8"/>
            <rFont val="Tahoma"/>
            <family val="2"/>
          </rPr>
          <t>M30</t>
        </r>
      </text>
    </comment>
    <comment ref="H105" authorId="1">
      <text>
        <r>
          <rPr>
            <b/>
            <sz val="8"/>
            <rFont val="Tahoma"/>
            <family val="2"/>
          </rPr>
          <t>Este ingreso no tiene un fin específico por lo que puede utilizarse para sufragar los gastos de  LOS DIFERENTES GRUPOS Y REGLONES DEL PROGRAMA I, en los reglones que siguen.
ADEMAS SE DEBE VARIAR LA FORMULA CADA VEZ QUE SE ABRA UN REGLON NUEVO HACIA ABAJO RESTANDO A M63</t>
        </r>
      </text>
    </comment>
    <comment ref="H106" authorId="1">
      <text>
        <r>
          <rPr>
            <b/>
            <sz val="8"/>
            <rFont val="Tahoma"/>
            <family val="2"/>
          </rPr>
          <t xml:space="preserve">Este ingreso no tiene un fin específico por lo que puede utilizarse para sufragar los gastos de  LOS DIFERENTES GRUPOS Y REGLONES DEL PROGRAMA I,  en los reglones que siguen.
ADEMAS SE DEBE VARIAR LA FORMULA CADA VEZ QUE SE ABRA UN REGLON NUEVO HACIA ABAJO RESTANDO A M40
</t>
        </r>
      </text>
    </comment>
    <comment ref="H137" authorId="0">
      <text>
        <r>
          <rPr>
            <sz val="8"/>
            <rFont val="Tahoma"/>
            <family val="2"/>
          </rPr>
          <t xml:space="preserve">De este ingreso se destina un 10% para Gasto Administrativo del Programa I, que se deberá distribuir en los renglones o grupos que mejor se consideren teniendo que abrirse hacia abajo  y restando cada renglón abierto a </t>
        </r>
        <r>
          <rPr>
            <sz val="8"/>
            <rFont val="Tahoma"/>
            <family val="2"/>
          </rPr>
          <t>M98</t>
        </r>
      </text>
    </comment>
    <comment ref="H150" authorId="0">
      <text>
        <r>
          <rPr>
            <b/>
            <sz val="8"/>
            <rFont val="Tahoma"/>
            <family val="2"/>
          </rPr>
          <t xml:space="preserve">Este ingreso  solo pueden ser utilizados para la prestación del servicio de Mercado, Plazas y Ferias y debe aplicarse al mantenimiento, administración y mejoramiento de las mismas. Por lo que debe distribuirse para sufragar los gastos de </t>
        </r>
        <r>
          <rPr>
            <sz val="8"/>
            <rFont val="Tahoma"/>
            <family val="2"/>
          </rPr>
          <t xml:space="preserve"> LOS DIFERENTES GRUPOS Y REGLONES DEL SERVICIO O7 MERCADOS, PLAZAS Y FERIAS  Una vez que esto se haya hecho se pueden tomar estos recursos sobrantes para sufragar gastos del Programa I. EN TAL CASO SE DEBE VARIAR LA FORMULA CADA VEZ QUE SE ABRA UN REGLON NUEVO HACIA ABAJO RESTANDO A </t>
        </r>
        <r>
          <rPr>
            <sz val="8"/>
            <rFont val="Tahoma"/>
            <family val="2"/>
          </rPr>
          <t>M110</t>
        </r>
      </text>
    </comment>
    <comment ref="H160" authorId="0">
      <text>
        <r>
          <rPr>
            <b/>
            <sz val="8"/>
            <rFont val="Tahoma"/>
            <family val="2"/>
          </rPr>
          <t xml:space="preserve">Este ingreso  solo pueden ser utilizados para la prestación del servicio de Mercado, Plazas y Ferias y debe aplicarse al mantenimiento, administración y mejoramiento de las mismas. Por lo que debe distribuirse para sufragar los gastos de </t>
        </r>
        <r>
          <rPr>
            <sz val="8"/>
            <rFont val="Tahoma"/>
            <family val="2"/>
          </rPr>
          <t xml:space="preserve"> LOS DIFERENTES GRUPOS Y REGLONES DEL SERVICIO O7 MERCADOS, PLAZAS Y FERIAS  en los reglones que siguen.
ADEMAS SE DEBE VARIAR LA FORMULA CADA VEZ QUE SE ABRA UN REGLON NUEVO HACIA ABAJO RESTANDO A </t>
        </r>
        <r>
          <rPr>
            <sz val="8"/>
            <rFont val="Tahoma"/>
            <family val="2"/>
          </rPr>
          <t>M130</t>
        </r>
      </text>
    </comment>
    <comment ref="H178" authorId="1">
      <text>
        <r>
          <rPr>
            <b/>
            <sz val="8"/>
            <rFont val="Tahoma"/>
            <family val="2"/>
          </rPr>
          <t xml:space="preserve">Este ingreso por ley 1634 solo puede ser utilizados para la prestación del servicio de agua y debe aplicarse al mantenimiento, administración y mejoramiento del sistema. Por lo que debe distribuirse para sufragar los gastos de  LOS DIFERENTES GRUPOS Y REGLONES DEL SERVICIO O6 ACUEDUCTOS en los reglones que siguen.
ADEMAS SE DEBE VARIAR LA FORMULA CADA VEZ QUE SE ABRA UN REGLON NUEVO HACIA ABAJO RESTANDO A </t>
        </r>
        <r>
          <rPr>
            <b/>
            <sz val="8"/>
            <rFont val="Tahoma"/>
            <family val="2"/>
          </rPr>
          <t>M164</t>
        </r>
      </text>
    </comment>
    <comment ref="H184" authorId="0">
      <text>
        <r>
          <rPr>
            <b/>
            <sz val="8"/>
            <rFont val="Tahoma"/>
            <family val="2"/>
          </rPr>
          <t xml:space="preserve">Este ingreso no tiene un fin específico por lo que puede utilizarse para sufragar los gastos de </t>
        </r>
        <r>
          <rPr>
            <sz val="8"/>
            <rFont val="Tahoma"/>
            <family val="2"/>
          </rPr>
          <t xml:space="preserve"> LOS DIFERENTES GRUPOS Y REGLONES DEL PROGRAMA I, II o III en los reglones que siguen.
ADEMAS SE DEBE VARIAR LA FORMULA CADA VEZ QUE SE ABRA UN REGLON NUEVO HACIA ABAJO RESTANDO A </t>
        </r>
        <r>
          <rPr>
            <sz val="8"/>
            <rFont val="Tahoma"/>
            <family val="2"/>
          </rPr>
          <t>M248</t>
        </r>
      </text>
    </comment>
    <comment ref="H190" authorId="0">
      <text>
        <r>
          <rPr>
            <b/>
            <sz val="8"/>
            <rFont val="Tahoma"/>
            <family val="2"/>
          </rPr>
          <t xml:space="preserve">Este ingreso no tiene un fin específico por lo que puede utilizarse para sufragar los gastos de </t>
        </r>
        <r>
          <rPr>
            <sz val="8"/>
            <rFont val="Tahoma"/>
            <family val="2"/>
          </rPr>
          <t xml:space="preserve"> LOS DIFERENTES GRUPOS Y REGLONES DEL PROGRAMA I, II o III en los reglones que siguen.
ADEMAS SE DEBE VARIAR LA FORMULA CADA VEZ QUE SE ABRA UN REGLON NUEVO HACIA ABAJO RESTANDO A </t>
        </r>
        <r>
          <rPr>
            <sz val="8"/>
            <rFont val="Tahoma"/>
            <family val="2"/>
          </rPr>
          <t>M248</t>
        </r>
      </text>
    </comment>
    <comment ref="H195" authorId="0">
      <text>
        <r>
          <rPr>
            <b/>
            <sz val="8"/>
            <rFont val="Tahoma"/>
            <family val="2"/>
          </rPr>
          <t xml:space="preserve">Este ingreso no tiene un fin específico por lo que puede utilizarse para sufragar los gastos de </t>
        </r>
        <r>
          <rPr>
            <sz val="8"/>
            <rFont val="Tahoma"/>
            <family val="2"/>
          </rPr>
          <t xml:space="preserve"> LOS DIFERENTES GRUPOS Y REGLONES DEL PROGRAMA I, II o III en los reglones que siguen.
ADEMAS SE DEBE VARIAR LA FORMULA CADA VEZ QUE SE ABRA UN REGLON NUEVO HACIA ABAJO RESTANDO A </t>
        </r>
        <r>
          <rPr>
            <sz val="8"/>
            <rFont val="Tahoma"/>
            <family val="2"/>
          </rPr>
          <t>M248</t>
        </r>
      </text>
    </comment>
    <comment ref="H216" authorId="0">
      <text>
        <r>
          <rPr>
            <b/>
            <sz val="8"/>
            <rFont val="Tahoma"/>
            <family val="2"/>
          </rPr>
          <t xml:space="preserve">Este ingreso  solo pueden ser utilizados para la prestación del servicio de Mercado, Plazas y Ferias y debe aplicarse al mantenimiento, administración y mejoramiento de las mismas. Por lo que debe distribuirse para sufragar los gastos de </t>
        </r>
        <r>
          <rPr>
            <sz val="8"/>
            <rFont val="Tahoma"/>
            <family val="2"/>
          </rPr>
          <t xml:space="preserve"> LOS DIFERENTES GRUPOS Y REGLONES DEL SERVICIO O7 MERCADOS, PLAZAS Y FERIAS  en los reglones que siguen.
ADEMAS SE DEBE VARIAR LA FORMULA CADA VEZ QUE SE ABRA UN REGLON NUEVO HACIA ABAJO RESTANDO A </t>
        </r>
        <r>
          <rPr>
            <sz val="8"/>
            <rFont val="Tahoma"/>
            <family val="2"/>
          </rPr>
          <t>M130</t>
        </r>
      </text>
    </comment>
    <comment ref="H242" authorId="0">
      <text>
        <r>
          <rPr>
            <b/>
            <sz val="8"/>
            <rFont val="Tahoma"/>
            <family val="2"/>
          </rPr>
          <t xml:space="preserve">Este ingreso no tiene un fin específico por lo que puede utilizarse para sufragar los gastos de </t>
        </r>
        <r>
          <rPr>
            <sz val="8"/>
            <rFont val="Tahoma"/>
            <family val="2"/>
          </rPr>
          <t xml:space="preserve"> LOS DIFERENTES GRUPOS Y REGLONES DEL PROGRAMA I, II o III en los reglones que siguen.
ADEMAS SE DEBE VARIAR LA FORMULA CADA VEZ QUE SE ABRA UN REGLON NUEVO HACIA ABAJO RESTANDO A </t>
        </r>
        <r>
          <rPr>
            <sz val="8"/>
            <rFont val="Tahoma"/>
            <family val="2"/>
          </rPr>
          <t xml:space="preserve">M218
</t>
        </r>
      </text>
    </comment>
    <comment ref="H254" authorId="1">
      <text>
        <r>
          <rPr>
            <b/>
            <sz val="8"/>
            <rFont val="Tahoma"/>
            <family val="2"/>
          </rPr>
          <t>Este ingreso no tiene un fin específico por lo que puede utilizarse para sufragar los gastos de  LOS DIFERENTES GRUPOS Y REGLONES DEL PROGRAMA I, en los reglones que siguen.
ADEMAS SE DEBE VARIAR LA FORMULA CADA VEZ QUE SE ABRA UN REGLON NUEVO HACIA ABAJO RESTANDO A M63</t>
        </r>
      </text>
    </comment>
    <comment ref="H255" authorId="0">
      <text>
        <r>
          <rPr>
            <b/>
            <sz val="8"/>
            <rFont val="Tahoma"/>
            <family val="2"/>
          </rPr>
          <t xml:space="preserve">Este ingreso debe distribuirse según los recursos invertidos, por lo que debe establecerse un mecanismo para determinar a que recursos invertidos corresponden los intereses generados. Determinado lo anterior los recursos se pueden utilizar para sufragar los gastos de </t>
        </r>
        <r>
          <rPr>
            <sz val="8"/>
            <rFont val="Tahoma"/>
            <family val="2"/>
          </rPr>
          <t xml:space="preserve"> LOS DIFERENTES GRUPOS Y REGLONES DEL PROGRAMA I, II o III en los reglones que siguen.
ADEMAS SE DEBE VARIAR LA FORMULA CADA VEZ QUE SE ABRA UN REGLON NUEVO HACIA ABAJO RESTANDO A </t>
        </r>
        <r>
          <rPr>
            <sz val="8"/>
            <rFont val="Tahoma"/>
            <family val="2"/>
          </rPr>
          <t>M189</t>
        </r>
      </text>
    </comment>
    <comment ref="H271" authorId="0">
      <text>
        <r>
          <rPr>
            <b/>
            <sz val="8"/>
            <rFont val="Tahoma"/>
            <family val="2"/>
          </rPr>
          <t xml:space="preserve">Este ingreso  solo pueden ser utilizados para la prestación del servicio de Mercado, Plazas y Ferias y debe aplicarse al mantenimiento, administración y mejoramiento de las mismas. Por lo que debe distribuirse para sufragar los gastos de </t>
        </r>
        <r>
          <rPr>
            <sz val="8"/>
            <rFont val="Tahoma"/>
            <family val="2"/>
          </rPr>
          <t xml:space="preserve"> LOS DIFERENTES GRUPOS Y REGLONES DEL SERVICIO O7 MERCADOS, PLAZAS Y FERIAS  en los reglones que siguen.
ADEMAS SE DEBE VARIAR LA FORMULA CADA VEZ QUE SE ABRA UN REGLON NUEVO HACIA ABAJO RESTANDO A </t>
        </r>
        <r>
          <rPr>
            <sz val="8"/>
            <rFont val="Tahoma"/>
            <family val="2"/>
          </rPr>
          <t>M130</t>
        </r>
      </text>
    </comment>
    <comment ref="H272" authorId="0">
      <text>
        <r>
          <rPr>
            <b/>
            <sz val="8"/>
            <rFont val="Tahoma"/>
            <family val="2"/>
          </rPr>
          <t xml:space="preserve">Este ingreso no tiene un fin específico por lo que puede utilizarse para sufragar los gastos de </t>
        </r>
        <r>
          <rPr>
            <sz val="8"/>
            <rFont val="Tahoma"/>
            <family val="2"/>
          </rPr>
          <t xml:space="preserve"> LOS DIFERENTES GRUPOS Y REGLONES DEL PROGRAMA I, II o III en los reglones que siguen.
ADEMAS SE DEBE VARIAR LA FORMULA CADA VEZ QUE SE ABRA UN REGLON NUEVO HACIA ABAJO RESTANDO A </t>
        </r>
        <r>
          <rPr>
            <sz val="8"/>
            <rFont val="Tahoma"/>
            <family val="2"/>
          </rPr>
          <t>M248</t>
        </r>
      </text>
    </comment>
    <comment ref="H336" authorId="0">
      <text>
        <r>
          <rPr>
            <b/>
            <sz val="8"/>
            <rFont val="Tahoma"/>
            <family val="2"/>
          </rPr>
          <t xml:space="preserve">Este ingreso debe distribuirse según los recursos invertidos, por lo que debe establecerse un mecanismo para determinar a que recursos invertidos corresponden los intereses generados. Determinado lo anterior los recursos se pueden utilizar para sufragar los gastos de </t>
        </r>
        <r>
          <rPr>
            <sz val="8"/>
            <rFont val="Tahoma"/>
            <family val="2"/>
          </rPr>
          <t xml:space="preserve"> LOS DIFERENTES GRUPOS Y REGLONES DEL PROGRAMA I, II o III en los reglones que siguen.
ADEMAS SE DEBE VARIAR LA FORMULA CADA VEZ QUE SE ABRA UN REGLON NUEVO HACIA ABAJO RESTANDO A </t>
        </r>
        <r>
          <rPr>
            <sz val="8"/>
            <rFont val="Tahoma"/>
            <family val="2"/>
          </rPr>
          <t>M189</t>
        </r>
      </text>
    </comment>
  </commentList>
</comments>
</file>

<file path=xl/comments6.xml><?xml version="1.0" encoding="utf-8"?>
<comments xmlns="http://schemas.openxmlformats.org/spreadsheetml/2006/main">
  <authors>
    <author>Flor de Mar?a Alfaro</author>
  </authors>
  <commentList>
    <comment ref="A5" authorId="0">
      <text>
        <r>
          <rPr>
            <b/>
            <sz val="10"/>
            <color indexed="9"/>
            <rFont val="Tahoma"/>
            <family val="2"/>
          </rPr>
          <t xml:space="preserve">ESTA INFORMACIÓN ES LA MISMA QUE ESTÁ EN EL MODELO ELECTRÓNICO DEL PLAN OPERATIVO ANUAL
</t>
        </r>
      </text>
    </comment>
    <comment ref="B7" authorId="0">
      <text>
        <r>
          <rPr>
            <b/>
            <sz val="8"/>
            <rFont val="Tahoma"/>
            <family val="2"/>
          </rPr>
          <t>Número de plazas</t>
        </r>
      </text>
    </comment>
    <comment ref="C7" authorId="0">
      <text>
        <r>
          <rPr>
            <b/>
            <sz val="8"/>
            <rFont val="Tahoma"/>
            <family val="2"/>
          </rPr>
          <t>Número de plazas</t>
        </r>
      </text>
    </comment>
    <comment ref="D7" authorId="0">
      <text>
        <r>
          <rPr>
            <b/>
            <sz val="8"/>
            <rFont val="Tahoma"/>
            <family val="2"/>
          </rPr>
          <t>Tiene que ser "0"</t>
        </r>
      </text>
    </comment>
    <comment ref="E7" authorId="0">
      <text>
        <r>
          <rPr>
            <b/>
            <sz val="8"/>
            <rFont val="Tahoma"/>
            <family val="2"/>
          </rPr>
          <t>Número de plazas</t>
        </r>
      </text>
    </comment>
    <comment ref="F7" authorId="0">
      <text>
        <r>
          <rPr>
            <b/>
            <sz val="8"/>
            <rFont val="Tahoma"/>
            <family val="2"/>
          </rPr>
          <t>Número de plazas</t>
        </r>
      </text>
    </comment>
    <comment ref="G7" authorId="0">
      <text>
        <r>
          <rPr>
            <b/>
            <sz val="8"/>
            <rFont val="Tahoma"/>
            <family val="2"/>
          </rPr>
          <t>Número de plazas</t>
        </r>
      </text>
    </comment>
    <comment ref="H7" authorId="0">
      <text>
        <r>
          <rPr>
            <b/>
            <sz val="8"/>
            <rFont val="Tahoma"/>
            <family val="2"/>
          </rPr>
          <t>Número de plazas</t>
        </r>
      </text>
    </comment>
    <comment ref="J7" authorId="0">
      <text>
        <r>
          <rPr>
            <b/>
            <sz val="8"/>
            <rFont val="Tahoma"/>
            <family val="2"/>
          </rPr>
          <t>Número de plazas</t>
        </r>
      </text>
    </comment>
    <comment ref="K7" authorId="0">
      <text>
        <r>
          <rPr>
            <b/>
            <sz val="8"/>
            <rFont val="Tahoma"/>
            <family val="2"/>
          </rPr>
          <t>Número de plazas</t>
        </r>
      </text>
    </comment>
    <comment ref="M7" authorId="0">
      <text>
        <r>
          <rPr>
            <b/>
            <sz val="8"/>
            <rFont val="Tahoma"/>
            <family val="2"/>
          </rPr>
          <t>Tiene que ser "0"</t>
        </r>
        <r>
          <rPr>
            <sz val="8"/>
            <rFont val="Tahoma"/>
            <family val="2"/>
          </rPr>
          <t xml:space="preserve">
</t>
        </r>
      </text>
    </comment>
    <comment ref="N7" authorId="0">
      <text>
        <r>
          <rPr>
            <b/>
            <sz val="8"/>
            <rFont val="Tahoma"/>
            <family val="2"/>
          </rPr>
          <t>Número de plazas</t>
        </r>
      </text>
    </comment>
    <comment ref="O7" authorId="0">
      <text>
        <r>
          <rPr>
            <b/>
            <sz val="8"/>
            <rFont val="Tahoma"/>
            <family val="2"/>
          </rPr>
          <t>Número de plazas</t>
        </r>
      </text>
    </comment>
    <comment ref="P7" authorId="0">
      <text>
        <r>
          <rPr>
            <b/>
            <sz val="8"/>
            <rFont val="Tahoma"/>
            <family val="2"/>
          </rPr>
          <t>Número de plazas</t>
        </r>
      </text>
    </comment>
    <comment ref="Q7" authorId="0">
      <text>
        <r>
          <rPr>
            <b/>
            <sz val="8"/>
            <rFont val="Tahoma"/>
            <family val="2"/>
          </rPr>
          <t>Número de plazas</t>
        </r>
      </text>
    </comment>
    <comment ref="K8" authorId="0">
      <text>
        <r>
          <rPr>
            <b/>
            <sz val="8"/>
            <rFont val="Tahoma"/>
            <family val="2"/>
          </rPr>
          <t>ARTÍCULO 118 DEL CÓDIGO MUNICIPAL</t>
        </r>
        <r>
          <rPr>
            <sz val="8"/>
            <rFont val="Tahoma"/>
            <family val="2"/>
          </rPr>
          <t xml:space="preserve">
</t>
        </r>
      </text>
    </comment>
  </commentList>
</comments>
</file>

<file path=xl/comments8.xml><?xml version="1.0" encoding="utf-8"?>
<comments xmlns="http://schemas.openxmlformats.org/spreadsheetml/2006/main">
  <authors>
    <author>hellen.laverde</author>
    <author>Flor de Mar?a Alfaro</author>
  </authors>
  <commentList>
    <comment ref="G11" authorId="0">
      <text>
        <r>
          <rPr>
            <b/>
            <sz val="9"/>
            <rFont val="Tahoma"/>
            <family val="2"/>
          </rPr>
          <t>hellen.laverde:</t>
        </r>
        <r>
          <rPr>
            <sz val="9"/>
            <rFont val="Tahoma"/>
            <family val="2"/>
          </rPr>
          <t xml:space="preserve">
Saldo de la deuda al momento de someter a aprobación el documento presupuestario
</t>
        </r>
      </text>
    </comment>
    <comment ref="C22" authorId="1">
      <text>
        <r>
          <rPr>
            <b/>
            <sz val="8"/>
            <rFont val="Tahoma"/>
            <family val="2"/>
          </rPr>
          <t>Incluido en el Grupo: "Intereses sobre préstamos" de la partida 3 Intereses y comisiones.</t>
        </r>
        <r>
          <rPr>
            <sz val="8"/>
            <rFont val="Tahoma"/>
            <family val="2"/>
          </rPr>
          <t xml:space="preserve">
</t>
        </r>
      </text>
    </comment>
    <comment ref="D22" authorId="1">
      <text>
        <r>
          <rPr>
            <b/>
            <sz val="8"/>
            <rFont val="Tahoma"/>
            <family val="2"/>
          </rPr>
          <t>Incluido en el Grupo: "Amortización de préstamos" de la partida 8 Amortización.</t>
        </r>
        <r>
          <rPr>
            <sz val="8"/>
            <rFont val="Tahoma"/>
            <family val="2"/>
          </rPr>
          <t xml:space="preserve">
</t>
        </r>
      </text>
    </comment>
  </commentList>
</comments>
</file>

<file path=xl/comments9.xml><?xml version="1.0" encoding="utf-8"?>
<comments xmlns="http://schemas.openxmlformats.org/spreadsheetml/2006/main">
  <authors>
    <author>Flor de Mar?a Alfaro</author>
  </authors>
  <commentList>
    <comment ref="B75" authorId="0">
      <text>
        <r>
          <rPr>
            <sz val="8"/>
            <rFont val="Tahoma"/>
            <family val="2"/>
          </rPr>
          <t xml:space="preserve">Nombre completo de la entidad beneficiada (sin abreviaciones)
</t>
        </r>
      </text>
    </comment>
    <comment ref="B8" authorId="0">
      <text>
        <r>
          <rPr>
            <sz val="8"/>
            <rFont val="Tahoma"/>
            <family val="2"/>
          </rPr>
          <t xml:space="preserve">Nombre completo de la entidad beneficiada (sin abreviaciones)
</t>
        </r>
      </text>
    </comment>
  </commentList>
</comments>
</file>

<file path=xl/sharedStrings.xml><?xml version="1.0" encoding="utf-8"?>
<sst xmlns="http://schemas.openxmlformats.org/spreadsheetml/2006/main" count="2115" uniqueCount="988">
  <si>
    <t>MUNICIPALIDAD DE ALAJUELA</t>
  </si>
  <si>
    <t>PRESUPUESTO ORDINARIO</t>
  </si>
  <si>
    <t>SEECION DE INGRESOS</t>
  </si>
  <si>
    <t>CODIGO</t>
  </si>
  <si>
    <t>CLASIFICACIÓN ECONÓMICA DE INGRESOS</t>
  </si>
  <si>
    <t xml:space="preserve">PARCIAL </t>
  </si>
  <si>
    <t>TOTAL</t>
  </si>
  <si>
    <t>%</t>
  </si>
  <si>
    <t>1.0.0.0.00.00.0.0.000</t>
  </si>
  <si>
    <t>INGRESOS CORRIENTES</t>
  </si>
  <si>
    <t xml:space="preserve">  </t>
  </si>
  <si>
    <t>1.1.0.0.00.00.0.0.000</t>
  </si>
  <si>
    <t>Ingresos Tributarios</t>
  </si>
  <si>
    <t>1.1.2.0.00.00.0.0.000</t>
  </si>
  <si>
    <t>Impuestos a la Propiedad</t>
  </si>
  <si>
    <t>1.1.2.1.00.00.0.0.000</t>
  </si>
  <si>
    <t>Impuesto sobre la Propiedad de Bienes Inmuebles</t>
  </si>
  <si>
    <t>1.1.2.1.01.00.0.0.000</t>
  </si>
  <si>
    <t>Impuesto S/Bienes Inmuebles, Ley 7729</t>
  </si>
  <si>
    <t>1.1.2.2.02.00.0.0.000</t>
  </si>
  <si>
    <t>Impuesto S/Bienes Inmuebles, Ley 7509</t>
  </si>
  <si>
    <t>1.1.3.0.00.00.0.0.000</t>
  </si>
  <si>
    <t>Impuesto sobre Bienes y Servicios</t>
  </si>
  <si>
    <t>1.1.3.2.00.00.0.0.000</t>
  </si>
  <si>
    <t>Impuesto especificos sobre la Producción y Consumo de Bienes y Servicios</t>
  </si>
  <si>
    <t>1.1.3.2.01.00.0.0.000</t>
  </si>
  <si>
    <t>Impuesto especificos sobre la Producción y Consumo de Bienes</t>
  </si>
  <si>
    <t>1.1.3.2.01.02.0.0.001</t>
  </si>
  <si>
    <t>Impuesto Especifico sobre la Explotación de Recursoso Naturales y Minarales</t>
  </si>
  <si>
    <t>1.1.3.2.01.04.0.0.000</t>
  </si>
  <si>
    <t>Impuesto Específico sobre Bienes Facturaados</t>
  </si>
  <si>
    <t>Impuestos al Cemento</t>
  </si>
  <si>
    <t>1.1.3.2.01.05.0.0.000</t>
  </si>
  <si>
    <t>Impuestos sobre Construcciones</t>
  </si>
  <si>
    <t>1.1.3.2.02.00.0.0.000</t>
  </si>
  <si>
    <t>Impuesto especificos sobre la Producción y Consumo de Servicios</t>
  </si>
  <si>
    <t>1.1.3.2.02.09.0.0.000</t>
  </si>
  <si>
    <t>Otros Impuestos Específicos sobre la Producción y Consumo de Servicios</t>
  </si>
  <si>
    <t>1.1.3.3.00.00.0.0.000</t>
  </si>
  <si>
    <t>Otros Impuestos a los Bienes y Servicios</t>
  </si>
  <si>
    <t>1.1.3.3.01.00.0.0.000</t>
  </si>
  <si>
    <t>1.1.3.3.01.01.0.0.000</t>
  </si>
  <si>
    <t>Impuestos sobre Rótulos Públicos</t>
  </si>
  <si>
    <t>1.1.3.3.01.02.0.0.000</t>
  </si>
  <si>
    <t>Patentes municipales</t>
  </si>
  <si>
    <t>1.1.9.0.00.00.0.0.000</t>
  </si>
  <si>
    <t>Otros Ingresos Tributarios</t>
  </si>
  <si>
    <t>1.1.9.1.00.00.0.0.000</t>
  </si>
  <si>
    <t>Impuesto de Timbres</t>
  </si>
  <si>
    <t>1.1.9.1.01.00.0.0.000</t>
  </si>
  <si>
    <t>Timbres municipales</t>
  </si>
  <si>
    <t>1.1.9.1.02.00.0.0.000</t>
  </si>
  <si>
    <t>Timbres Parq. Nac. Ley 7788</t>
  </si>
  <si>
    <t>1.3.0.0.00.00.0.0.000</t>
  </si>
  <si>
    <t>Ingresos no Tributarios</t>
  </si>
  <si>
    <t>1.3.1.0.00.00.0.0.000</t>
  </si>
  <si>
    <t>Venta de Bienes y Servicios</t>
  </si>
  <si>
    <t>1.3.1.1.00.00.0.0.000</t>
  </si>
  <si>
    <t>Venta de Bienes</t>
  </si>
  <si>
    <t>1.3.1.1.05.00.0.0.000</t>
  </si>
  <si>
    <t>Venta de agua</t>
  </si>
  <si>
    <t>1.3.1.2.00.00.0.0.000</t>
  </si>
  <si>
    <t>Venta de Servicios</t>
  </si>
  <si>
    <t>1.3.1.2.04.00.0.0.000</t>
  </si>
  <si>
    <t>Alquileres</t>
  </si>
  <si>
    <t>1.3.1.2.04.01.0.0.000</t>
  </si>
  <si>
    <t>Alquiler de edificios e instalaciones</t>
  </si>
  <si>
    <t>1.3.1.2.04.01.1.0.000</t>
  </si>
  <si>
    <t>Alquiler de mercado</t>
  </si>
  <si>
    <t>1.3.1.2.04.01.2.0.000</t>
  </si>
  <si>
    <t>Alquiler de edificios y locales</t>
  </si>
  <si>
    <t>1.3.1.2.04.09.0.0.000</t>
  </si>
  <si>
    <t>Otros Alquileres</t>
  </si>
  <si>
    <t>1.3.1.2.05.00.0.0.000</t>
  </si>
  <si>
    <t>Servicios Comunitarios</t>
  </si>
  <si>
    <t>1.3.1.2.05.01.0.0.000</t>
  </si>
  <si>
    <t>Servicio  Alcantarillado Sanitario Y Pluvial</t>
  </si>
  <si>
    <t>1.3.1.2.05.01.1.0.000</t>
  </si>
  <si>
    <t xml:space="preserve">Servicio  Alcantarillado Sanitario </t>
  </si>
  <si>
    <t>1.3.1.2.05.02.0.0.000</t>
  </si>
  <si>
    <t>Servicios de Instalación y Derivación delAgua</t>
  </si>
  <si>
    <t>1.3.1.2.05.02.1.0.000</t>
  </si>
  <si>
    <t>Servicioe Instalación de Cañerías</t>
  </si>
  <si>
    <t>1.3.1.2.05.02.2.0.000</t>
  </si>
  <si>
    <t>Estudios de Consumos y Fugas</t>
  </si>
  <si>
    <t>1.3.1.2.05.04.0.0.000</t>
  </si>
  <si>
    <t>Servicio de Saneamiento Ambiental</t>
  </si>
  <si>
    <t>1.3.1.2.05.04.1.0.000</t>
  </si>
  <si>
    <t>Servicio de Recolección de Basura</t>
  </si>
  <si>
    <t>1.3.1.2.05.04.2.0.000</t>
  </si>
  <si>
    <t>Servicio de Aseo de Vías y Sitios Públicos</t>
  </si>
  <si>
    <t>1.3.1.2.05.04.4.0.000</t>
  </si>
  <si>
    <t>Servicios de Parques Obras de Ornato</t>
  </si>
  <si>
    <t>1.3.1.2.05.04.5.0.000</t>
  </si>
  <si>
    <t>Incumplimiento de Deberes IBI</t>
  </si>
  <si>
    <t>1.3.1.2.09.00.0.0.000</t>
  </si>
  <si>
    <t>Otros Servicios</t>
  </si>
  <si>
    <t>1.3.1.2.09.09.0.0.000</t>
  </si>
  <si>
    <t>Venta de otros servicios</t>
  </si>
  <si>
    <t>RESUMEN GENERAL DE INGRESOS</t>
  </si>
  <si>
    <t>1.3.1.3.00.00.0.0.000</t>
  </si>
  <si>
    <t>Derecho Administrativo</t>
  </si>
  <si>
    <t>1.3.1.3.01.00.0.0.000</t>
  </si>
  <si>
    <t xml:space="preserve">Derechos Administrativos a los Servicios de Transporte </t>
  </si>
  <si>
    <t>1.3.1.3.01.01.0.0.000</t>
  </si>
  <si>
    <t>Derechos Administrativos a los Servicios de Transporte por carretera</t>
  </si>
  <si>
    <t>1.3.1.3.01.01.1.0.000</t>
  </si>
  <si>
    <t>Derecho de estacionamiento y de terminales</t>
  </si>
  <si>
    <t>1.3.1.3.02.00.0.0.000</t>
  </si>
  <si>
    <t>Derechos Administrativos a otros servicios Públicos</t>
  </si>
  <si>
    <t>1.3.1.3.02.03.0.0.000</t>
  </si>
  <si>
    <t>Derechos Administrativos a Actividades Comerciales</t>
  </si>
  <si>
    <t>1.3.1.3.02.03.1.0.000</t>
  </si>
  <si>
    <t>Derecho plaza de ganado</t>
  </si>
  <si>
    <t>1.3.2.0.00.00.0.0.000</t>
  </si>
  <si>
    <t>Ingresos a la Propiedad</t>
  </si>
  <si>
    <t>1.3.2.3.00.00.0.0.000</t>
  </si>
  <si>
    <t>Renta de Activos Financieros</t>
  </si>
  <si>
    <t>1.3.2.3.01.00.0.0.000</t>
  </si>
  <si>
    <t>Intereses sobre titulos Valores</t>
  </si>
  <si>
    <t>1.3.2.3.01.06.0.0.000</t>
  </si>
  <si>
    <t>Intereses sobre titulos Valores  de Instituciones Públicas Financieras</t>
  </si>
  <si>
    <t>1.3.3.0.00.00.0.0.000</t>
  </si>
  <si>
    <t>Multas, sanciones, remates y Confiscaciones</t>
  </si>
  <si>
    <t>1.3.3.1.00.00.0.0.000</t>
  </si>
  <si>
    <t>Multas y Sanciones</t>
  </si>
  <si>
    <t>1.3.3.1.01.00.0.0.000</t>
  </si>
  <si>
    <t>Multas de Tránsito</t>
  </si>
  <si>
    <t>1.3.3.1.01.01.0.0.000</t>
  </si>
  <si>
    <t>Multas por infracción ley de parquímetros</t>
  </si>
  <si>
    <t>1.3.3.1.02.00.0.0.000</t>
  </si>
  <si>
    <t>Multas por atraso en el Pago de Impuestos</t>
  </si>
  <si>
    <t>1.3.3.1.02.01.0.0.000</t>
  </si>
  <si>
    <t>Multas por mora en el pago de impuestos y tasas</t>
  </si>
  <si>
    <t>1.3.4.0.00.00.0.0.000</t>
  </si>
  <si>
    <t>Intereses Moratorios</t>
  </si>
  <si>
    <t>1.3.4.1.00.00.0.0.000</t>
  </si>
  <si>
    <t>Intereses por mora en tributos</t>
  </si>
  <si>
    <t>1.4.0.0.00.00.0.0.000</t>
  </si>
  <si>
    <t>Transferencias Corrientes</t>
  </si>
  <si>
    <t>1.4.1.0.00.00.0.0.000</t>
  </si>
  <si>
    <t>Tranferencias corrientes del sector Público</t>
  </si>
  <si>
    <t>1.4.1.2.00.00.0.0.000</t>
  </si>
  <si>
    <t>Tranferencias corrientes de Organos Desconcentrados</t>
  </si>
  <si>
    <t>1.4.1.2.01.00.0.0.000</t>
  </si>
  <si>
    <t>Aporte del Consejo de Seg. Vial Ley 7331</t>
  </si>
  <si>
    <t xml:space="preserve"> </t>
  </si>
  <si>
    <t>1.4.1.3.00.00.0.0.000</t>
  </si>
  <si>
    <t>1.4.1.3.01.00.0.0.000</t>
  </si>
  <si>
    <t>Aporte IFAM de Lic. Nac. Y Extranjeros</t>
  </si>
  <si>
    <t>2.0.0.0.00.00.0.0.000</t>
  </si>
  <si>
    <t>INGRESOS DE CAPITAL</t>
  </si>
  <si>
    <t>2.1.0.0.00.00.0.0.000</t>
  </si>
  <si>
    <t>Venta de Activos</t>
  </si>
  <si>
    <t>2.1.2.0.00.00.0.0.000</t>
  </si>
  <si>
    <t>Venta de Activos Intangibles</t>
  </si>
  <si>
    <t>2.1.2.1.00.00.0.0.000</t>
  </si>
  <si>
    <t>Venta de Patentes</t>
  </si>
  <si>
    <t>2.1.2.1.01.00.0.0.000</t>
  </si>
  <si>
    <t>Patentes de licores</t>
  </si>
  <si>
    <t>2.2.0.0.00.00.0.0.000</t>
  </si>
  <si>
    <t>Recuperación y Anticipos por obras de utilidad Pública</t>
  </si>
  <si>
    <t>2.2.1.0.00.00.0.0.000</t>
  </si>
  <si>
    <t>Vías de Comunicación</t>
  </si>
  <si>
    <t>2.2.1.1.00.00.0.0.000</t>
  </si>
  <si>
    <t>Ruptura de Calles</t>
  </si>
  <si>
    <t>2.4.0.0.00.00.0.0.000</t>
  </si>
  <si>
    <t>Transferencias de Capital</t>
  </si>
  <si>
    <t>Transferencias de Capital del Sector Público</t>
  </si>
  <si>
    <t>2.4.1.1.00.00.0.0.000</t>
  </si>
  <si>
    <t>Transferencias de Capital del  Gobierno Central</t>
  </si>
  <si>
    <t>2.4.1.1.01.00.0.0.000</t>
  </si>
  <si>
    <t>Ley de Simplificación 8114</t>
  </si>
  <si>
    <t>2.4.1.3.00.00.0.0.000</t>
  </si>
  <si>
    <t>Transferencias de Capital de Instituciones Descentralizadas no Empresariales</t>
  </si>
  <si>
    <t>2.4.1.3.01.00.0.0.001</t>
  </si>
  <si>
    <t>Aportes IFAM para Mant. Y Conservación de</t>
  </si>
  <si>
    <t>Caminos Y Calles, Ley 6909</t>
  </si>
  <si>
    <t>TOTAL DE INGRESOS</t>
  </si>
  <si>
    <t xml:space="preserve">PRESUPUESTO ORDINARIO </t>
  </si>
  <si>
    <t>DETALLE GENERAL DELOBJETO DEL GASTO</t>
  </si>
  <si>
    <t>EGRESOS TOTALES</t>
  </si>
  <si>
    <t>REMUNERACIONES</t>
  </si>
  <si>
    <t xml:space="preserve">SERVICIOS </t>
  </si>
  <si>
    <t>MATERIALES Y SUMINISTROS</t>
  </si>
  <si>
    <t>INTERESES Y COMISIONES</t>
  </si>
  <si>
    <t>BIENES DURADEROS</t>
  </si>
  <si>
    <t>TRANSFERENCIAS CORRIENTES</t>
  </si>
  <si>
    <t>TRANFERENCIAS DE CAPITAL</t>
  </si>
  <si>
    <t>AMORTIZACION</t>
  </si>
  <si>
    <t>CUENTAS ESPECIALES</t>
  </si>
  <si>
    <t>PROGRAMA I: DIRECCIÓN Y ADMINISTRACIÓN GENERAL</t>
  </si>
  <si>
    <t>PROGRAMA II: SERVICIOS COMUNALES</t>
  </si>
  <si>
    <t>PROGRAMA III: INVERSIONES</t>
  </si>
  <si>
    <t>TOTALES POR EL OBJETO DEL GASTO</t>
  </si>
  <si>
    <t>Totales</t>
  </si>
  <si>
    <t>PRESUPUESTO ORDINARIO DE EGRESOS</t>
  </si>
  <si>
    <t>RESUMEN GENERAL DE EGRESOS</t>
  </si>
  <si>
    <t>DESCRIPCIÓN:</t>
  </si>
  <si>
    <t>CLASIFICACIÓN DE GASTOS</t>
  </si>
  <si>
    <t>ASIGNACIÓN PRESUPUESTARIA</t>
  </si>
  <si>
    <t>Programa I</t>
  </si>
  <si>
    <t>Programa II</t>
  </si>
  <si>
    <t>Programa III</t>
  </si>
  <si>
    <t>Remuneraciones Básicas</t>
  </si>
  <si>
    <t>Sueldos para cargos fijos</t>
  </si>
  <si>
    <t>Jornales</t>
  </si>
  <si>
    <t xml:space="preserve">Servicios Especiales </t>
  </si>
  <si>
    <t xml:space="preserve">Suplencias </t>
  </si>
  <si>
    <t>Remuneraciones Eventuales</t>
  </si>
  <si>
    <t>Tiempo Extraordinario</t>
  </si>
  <si>
    <t>Recargo de Funciones</t>
  </si>
  <si>
    <t>Dietas</t>
  </si>
  <si>
    <t>Incentivos Salariales</t>
  </si>
  <si>
    <t>Retribución por años Servidos</t>
  </si>
  <si>
    <t>Restricciòn del Ejercicio de la Profesión</t>
  </si>
  <si>
    <t xml:space="preserve">Decimotercer mes </t>
  </si>
  <si>
    <t>Salario Escolar</t>
  </si>
  <si>
    <t>Otros Incentivos Salariales</t>
  </si>
  <si>
    <t>Contribuciones Patronales al Desarrollo y la Seguridad Social</t>
  </si>
  <si>
    <t>Contribución Patronal al Seguro de Salud de la CCSS</t>
  </si>
  <si>
    <t>Contribución Patronal al Banco Popular</t>
  </si>
  <si>
    <t>Contribuciones Patronales a Fondos de Pensiones y Otros Fondos de Capitalizaciones</t>
  </si>
  <si>
    <t>Contribuciones Patronal al Seguro de Pensiones de la CCSS</t>
  </si>
  <si>
    <t>Aporte Patronal al regimén Obligatorio de Pensiones</t>
  </si>
  <si>
    <t>Aporte Patronal al Fondo de Capitalización Laboral</t>
  </si>
  <si>
    <t>Contribución Patronal a Otros Fondos administrados por entes Pùblicos</t>
  </si>
  <si>
    <t>Contribución Patronal a Otros Fondos administrados por entes privados</t>
  </si>
  <si>
    <t>Remuneraciones Diversas</t>
  </si>
  <si>
    <t>Gastos de Representación Personal</t>
  </si>
  <si>
    <t>Otras remuneraciones</t>
  </si>
  <si>
    <t>SERVICIOS</t>
  </si>
  <si>
    <t>Alquiler de Edificios Locales y Terrenos</t>
  </si>
  <si>
    <t>Alquiler de equipo de Cómputo</t>
  </si>
  <si>
    <t>Alquiler y derechos para Telecomunicaciones</t>
  </si>
  <si>
    <t>Otros alquileres</t>
  </si>
  <si>
    <t>Servicios Básicos</t>
  </si>
  <si>
    <t>Servicio de agua y alcantarillado</t>
  </si>
  <si>
    <t>Servicio de energía Eléctrica</t>
  </si>
  <si>
    <t>Servicio de Correo</t>
  </si>
  <si>
    <t>Servicio de Telecomunicaciones</t>
  </si>
  <si>
    <t>Otros Servicios Básicos</t>
  </si>
  <si>
    <t xml:space="preserve">Servicios Comerciales y Financieros </t>
  </si>
  <si>
    <t>Información</t>
  </si>
  <si>
    <t>Publicidad y Propaganda</t>
  </si>
  <si>
    <t>Impresión Encuadernación y Otros</t>
  </si>
  <si>
    <t>Transporte de Bienes</t>
  </si>
  <si>
    <t>Servicios Aduaneros</t>
  </si>
  <si>
    <t>Comisiones y gastos por servicios Financieros y Comerciales</t>
  </si>
  <si>
    <t>Servicios de Transferencia Electrónica de Información</t>
  </si>
  <si>
    <t xml:space="preserve">Servicios de Gestión y Apoyo </t>
  </si>
  <si>
    <t>Servicios médicos y de Laboratorio</t>
  </si>
  <si>
    <t>Servicios Jurídicos</t>
  </si>
  <si>
    <t>Servicios de Ingeniería</t>
  </si>
  <si>
    <t>Servicios en Ciencias económicas y Sociales</t>
  </si>
  <si>
    <t>Servicios de Desarrollo de Sistemas de Informáticos</t>
  </si>
  <si>
    <t xml:space="preserve">Servicios generales </t>
  </si>
  <si>
    <t>Otros servicios de Gestión y Apoyo</t>
  </si>
  <si>
    <t>Gastos de Viaje y Transporte</t>
  </si>
  <si>
    <t>Transporte dentro del país</t>
  </si>
  <si>
    <t>Víaticos dentro del País</t>
  </si>
  <si>
    <t>Transportes en el Exterior</t>
  </si>
  <si>
    <t>Viáticos en el Exterior</t>
  </si>
  <si>
    <t>Seguros, Reaseguros y Otras Obligaciones</t>
  </si>
  <si>
    <t xml:space="preserve">Seguros </t>
  </si>
  <si>
    <t>Capacitacion y Protocolo</t>
  </si>
  <si>
    <t>Actividades de Capacitación</t>
  </si>
  <si>
    <t>Actividades Protocolarias y Sociales</t>
  </si>
  <si>
    <t>Gastos de Representación Institucional</t>
  </si>
  <si>
    <t>Mantenimiento y Reparaciones</t>
  </si>
  <si>
    <t>Mantenimiento de Edificios y Locales</t>
  </si>
  <si>
    <t>Mantenimiento de Vías de Comunicación</t>
  </si>
  <si>
    <t>Mantenimiento de Instalaciones y Otras Obras</t>
  </si>
  <si>
    <t>Mantenimiento y reparaciones de Equipo de Producción</t>
  </si>
  <si>
    <t>Manteniento y reparaciones de Equipo de Transporte</t>
  </si>
  <si>
    <t>Manteniento y reparaciones de Equipo de Comunicación</t>
  </si>
  <si>
    <t>Manteniento y reparaciones de Equipo  de Cmputoy Sistemas de Información</t>
  </si>
  <si>
    <t>Mantenimiento y repación de Otros Equipos</t>
  </si>
  <si>
    <t>Impuestos</t>
  </si>
  <si>
    <t>Otros Impuestos</t>
  </si>
  <si>
    <t>Servicios Diversos</t>
  </si>
  <si>
    <t>Deducibles</t>
  </si>
  <si>
    <t>Otros Servicios no Especificados</t>
  </si>
  <si>
    <t>Productos Químicos y Conexos</t>
  </si>
  <si>
    <t>Combustibles y Lubricantes</t>
  </si>
  <si>
    <t>Productos Farmaceuticos y Medicinales</t>
  </si>
  <si>
    <t>Tintas, Pinturas y diluyentes</t>
  </si>
  <si>
    <t>Otros Productos Químicos</t>
  </si>
  <si>
    <t xml:space="preserve">Alimentos y Productos Agropecuarios </t>
  </si>
  <si>
    <t>Productos Agroforestales</t>
  </si>
  <si>
    <t>Alimentos y bebidas</t>
  </si>
  <si>
    <t>Materiales y Productos de Uso en la Construcción y Mantenimiento</t>
  </si>
  <si>
    <t>Materiales y productos metálicos</t>
  </si>
  <si>
    <t>Materiales y productos minerales y asfálticos</t>
  </si>
  <si>
    <t>Madera y sus derivados</t>
  </si>
  <si>
    <t xml:space="preserve">Materiales y productos eléctricos, teléfonicos y de cómputo </t>
  </si>
  <si>
    <t>Materiales y productos de Vidrio</t>
  </si>
  <si>
    <t>Materiales y productos de plástico</t>
  </si>
  <si>
    <t>Otros materiales y productos de uso en la construcción</t>
  </si>
  <si>
    <t xml:space="preserve">Herramientas, Repuestos y Accesorios </t>
  </si>
  <si>
    <t>Herramientas e instrumentos</t>
  </si>
  <si>
    <t>Repuestos y Accesorios</t>
  </si>
  <si>
    <t>Utiles, Materiales y Suministros</t>
  </si>
  <si>
    <t>Utiles y materiales de Oficina y cómputo</t>
  </si>
  <si>
    <t>Productos de papel cartón e impresos</t>
  </si>
  <si>
    <t>Textiles y vestuario</t>
  </si>
  <si>
    <t>Utiles y Materiales de limpieza</t>
  </si>
  <si>
    <t>Utiles y materiales de resguardo y seguridad</t>
  </si>
  <si>
    <t>Utiles y materiales de Cocina y comedor</t>
  </si>
  <si>
    <t>Otros utiles materiales y Suministros</t>
  </si>
  <si>
    <t xml:space="preserve">Interéses sobre Préstamos </t>
  </si>
  <si>
    <t>Intereses sobre préstamos de Instituciones Públicas  no Financieras</t>
  </si>
  <si>
    <t xml:space="preserve">BIENES DURADEROS </t>
  </si>
  <si>
    <t>Maquinaría y Equipo para la producción</t>
  </si>
  <si>
    <t>Equipo de Transporte</t>
  </si>
  <si>
    <t>Equipo de Comunicación</t>
  </si>
  <si>
    <t>equipo y programas de cómputo</t>
  </si>
  <si>
    <t>Maquinaria y equipo diverso</t>
  </si>
  <si>
    <t>Construcciones, adiciones y Mejoras</t>
  </si>
  <si>
    <t>Edificios</t>
  </si>
  <si>
    <t>Vías de comunicación Terrestre</t>
  </si>
  <si>
    <t>Obras Urbanísticas</t>
  </si>
  <si>
    <t>Instalaciones</t>
  </si>
  <si>
    <t>Otras Construcciones Adiciones y mejoras</t>
  </si>
  <si>
    <t>Bienes Preexistentes</t>
  </si>
  <si>
    <t>Terrenos</t>
  </si>
  <si>
    <t>Edificios Preexistentes</t>
  </si>
  <si>
    <t>Otras Obras Preexistentes</t>
  </si>
  <si>
    <t>Bienes Duraderos Diversos</t>
  </si>
  <si>
    <t>Bienes Intangibles</t>
  </si>
  <si>
    <t>Otros bienes duraderos</t>
  </si>
  <si>
    <t>Transferencias Corrientes al Sector Público</t>
  </si>
  <si>
    <t>Transferencias corrientes al Gobierno Central</t>
  </si>
  <si>
    <t>Transferencias corrientes a Organos Desconcentrados</t>
  </si>
  <si>
    <t>Transferencias corrientes a Instituciones Descentralizadas no empresariales</t>
  </si>
  <si>
    <t>Transferencias corrientes a Gobiernos Locales</t>
  </si>
  <si>
    <t>Transferencias corrientes a Empresas Públicas no financieras</t>
  </si>
  <si>
    <t>Transferencias corrientes a instituciones públicas financieras</t>
  </si>
  <si>
    <t>Impuestos por Transferir</t>
  </si>
  <si>
    <t>Transferencias Corrientes a Personas</t>
  </si>
  <si>
    <t>Becas a Funcionarios</t>
  </si>
  <si>
    <t>Otras Tranferencias a Personas</t>
  </si>
  <si>
    <t>Prestaciones</t>
  </si>
  <si>
    <t>Prestaciones Legales</t>
  </si>
  <si>
    <t>Pensiones y jubilaciones contributivas</t>
  </si>
  <si>
    <t>Pensiones no Contributivas</t>
  </si>
  <si>
    <t>Decimo Tercer mes de Penciones y Juvilaciones</t>
  </si>
  <si>
    <t>Cuota patronal de pensiones y Juvilaciones contributivas y no contributivas</t>
  </si>
  <si>
    <t>Otras Prestaciones a Terceras Personas</t>
  </si>
  <si>
    <t>Transferencias Corrientes a Entidades Privadas sin Fines de Lucro</t>
  </si>
  <si>
    <t xml:space="preserve">Transferencias corrientes a Asociaciones </t>
  </si>
  <si>
    <t xml:space="preserve">Transferencias corrientes a fundaciones </t>
  </si>
  <si>
    <t>Transferencias corrientes a Cooperativas</t>
  </si>
  <si>
    <t>Transferencias corrientes a otras entidades Privadas sin fines de Lucro</t>
  </si>
  <si>
    <t>Transferencias Corrientes a Empresas Privadas</t>
  </si>
  <si>
    <t>Otras Tranferencias Corrientes al Sector Privado</t>
  </si>
  <si>
    <t>Indemnizaciones</t>
  </si>
  <si>
    <t>Reintegros o devoluciones</t>
  </si>
  <si>
    <t>TRANSFERENCIAS DE CAPITAL</t>
  </si>
  <si>
    <t xml:space="preserve">Transferencias de Capital al Sector Público </t>
  </si>
  <si>
    <t>Transferencias de Capital al Gobierno Central</t>
  </si>
  <si>
    <t>Transferencias de Capital a Organos Desconcentrados</t>
  </si>
  <si>
    <t>Transferencias Capital a Instituciones Descentralizadas no empresariales</t>
  </si>
  <si>
    <t>Transferencias de Capital a Gobiernos Locales</t>
  </si>
  <si>
    <t>Transferencias de Capital a Empresas Públicas no financieras</t>
  </si>
  <si>
    <t>Fondos de fideicomiso para gasto de Capital</t>
  </si>
  <si>
    <t>Transferencias de Capital a Personas</t>
  </si>
  <si>
    <t>Transferencias de Capital a Entidades Privadas sin Fines de Lucro</t>
  </si>
  <si>
    <t xml:space="preserve">Transferencias de capital a Asociaciones </t>
  </si>
  <si>
    <t xml:space="preserve">Transferencias de capital a fundaciones </t>
  </si>
  <si>
    <t>Transferencias de capital a Cooperativas</t>
  </si>
  <si>
    <t>Transferencias de capital a otras entidades Privadas sin fines de Lucro</t>
  </si>
  <si>
    <t>Amortización Prestamos</t>
  </si>
  <si>
    <t>Amortización sobre préstamos de Instituciones Públicas no Financieras</t>
  </si>
  <si>
    <t>Cuentas Especiales Diversas</t>
  </si>
  <si>
    <t>Gastos Confidenciales</t>
  </si>
  <si>
    <t>Sumas sin Asignación Presupuestaria</t>
  </si>
  <si>
    <t>Sumas Libres sin asignación Presupuestario</t>
  </si>
  <si>
    <t>Sumas con Destino específicos sin asignación Presupuestaria</t>
  </si>
  <si>
    <t>TOTAL PROGRAMAs</t>
  </si>
  <si>
    <t>Cuadro 1</t>
  </si>
  <si>
    <t>ESTADO DE ORIGEN Y APLICACIÓN DE RECURSOS ESPECIFICOS</t>
  </si>
  <si>
    <t>INGRESO ESPECIFICO</t>
  </si>
  <si>
    <t>MONTO</t>
  </si>
  <si>
    <t xml:space="preserve">Programa </t>
  </si>
  <si>
    <t>Act/serv/grupo</t>
  </si>
  <si>
    <t>Proyecto</t>
  </si>
  <si>
    <t>APLICACIÓN</t>
  </si>
  <si>
    <t>Impuesto Bienes Inmuebles Ley 7729</t>
  </si>
  <si>
    <t>I</t>
  </si>
  <si>
    <t>O1</t>
  </si>
  <si>
    <t>-</t>
  </si>
  <si>
    <t>Admistración General</t>
  </si>
  <si>
    <t>O4</t>
  </si>
  <si>
    <t>II</t>
  </si>
  <si>
    <t>O9</t>
  </si>
  <si>
    <t>III</t>
  </si>
  <si>
    <t>O2</t>
  </si>
  <si>
    <t>Unidad Técnica  de Gestión Vial Cantonal</t>
  </si>
  <si>
    <t>O3</t>
  </si>
  <si>
    <t>O7</t>
  </si>
  <si>
    <t>Transferencias de Capital de Asociaciones</t>
  </si>
  <si>
    <t>Sumas Iguales</t>
  </si>
  <si>
    <t>Impuesto Bienes Inmuebles Ley 7509</t>
  </si>
  <si>
    <t>Impuesto Específico sobre Explotación de Recursos Naturales y Minerales</t>
  </si>
  <si>
    <t>O6</t>
  </si>
  <si>
    <t>Impuesto Sobre El Cemento</t>
  </si>
  <si>
    <t>Impuesto Sobre Construcciones</t>
  </si>
  <si>
    <t xml:space="preserve">I </t>
  </si>
  <si>
    <t>Administración de Inversiones Propias</t>
  </si>
  <si>
    <t>Dirección Técnica y Estudio</t>
  </si>
  <si>
    <t xml:space="preserve">otros Impuestos Específicos sobre la Producción y Consumo de Servicios </t>
  </si>
  <si>
    <t>Impuesto Sobre Rotulos Públicos</t>
  </si>
  <si>
    <t>Patentes Municipales</t>
  </si>
  <si>
    <t>Catastro Multifinalitarios</t>
  </si>
  <si>
    <t>Timbres Municipales</t>
  </si>
  <si>
    <t>Auditoría General</t>
  </si>
  <si>
    <t>Timbre Parques Nacionales Ley 7788</t>
  </si>
  <si>
    <t>Venta de Agua Potable e Industrial</t>
  </si>
  <si>
    <t>Acueductos</t>
  </si>
  <si>
    <t>O5</t>
  </si>
  <si>
    <t>Alquiler de Mercado</t>
  </si>
  <si>
    <t>Alquiler de Edificios y Locales</t>
  </si>
  <si>
    <t>Servicio de Alcantarillado Sanitario</t>
  </si>
  <si>
    <t>Servicios de Instalación y Derivación del Agua</t>
  </si>
  <si>
    <t>Servicio de Parques Obras de Ornato</t>
  </si>
  <si>
    <t>Venta de Otros Servicios</t>
  </si>
  <si>
    <t>Derecho de Estacionamiento y de Terminales</t>
  </si>
  <si>
    <t>Derecho Plaza de Ganado</t>
  </si>
  <si>
    <t>Intereses Sobre Inversiones Financieras</t>
  </si>
  <si>
    <t>Multas por Infracción Ley de Parquímetros</t>
  </si>
  <si>
    <t>Multas Por Mora En El Pago De Impuestos y Tasas</t>
  </si>
  <si>
    <t>Intereses por Mora en Tributos</t>
  </si>
  <si>
    <t xml:space="preserve">Aporte IFAM Licores Nacionales y Extranjeros </t>
  </si>
  <si>
    <t>Patentes de Licores</t>
  </si>
  <si>
    <t>Recursos Provenientes de la Ley de Simplificación Tributaria Ley No. 8114</t>
  </si>
  <si>
    <t>Aporte IFAM Para Mantenimiento y Conservación de Caminos y Calles Ley 6909</t>
  </si>
  <si>
    <t>Sumas de Recursos Específicos</t>
  </si>
  <si>
    <t>Sumas de Recursos Libres</t>
  </si>
  <si>
    <t>SUMAS IGUALES</t>
  </si>
  <si>
    <t>Elaborado por Ana María Alvarado Garita</t>
  </si>
  <si>
    <t>CUADRO No. 4</t>
  </si>
  <si>
    <t>DETALLE DE LA DEUDA</t>
  </si>
  <si>
    <t>ENTIDAD</t>
  </si>
  <si>
    <t xml:space="preserve">OBJETIVO DEL </t>
  </si>
  <si>
    <t>Nº OPERACIÓN</t>
  </si>
  <si>
    <t>INTERESES (1)</t>
  </si>
  <si>
    <t>AMORTIZACIÓN (2)</t>
  </si>
  <si>
    <t>PRÉSTAMO</t>
  </si>
  <si>
    <t>A Y A</t>
  </si>
  <si>
    <t>636/DC-CR 637/DC-CR</t>
  </si>
  <si>
    <t>TOTALES</t>
  </si>
  <si>
    <t>DIFERENCIA</t>
  </si>
  <si>
    <t>(1) Se clasifican dentro del Grupo Intereses sobre préstamos 3.02 (Verificar subpartida según entidad prestataria).</t>
  </si>
  <si>
    <t>(2) Se clasifican dentro del Grupo Amortización de préstamos 8.02 (Verificar subpartida según entidad prestataria).</t>
  </si>
  <si>
    <t>Licencias Profesionnales Comerciales y Otros Permisos</t>
  </si>
  <si>
    <t>1.3.3.1.09.00.0.0.000</t>
  </si>
  <si>
    <t xml:space="preserve">Otras Multas </t>
  </si>
  <si>
    <t>1.3.3.1.09.02.0.0.001</t>
  </si>
  <si>
    <t>Multas Varias</t>
  </si>
  <si>
    <t>Tranferencias corrientes de Instituciones Descentralizadas no Empresariales</t>
  </si>
  <si>
    <t>Programas comites cantonales de la Persona Joven</t>
  </si>
  <si>
    <t>Ley 8316 Fondo de Alcantarillados</t>
  </si>
  <si>
    <t>TOTAL INGRESO</t>
  </si>
  <si>
    <t>TRANSFERENCIA PI</t>
  </si>
  <si>
    <t xml:space="preserve">DEUDA </t>
  </si>
  <si>
    <t>Servicios de Regulación</t>
  </si>
  <si>
    <t>Ayuda a Funcionarios</t>
  </si>
  <si>
    <t>INGRESOS ESPEC.</t>
  </si>
  <si>
    <t>ING. LIBRE/ASIG</t>
  </si>
  <si>
    <t>GASTO OPER.</t>
  </si>
  <si>
    <t>Total sin incluír en programas</t>
  </si>
  <si>
    <t>TOTAL GASTOS</t>
  </si>
  <si>
    <t>Saldo</t>
  </si>
  <si>
    <t>Dirección de Servicios y Mantenimiento</t>
  </si>
  <si>
    <t>Por Incumplimiento de Deberes de los Municipes</t>
  </si>
  <si>
    <t>Alcantarillado Pluvial</t>
  </si>
  <si>
    <t>Remodelación Del Mercado Primera Etapa</t>
  </si>
  <si>
    <t>Remodelación del Edifico Municipal</t>
  </si>
  <si>
    <t>Recursos libres sin asinacion Presupuestaria</t>
  </si>
  <si>
    <t>Parque del Agua II Etapa</t>
  </si>
  <si>
    <t>Construcción de Cancha Multiuso Urbanización La Perla</t>
  </si>
  <si>
    <t>Compra de Cruz Roja</t>
  </si>
  <si>
    <t>Estudio Uso Suelo de Nacientes</t>
  </si>
  <si>
    <t>Cambio Conducción Canoas Higuerones II Etapas</t>
  </si>
  <si>
    <t>Reconstrución sistemas Acueductos Caimitos</t>
  </si>
  <si>
    <t>Construcción Obras Protección de Nacientes</t>
  </si>
  <si>
    <t>Proyecto de Sanemiento de Aguas Residuales</t>
  </si>
  <si>
    <t>Reporte Operacional PTAR Urbanizaciones</t>
  </si>
  <si>
    <t>Otras Multas</t>
  </si>
  <si>
    <t>Servicios Sociales Complementarios</t>
  </si>
  <si>
    <t>Recurso Específicos sin Asignación Presupuestarios</t>
  </si>
  <si>
    <t>Estacionamientos y Terminales</t>
  </si>
  <si>
    <t>Dirección Tecnica Y Estudio</t>
  </si>
  <si>
    <t>Construcción de Cancha de Deportes en la Pradera  La Guácima</t>
  </si>
  <si>
    <t>Mantenimiento Periòdico de la Red Vial Cantonal</t>
  </si>
  <si>
    <t>Mantenimiento Rutinario de la Red Vial Cantonal</t>
  </si>
  <si>
    <t>Actualizacón del Plan Regulador</t>
  </si>
  <si>
    <t>Mejoras en la Cancha Multiusos Las Abras</t>
  </si>
  <si>
    <t>Mejoras Parque Recreativa de Urb. Los Portones</t>
  </si>
  <si>
    <t>Adquisición de un Juego Infantil para la comunidad de Calle Arriba en San Rafael</t>
  </si>
  <si>
    <t>Construcción del Techo del Salón multiusos de la Urb La Perla</t>
  </si>
  <si>
    <t>Adquisicón de un Juego infantil en Urb. Las Melisas</t>
  </si>
  <si>
    <t>Compra de equipo m{edico para la Cruz Roja de San Rafael</t>
  </si>
  <si>
    <t>Transferencias de Capital a Instiutciones Descentralizadas no Empresariales</t>
  </si>
  <si>
    <t>Unidad Tecnica de Gestión Vial</t>
  </si>
  <si>
    <t>Mejoras alcantarillado pluvial San Luis de Sabanilla</t>
  </si>
  <si>
    <t>Contratacion de maquinaria para el Dragado de Quebrada el Barro</t>
  </si>
  <si>
    <t>Obras de Mitigación en Boulevar la Reforma</t>
  </si>
  <si>
    <t>Mejoras Alcantarillado Pluvial de Calle a la Pradera</t>
  </si>
  <si>
    <t>Contrataciòn de maquinaria para el Dragado de Quebrada Santa Marta</t>
  </si>
  <si>
    <t>mejoras Alcantarillado Pluvial de Calle Vargas</t>
  </si>
  <si>
    <t>Transferencias de Capital a Instituciones descentralizadas no Institucionales</t>
  </si>
  <si>
    <t>Servicio de Alcantarillado Pluvial</t>
  </si>
  <si>
    <t>1.3.1.2.05.01.1.0.001</t>
  </si>
  <si>
    <t>Servicio  Alcantarillado pluvial</t>
  </si>
  <si>
    <t>1.4.1.2.02,00.0.0.000</t>
  </si>
  <si>
    <t>2.4.1.1.02.00.0.0.000</t>
  </si>
  <si>
    <t>Disponibilidad</t>
  </si>
  <si>
    <t>Alquiler de maquinaria, equipo y mobiliario</t>
  </si>
  <si>
    <t>Manteniento y reparaciones de Equipo y mobiliario de oficina</t>
  </si>
  <si>
    <t>Intereses sobre préstamos de Instituciones Públicas Financieras</t>
  </si>
  <si>
    <t>Maquinaría, Equipo y mobiliario</t>
  </si>
  <si>
    <t>Equipo y mobiliario de oficina</t>
  </si>
  <si>
    <t>Equipo y mobiliario educacional deportivo y recreativo</t>
  </si>
  <si>
    <t>Amortización sobre préstamos de Instituciones Públicas  Financieras</t>
  </si>
  <si>
    <t xml:space="preserve">Banco Nacional </t>
  </si>
  <si>
    <t>Nº OPERACION</t>
  </si>
  <si>
    <t>Cuentas Especiales</t>
  </si>
  <si>
    <t>CUADRO No. 3</t>
  </si>
  <si>
    <t>De acuerdo al artículo 20 del Código Municipal (1)</t>
  </si>
  <si>
    <t>a) Salario mayor pagado</t>
  </si>
  <si>
    <t>Con las anualidades aprobadas</t>
  </si>
  <si>
    <t xml:space="preserve">    (Puesto )</t>
  </si>
  <si>
    <t xml:space="preserve">   Fecha de ingreso</t>
  </si>
  <si>
    <t>ACTUAL</t>
  </si>
  <si>
    <t>PROPUESTO</t>
  </si>
  <si>
    <t xml:space="preserve">    Salario Base</t>
  </si>
  <si>
    <t xml:space="preserve">    Anualidades</t>
  </si>
  <si>
    <t xml:space="preserve">   Restricción del ejercicio liberal de la profesión (2)</t>
  </si>
  <si>
    <t xml:space="preserve">    Carrera Profesional</t>
  </si>
  <si>
    <t xml:space="preserve">    Otros incentivos salariales</t>
  </si>
  <si>
    <t xml:space="preserve">    Total salario mayor pagado</t>
  </si>
  <si>
    <t xml:space="preserve">    más:</t>
  </si>
  <si>
    <t xml:space="preserve">   10% del salario mayor pagado (según artículo 20 Código Municipal)</t>
  </si>
  <si>
    <t xml:space="preserve">    Salario base del Alcalde</t>
  </si>
  <si>
    <t>(3)</t>
  </si>
  <si>
    <t xml:space="preserve">     Más: </t>
  </si>
  <si>
    <t xml:space="preserve">     Restricción del ejercicio liberal de la profesión (2)</t>
  </si>
  <si>
    <t xml:space="preserve">(4) </t>
  </si>
  <si>
    <t xml:space="preserve">    Total salario mensual</t>
  </si>
  <si>
    <t>b) Con base en la tabla establecida en el art. 20 del Código Municipal</t>
  </si>
  <si>
    <t xml:space="preserve">   Monto del presupuesto ordinario</t>
  </si>
  <si>
    <t xml:space="preserve">    Salario definido por tabla</t>
  </si>
  <si>
    <t xml:space="preserve">     Total salario mensual</t>
  </si>
  <si>
    <t xml:space="preserve">    Monto de la pensión</t>
  </si>
  <si>
    <t xml:space="preserve">    Gastos de representación (50% del monto de la pensión)</t>
  </si>
  <si>
    <t>(5)</t>
  </si>
  <si>
    <t>(1)  Las opciones a), b) y c) son excluyentes. Debe de llenarse solo la opción que se determine.</t>
  </si>
  <si>
    <t xml:space="preserve">(3)  Debe ubicarse en la relación de puestos. </t>
  </si>
  <si>
    <t>(4) Debe clasificarse dentro de incentivos salariales en el la subpartida 0.03.02</t>
  </si>
  <si>
    <t>(5) Debe clasificarse como Gastos de representación personal en la subpartida 0.99.01</t>
  </si>
  <si>
    <r>
      <t xml:space="preserve">     </t>
    </r>
    <r>
      <rPr>
        <b/>
        <sz val="9"/>
        <rFont val="Arial"/>
        <family val="2"/>
      </rPr>
      <t>Más:</t>
    </r>
  </si>
  <si>
    <t>Mantenimiento Periódico de la Red Vial Cantonal</t>
  </si>
  <si>
    <t>Construcciones Adiciones y Mejoras en los Parques de los  Distrito Alajuela</t>
  </si>
  <si>
    <t>Direcciòn Tecnica y estudio</t>
  </si>
  <si>
    <t>Rehabilitacion de la Red Vial Cantonal</t>
  </si>
  <si>
    <t>Yo Ana María Alvarado Garita Encargada del Sub Proceso de Presupuesto, ced 2-482-581 hago constar que los datos suministrados anteriormente corresponden a las aplicaciones dadas por la Municipalidad de Alajuela a la totalidad de los recursos con origen Específicos y Libres</t>
  </si>
  <si>
    <t xml:space="preserve">Alcantarillado Sanitario </t>
  </si>
  <si>
    <t>PERIODO 2013</t>
  </si>
  <si>
    <t>AÑO 2013</t>
  </si>
  <si>
    <t>2.4.1.0.00.00.0.0.000</t>
  </si>
  <si>
    <t>2,4.3,0,00,00,0,0,000</t>
  </si>
  <si>
    <t>Transferencias de Capital al Sector Externo</t>
  </si>
  <si>
    <t>2,4.3,1,00,00,0,0,000</t>
  </si>
  <si>
    <t>Transferencia del Banco interamericano de  Desarrollo</t>
  </si>
  <si>
    <t>3.0.0.0.00.00.0.0.000</t>
  </si>
  <si>
    <t>FINANCIAMIENTO</t>
  </si>
  <si>
    <t>3.1.1.0.00.00.0.0.000</t>
  </si>
  <si>
    <t>Prestamos Directos</t>
  </si>
  <si>
    <t>3.1.1.6.00.00.0.0.000</t>
  </si>
  <si>
    <t>Préstamos directos de Instituciones Públicas Financieras</t>
  </si>
  <si>
    <t>3.1.1.6.01.00.0.0.000</t>
  </si>
  <si>
    <t>Banco Nacional de Costa Rica</t>
  </si>
  <si>
    <t>Útiles y materiales médicos, hospitalario y de investigación</t>
  </si>
  <si>
    <t>O8</t>
  </si>
  <si>
    <t xml:space="preserve">II </t>
  </si>
  <si>
    <t>CUADRO No. 2</t>
  </si>
  <si>
    <t>Estructura organizacional (Recursos Humanos)</t>
  </si>
  <si>
    <t>Procesos sustantivos</t>
  </si>
  <si>
    <t>Por programa</t>
  </si>
  <si>
    <t>Apoyo</t>
  </si>
  <si>
    <t xml:space="preserve">Nivel </t>
  </si>
  <si>
    <t>Servicios    especiales</t>
  </si>
  <si>
    <t>Diferencia</t>
  </si>
  <si>
    <t>IV</t>
  </si>
  <si>
    <t>Servicios especiales</t>
  </si>
  <si>
    <t>Puestos de confianza</t>
  </si>
  <si>
    <t>Otros</t>
  </si>
  <si>
    <t>Nivel superior ejecutivo</t>
  </si>
  <si>
    <t>Profesional</t>
  </si>
  <si>
    <t>Técnico</t>
  </si>
  <si>
    <t>Administrativo</t>
  </si>
  <si>
    <t>De servicio</t>
  </si>
  <si>
    <t>Total</t>
  </si>
  <si>
    <t>RESUMEN:</t>
  </si>
  <si>
    <t>RESUMEN POR PROGRAMA:</t>
  </si>
  <si>
    <t>Plazas en sueldos para cargos fijos</t>
  </si>
  <si>
    <t>Programa I: Dirección y Administración General</t>
  </si>
  <si>
    <t>Plazas en servicios especiales</t>
  </si>
  <si>
    <t>Programa II: Servicios Comunitarios</t>
  </si>
  <si>
    <t>Plazas en procesos sustantivos</t>
  </si>
  <si>
    <t>Programa III: Inversiones</t>
  </si>
  <si>
    <t>Plazas en procesos de apoyo</t>
  </si>
  <si>
    <t>Programa IV: Partidas específicas</t>
  </si>
  <si>
    <t>Total de plazas</t>
  </si>
  <si>
    <t>3. Observaciones.</t>
  </si>
  <si>
    <t>Funcionario responsable:</t>
  </si>
  <si>
    <t>LICDA. YAMILETH AGUILAR</t>
  </si>
  <si>
    <t>Fecha:</t>
  </si>
  <si>
    <t>SALARIO DEL ALCALDE/SA</t>
  </si>
  <si>
    <t>Más la anualidad del periodo</t>
  </si>
  <si>
    <t>c) Con base en el 50% de la pensión del Alcalde/esa</t>
  </si>
  <si>
    <t>SALARIO DEL VICEALCALDE/SA</t>
  </si>
  <si>
    <t>a) Con base en el 80% del salario base del Alcalde/sa</t>
  </si>
  <si>
    <t>Salario base del Vicealcalde/sa (Art.20 del Código Municipal)</t>
  </si>
  <si>
    <t>Más:</t>
  </si>
  <si>
    <t>Restricción del ejercicio liberal de la profesión (2)</t>
  </si>
  <si>
    <t>Total salario mensual</t>
  </si>
  <si>
    <t>b) Con base en el 50% de la pensión del Vicealcalde/sa</t>
  </si>
  <si>
    <t>(2) Aportar la base legal.</t>
  </si>
  <si>
    <t xml:space="preserve">SERVICIO DE LA DEUDA </t>
  </si>
  <si>
    <t>PRESTATARIA</t>
  </si>
  <si>
    <t>SALDO</t>
  </si>
  <si>
    <t>En proceso</t>
  </si>
  <si>
    <t>Pluviales del Este</t>
  </si>
  <si>
    <t>Elaborado por__Lic. Ana María Alvarado Garita___________________________________________</t>
  </si>
  <si>
    <t>PERIODO 2016</t>
  </si>
  <si>
    <t>AÑO 2016</t>
  </si>
  <si>
    <t>Aporte del Consejo de Seg. Vial Ley 9078</t>
  </si>
  <si>
    <t>2.4.1.2.00.00.0.0.000</t>
  </si>
  <si>
    <t>Transferencias de Capital de Organos Desconcentrados</t>
  </si>
  <si>
    <t>2.4.1.2.01.00.0.0.001</t>
  </si>
  <si>
    <t>Fondo de Desarrollo Social y Asignaciones Familiares</t>
  </si>
  <si>
    <t>Transferencias de Capital de Organismos Internacionales</t>
  </si>
  <si>
    <t>2,4.3,1,00,00,0,0,001</t>
  </si>
  <si>
    <t>Aporte de Cooperación Alemana</t>
  </si>
  <si>
    <t>3.3.0.0.00.00.0.0.000</t>
  </si>
  <si>
    <t>Recursos de Vigencias anteriores</t>
  </si>
  <si>
    <t>3.3.1.0.00.00.0.0.000</t>
  </si>
  <si>
    <t>Superavit Libre</t>
  </si>
  <si>
    <t>Equipo Sanitario de laboratorio e investigación</t>
  </si>
  <si>
    <t>Recursos especificos sin asinacion Presupuestaria</t>
  </si>
  <si>
    <t>Aporte del Consejo de Seguridad Vial Ley 9058</t>
  </si>
  <si>
    <t>Recursos Libressin Asigmnación Presupuestaria</t>
  </si>
  <si>
    <t>Fecha 29/08/2015</t>
  </si>
  <si>
    <t xml:space="preserve">Elaborado por Lic. Andrea Porras </t>
  </si>
  <si>
    <t>Fecha: 25/08/2015</t>
  </si>
  <si>
    <t>Compra de Terreno</t>
  </si>
  <si>
    <t>comprea de Hidrovaciador</t>
  </si>
  <si>
    <t>PRESUPUESTO ORDINARIO 2016</t>
  </si>
  <si>
    <t>Fecha: 28/08/15</t>
  </si>
  <si>
    <t>28//08/2015</t>
  </si>
  <si>
    <t>Fecha: 28/08/2015</t>
  </si>
  <si>
    <t>Elaborado por: Lic. José Fco. Moya</t>
  </si>
  <si>
    <t>Mejoras infraestructura Escuela Once de Abril La Guácima</t>
  </si>
  <si>
    <t>Junta Educación Escuela Once de Abril de la Guácima de Alajuela</t>
  </si>
  <si>
    <t>Mejoras infraestructura de la Escuela Miguel Hidalgo Bastos</t>
  </si>
  <si>
    <t>Junta Educación Escuela Miguel Hidalgo Bastos Santiago Oeste Alajuela</t>
  </si>
  <si>
    <t>Mejoras Infraestructura Escuela Mario Agüero González</t>
  </si>
  <si>
    <t>Junta Educación Escuela Mario Agüero Gonzalez San Isidro Alajuela</t>
  </si>
  <si>
    <t>Equipamiento de la Escuela Manuela Santamaría de Desamparados</t>
  </si>
  <si>
    <t>Junta Educación Escuela Manuela Santamaría Rodriguez</t>
  </si>
  <si>
    <t>Mejoras Infraestructura Escuela Luis Sibaja García, Tacacorí, Alajuela</t>
  </si>
  <si>
    <t>Junta Educación Escuela Luis Sibaja Garcia de Tacacori Alajuela</t>
  </si>
  <si>
    <t>Mejoras infraestructura de la Escuela León Cortés Castro de Carrizal</t>
  </si>
  <si>
    <t>Junta Educación Escuela León Cortes Castro Carrizal Alajuela</t>
  </si>
  <si>
    <t>Mejoras Infraestructura Escuela El Barrio San José</t>
  </si>
  <si>
    <t>Junta Educación Escuela Jose de San Martin Alajuela</t>
  </si>
  <si>
    <t>Restauración de la Planta Física de la Escuela INVU Las Cañas</t>
  </si>
  <si>
    <t>Junta Educación Escuela Invu Las Cañas Desamparados Alajuela</t>
  </si>
  <si>
    <t>Mejora infraestructura Escuela Silvia Montero</t>
  </si>
  <si>
    <t>Junta de Educación Escuela Silvia Montero Zamora de Alajuela</t>
  </si>
  <si>
    <t>Mejoras infraestructura Escuela Rincón Herrera La Guácima</t>
  </si>
  <si>
    <t>3-008-140029</t>
  </si>
  <si>
    <t xml:space="preserve">Junta de Educación Escuela Rincón Herrera La Guácima de Alajuela  </t>
  </si>
  <si>
    <t>Mejoras Escuela Del Roble</t>
  </si>
  <si>
    <t>3-008-056510</t>
  </si>
  <si>
    <t xml:space="preserve">Junta de Educación de El Roble de Alajuela </t>
  </si>
  <si>
    <t>Mejora infraestructura Colegio de Tambor</t>
  </si>
  <si>
    <t>3-008-243410</t>
  </si>
  <si>
    <t>Junta Administrativa Liceo de Tambor</t>
  </si>
  <si>
    <t>Mejora infraestructura Colegio Técnico Profesional INVU Las Cañas</t>
  </si>
  <si>
    <t>Artículo 62 del Código Municipal, julio 1998.  Reglamento Interno para el Otorgamiento de Aportes y Subvenciones para Centros Educativos de Educación Pública y Organizaciones de Beneficencia o Servicio Social del Cantón Central de Alajuela, publicado en la Gaceta N° 240,  Alcance N° 61 del día viernes 12 de diciembre del 2003</t>
  </si>
  <si>
    <t>Junta Administrativa del Colegio Técnico Profesional Invu Las Cañas Desamparados Alajuela</t>
  </si>
  <si>
    <t xml:space="preserve">TRANSFERENCIAS DE CAPITAL A INSTITUCIONES DESCENTRALIZADAS NO EMPRESARIALES </t>
  </si>
  <si>
    <t>7.01</t>
  </si>
  <si>
    <t>Mejoras en la Infraestructura del Hogar de Ancianos Santiago Crespo</t>
  </si>
  <si>
    <t>Artículo 62 del Código Municipal, julio 1998, mediante el cual  se faculta a las municipalidades para subvencionar centros de beneficencia o servicio social que presten servicios al respectivo cantón; acto que está debidamente regulado en la Municipalidad por el Reglamento Interno para el Otorgamiento de Aportes y Subvenciones para Centros Educativos de Educación Pública y Organizaciones de Beneficencia o Servicio Social del Cantón Central de Alajuela, publicado en la Gaceta N° 240,  Alcance N° 61 del día viernes 12 de diciembre del 2003. El artículo 56 de la Ley Integral para la Persona Adulta Mayor N° 7935, que autoriza a las instituciones estatales para que efectúen donaciones en beneficio de los asilos, los hogares  y las instituciones dedicadas a la atención de los ancianos</t>
  </si>
  <si>
    <t>Asociación Hogar de Ancianos Santiago Crespo Calvo</t>
  </si>
  <si>
    <t>Conformación, lastreado y carpeta en asfalto calle Muñoz</t>
  </si>
  <si>
    <t>Artículo 19 de la Ley sobre el Desarrollo de La Comunidad Nº 3859, de 7 de abril de 1967 y sus reformas</t>
  </si>
  <si>
    <t>3-002-066821</t>
  </si>
  <si>
    <t>Asociación Desarrollo Integral de Rincón Herrera La Guácima de Alajuela</t>
  </si>
  <si>
    <t>Mejoras infraestructura cancha de deportes del Jocote</t>
  </si>
  <si>
    <t>3-002-078423</t>
  </si>
  <si>
    <t xml:space="preserve">Asociación Desarrollo Integral de Pacto del Jocote Alajuela </t>
  </si>
  <si>
    <t>Mejoras y equipamiento Parque Urb. La Amistad La Guácima Arriba</t>
  </si>
  <si>
    <t>Mejoras de Infraestructura y ampliación del EBAIS de La Guácima</t>
  </si>
  <si>
    <t>3-002-075234</t>
  </si>
  <si>
    <t>Asociación Desarrollo Integral de Las Vueltas de la Guácima de Alajuela</t>
  </si>
  <si>
    <t>Mejoras infraestructura áreas de parque y parque infantil Urbanización Babilonia</t>
  </si>
  <si>
    <t>3-002-078030</t>
  </si>
  <si>
    <t xml:space="preserve">Asociación Desarrollo Integral de Desamparados de Alajuela </t>
  </si>
  <si>
    <t>Primera Etapa Construcción EBAIS de Ciruelas</t>
  </si>
  <si>
    <t>3-002-075541</t>
  </si>
  <si>
    <t>Asociación Desarrollo Integral de Ciruelas de Alajuela</t>
  </si>
  <si>
    <t>Parque Palmares</t>
  </si>
  <si>
    <t>Plan de Mercadeo Turístico de Alajuela</t>
  </si>
  <si>
    <t>3-002-337404</t>
  </si>
  <si>
    <t>Asociación Desarrollo Integral de Alajuela Centro</t>
  </si>
  <si>
    <t>Plan de Mantenimiento Urbano de la Comunidad El Erizo Distrito de Desamparados</t>
  </si>
  <si>
    <t>Asociación Desarrollo Integral de  El Erizo de Alajuela</t>
  </si>
  <si>
    <t>Mejoras infraestructura cancha multiuso Urbanización Sierra Morena</t>
  </si>
  <si>
    <t>3-002-320411</t>
  </si>
  <si>
    <t>Asociación de Vecinos y Propietarios de la Urbanización Sierra Morena</t>
  </si>
  <si>
    <t>Conformación, lastreado, cordón y caño y carpeta en asfalto calle Madrigal</t>
  </si>
  <si>
    <t>3-002-078508</t>
  </si>
  <si>
    <t xml:space="preserve">Asociación de Desarrollos Integral de Santiago Oeste El Coco Alajuela    </t>
  </si>
  <si>
    <t>Conformación, lastreado y asfaltado de calle Los Jocotes</t>
  </si>
  <si>
    <t>3-002-075662</t>
  </si>
  <si>
    <t xml:space="preserve">Asociación de Desarrollo Integral Nuestro Amo de La Guácima    </t>
  </si>
  <si>
    <t>Construcción Salón Comunal El Pasito</t>
  </si>
  <si>
    <t xml:space="preserve">Asociación de Desarrollo Integral El Pasito de Alajuela </t>
  </si>
  <si>
    <t>Mejoras infraestructura Parque Urbanización los Olivos</t>
  </si>
  <si>
    <t>3-002-061376</t>
  </si>
  <si>
    <t>Asociación de Desarrollo Integral del Coyol de Alajuela</t>
  </si>
  <si>
    <t>Mejoras en el Parque de Urbanización Villa Hermosa, Distrito de Alajuela</t>
  </si>
  <si>
    <t>Asociación de Desarrollo Integral de Villa Hemosa de Alajuela</t>
  </si>
  <si>
    <t>Recarpeteo  de Calles Villa Bonita</t>
  </si>
  <si>
    <t>3-002-092782</t>
  </si>
  <si>
    <t xml:space="preserve">Asociación de Desarrollo Integral de Villa Bonita de Alajuela </t>
  </si>
  <si>
    <t>Sistema de monitoreo y  vigilancia en Urbanización Ciruelas de Alajuela</t>
  </si>
  <si>
    <t>Mejoras Infraestructura Parque Urbanización Ciruelas</t>
  </si>
  <si>
    <t>3-002-255314</t>
  </si>
  <si>
    <t xml:space="preserve">Asociación de Desarrollo Integral de Urbanización Ciruelas de Alajuela     </t>
  </si>
  <si>
    <t>Construcción Salón Multiuso Urbanización La Brasilia</t>
  </si>
  <si>
    <t>3-002-638894</t>
  </si>
  <si>
    <t>Asociación de Desarrollo Integral de Urbanización Brasilia de Alajuela</t>
  </si>
  <si>
    <t>Mejoras en la Escuela de Turrúcares</t>
  </si>
  <si>
    <t>Mejoras en la infraestructura del Liceo de Turrúcares</t>
  </si>
  <si>
    <t>Construcción Salón Comunal de Turrúcares</t>
  </si>
  <si>
    <t>Asociación de Desarrollo Integral de Turrúcares Alajuela</t>
  </si>
  <si>
    <t>Construcción conector vial en Tuetal Sur</t>
  </si>
  <si>
    <t>3-002-129160</t>
  </si>
  <si>
    <t xml:space="preserve">Asociación de Desarrollo Integral de Tuetal Sur de Alajuela         </t>
  </si>
  <si>
    <t>Construcción de Salón Multiuso de Tambor</t>
  </si>
  <si>
    <t>Asociación de Desarrollo Integral de Tambor de Alajuela</t>
  </si>
  <si>
    <t>Mejoras en la Infraestructura de las instalaciones de GAR - ADI Sabanilla</t>
  </si>
  <si>
    <t>Construcción Complejo Deportivo y Recreativo del Norte</t>
  </si>
  <si>
    <t>3-002-061579</t>
  </si>
  <si>
    <t>Asociación de Desarrollo Integral de Sabanilla</t>
  </si>
  <si>
    <t>Construcción de cunetas en Rincón de Cacao</t>
  </si>
  <si>
    <t>Asociación de Desarrollo Integral de Rincon de Cacao Tambor, Alajuela</t>
  </si>
  <si>
    <t>Construcción Centro de Eventos Comunales de Quebradas y Calle Vargas</t>
  </si>
  <si>
    <t>3-002-056675</t>
  </si>
  <si>
    <t>Asociación de Desarrollo Integral de Quebradas y Calle Vargas Tambor</t>
  </si>
  <si>
    <t>Equipamiento y funcionalidad de la Banda Comunal de Pueblo</t>
  </si>
  <si>
    <t>3-002-071506</t>
  </si>
  <si>
    <t xml:space="preserve">Asociación de Desarrollo Integral de Pueblo Nuevo de Alajuela </t>
  </si>
  <si>
    <t>Mejoras Salón Comunal de Pilas</t>
  </si>
  <si>
    <t>3-002-667936</t>
  </si>
  <si>
    <t>Asociación de Desarrollo Integral de Pilas San Isidro de Alajuela</t>
  </si>
  <si>
    <t>Mejoras en la Infraestructura de la Plaza de Deportes de Pavas de Carrizal</t>
  </si>
  <si>
    <t>3-002-116885</t>
  </si>
  <si>
    <t>Asociación de Desarrollo Integral de Pavas de Carrizal de Alajuela</t>
  </si>
  <si>
    <t>Mejoramiento del Conector Vial, Los Ángeles de Sabanilla</t>
  </si>
  <si>
    <t>3-002-524627</t>
  </si>
  <si>
    <t>Asociación de Desarrollo Integral de Los Ángeles de Sabanilla Alajuela</t>
  </si>
  <si>
    <t>Asfaltado entradas a la cancha de futbol de Las Vueltas y de calle Los Arroyo</t>
  </si>
  <si>
    <t>Asociación de Desarrollo Integral de las Vueltas de la Guácima de Alajuela</t>
  </si>
  <si>
    <t>Mejoras infraestructura Salón Comunal Urbanización La Independencia</t>
  </si>
  <si>
    <t xml:space="preserve">Asociación de Desarrollo Integral de La Independencia, El Brasil, Alajuela </t>
  </si>
  <si>
    <t>Mejoras Salón Comunal La Torre, La Garita</t>
  </si>
  <si>
    <t>Asociación de Desarrollo Integral de La Garita de Alajuela</t>
  </si>
  <si>
    <t>Mejora áreas recreativas Urbanización Silvia Eugenia</t>
  </si>
  <si>
    <t>Asociación de Desarrollo Integral de La  Urbanización Silvia Eugenia de Desamparados de Alajuela</t>
  </si>
  <si>
    <t>Mejoramiento plaza de deportes INVU Las Cañas de Desamparado</t>
  </si>
  <si>
    <t>Mejoras Edificio ADI INVU Las Cañas</t>
  </si>
  <si>
    <t>Asociación de Desarrollo Integral de INVU Las Cañas de Alajuela</t>
  </si>
  <si>
    <t>Remodelación y construcción Delegación El Roble</t>
  </si>
  <si>
    <t>3-002-066990</t>
  </si>
  <si>
    <t xml:space="preserve">Asociación de Desarrollo Integral de El Roble de San Antonio de Alajuela </t>
  </si>
  <si>
    <t>Mejoras Centro de Deportes de Cinco Esquina de Carrizal</t>
  </si>
  <si>
    <t>3-002-255315</t>
  </si>
  <si>
    <t xml:space="preserve">Asociación de Desarrollo Integral de Cinco Esquinas de Carrizal Alajuela    </t>
  </si>
  <si>
    <t>Alcantarillado pluvial y cunetas calle Chahuites</t>
  </si>
  <si>
    <t>3-002-592389</t>
  </si>
  <si>
    <t xml:space="preserve">Asociación de Desarrollo Integral de Chahuites, Santa Bárbara, Heredia   </t>
  </si>
  <si>
    <t>Adquisición de terreno para ampliación del Cementerio de Carrizal</t>
  </si>
  <si>
    <t>Construcción y mejoras Campo Ferial en Carrizal de Alajuela</t>
  </si>
  <si>
    <t>3-002-248872</t>
  </si>
  <si>
    <t xml:space="preserve">Asociación de Desarrollo Integral de Carrizal </t>
  </si>
  <si>
    <t>Mejoras sistema pluvial Carbonal</t>
  </si>
  <si>
    <t>Asociación de Desarrollo Integral de Carbonal de Alajuela</t>
  </si>
  <si>
    <t>Mejoras infraestructura del Salón Comunal de Cacao</t>
  </si>
  <si>
    <t>Asociación de Desarrollo Integral de Cacao de Alajuela</t>
  </si>
  <si>
    <t>Mejora parque principal Urbanización La Trinidad</t>
  </si>
  <si>
    <t>3-002-051446</t>
  </si>
  <si>
    <t>Asociación de Desarrollo Especifico Pro-Mejoras de la Urbanización La Trinidad</t>
  </si>
  <si>
    <t>Centro Deportivo y Cultural de Lagos del Coyol</t>
  </si>
  <si>
    <t>Asociación de Desarrollo Especifico Pro Parque Infantil y Ornato de los Lagos del Coyol de la Garita  de Alajuela</t>
  </si>
  <si>
    <t>Remodelación del Salón Multiusos de San Miguel de Turrúcares</t>
  </si>
  <si>
    <t>Asociación de Desarrollo Específico PRO Acueducto Rural y Arreglo de Caminos de San Miguel de Turrúcares Alajuela</t>
  </si>
  <si>
    <t>Mejoras en la Plaza de Deportes de Cebadilla</t>
  </si>
  <si>
    <t>Asociación de Desarrollo Especifico  Pro Mantenimiento del Acueducto, Caminos, Construcción de Salón Multiuso Cebadilla Turrúcares</t>
  </si>
  <si>
    <t>Mejoras infraestructura del CENCINAI del INVU Las Cañas 1</t>
  </si>
  <si>
    <t>Asociación de Desarrollo Especifica Pro CENCINAI Y bienenstar comunal de el Invu  Cañas de Alajuela</t>
  </si>
  <si>
    <t>Mejoras en el CENCINAI de Carrizal</t>
  </si>
  <si>
    <t xml:space="preserve"> 3-002-356429</t>
  </si>
  <si>
    <t xml:space="preserve">Asociación de Desarrollo Especifica Pro CENCINAI Y bienenstar comunal de Carrizal de Alajuela </t>
  </si>
  <si>
    <t>Mejora infraestructura del CENCINAI de Itiquís</t>
  </si>
  <si>
    <t xml:space="preserve">Asociación de Desarrollo Específica Pro Cen Cinai y Bienestar Comunal de Itiquis de Alajuela </t>
  </si>
  <si>
    <t>Mejoras infraestructura CENCINAI La Guácima</t>
  </si>
  <si>
    <t>Asociación de Desarrollo Específica Pro Cen Cinai y Bienestar Comunal de Guácima de Alajuela</t>
  </si>
  <si>
    <t>Mejoras infraestructura CENCINAI El Erizo</t>
  </si>
  <si>
    <t>3-002-359925</t>
  </si>
  <si>
    <t>Asociación de Desarrollo Específica Pro Cen Cinai y Bienestar Comunal de Erizo Alajuela</t>
  </si>
  <si>
    <t>Construcción del Salón Comunal Urbanización La Torre, Distrito de la Garita</t>
  </si>
  <si>
    <t>Asociación de Desarrollo Especifica para la construcción del parque Urbanización  La Torre, La Garita de Alajuela</t>
  </si>
  <si>
    <t>Mejoras sistema de distribución y almacenamiento de agua potable en Urbanización El Sendero</t>
  </si>
  <si>
    <t>Asociación de Desarrollo Especifica para la administración de las zonas comunales de la Urbanización el Sendero de Rio Segundo Alajuela</t>
  </si>
  <si>
    <t>Mejoras infraestructura CENCINAI Distrito de San José</t>
  </si>
  <si>
    <t>Asociación de Desarrollo Específica  Pro Cen Cinai y Bienestar Comunal de Barrio San José de Alajuela</t>
  </si>
  <si>
    <t>Embellecimiento de Áreas Comunales de Tuetal Norte</t>
  </si>
  <si>
    <t>Asociación de Desarrollo  Integral de Tuetal Norte de Alajuela</t>
  </si>
  <si>
    <t>Mejoras Infraestructura en el Salón Comunal de Calle la Flory</t>
  </si>
  <si>
    <t>Asociación de Desarrollo  Integral de Canoas de Guadalpe de Alajuela</t>
  </si>
  <si>
    <t>Construcción Salón Multiuso en Urbanización Monte Sion</t>
  </si>
  <si>
    <t>Asociación de Desarrollo  Específica Obras Comunales de la Urbanización Monte Sion, Alajuela</t>
  </si>
  <si>
    <t>Mejoras en la infraestructura del Alberge Integral del Adulto Mayor en Alajuela</t>
  </si>
  <si>
    <t xml:space="preserve">Artículo 62 del Código Municipal, julio 1998, mediante el cual  se faculta a las municipalidades para subvencionar centros de beneficencia o servicio social que presten servicios al respectivo cantón; acto que está debidamente regulado en la Municipalidad por el Reglamento Interno para el Otorgamiento de Aportes y Subvenciones para Centros Educativos de Educación Pública y Organizaciones de Beneficencia o Servicio Social del Cantón Central de Alajuela, publicado en la Gaceta N° 240,  Alcance N° 61 del día viernes 12 de diciembre del 2003. El artículo 56 de la Ley Integral para la Persona Adulta Mayor N° 7935, que autoriza a las instituciones estatales para que efectúen donaciones en beneficio de los asilos, los hogares  y las instituciones dedicadas a la atención de los ancianos.
</t>
  </si>
  <si>
    <t>Asociación de Atención Integral de la Tercera Edad de Alajuela</t>
  </si>
  <si>
    <t>Rehabilitación de la red vial en calle el Común Rosales</t>
  </si>
  <si>
    <t>Asociación de  Desarrollo Integral de Rosales de Desamparados de Alajuela</t>
  </si>
  <si>
    <t>Mejoras en la Infraestructura del  Taller Protegido de Alajuela</t>
  </si>
  <si>
    <r>
      <t>Artículo 62 del Código Municipal, julio 1998, mediante el cual  se faculta a las municipalidades para subvencionar centros de beneficencia o servicio social que presten servicios al respectivo cantón; acto que está debidamente regulado en la Municipalidad por el Reglamento Interno para el Otorgamiento de Aportes y Subvenciones para Centros Educativos de Educación Pública y Organizaciones de Beneficencia o Servicio Social del Cantón Central de Alajuela, publicado en la Gaceta N° 240,  Alcance N° 61 del día viernes 12 de diciembre del 2003. El artículo 26 de la Ley de Asociaciones N°218</t>
    </r>
    <r>
      <rPr>
        <sz val="10"/>
        <rFont val="Arial"/>
        <family val="0"/>
      </rPr>
      <t xml:space="preserve">
</t>
    </r>
  </si>
  <si>
    <t>Asociación  Taller Protegido de Alajuela</t>
  </si>
  <si>
    <t>Mejoras Salón Comunal de Dulce Nombre de la Garita</t>
  </si>
  <si>
    <t>3-002-061757</t>
  </si>
  <si>
    <t>Asociación  Desarrollo Integral Dulce Nombre de la Garita Alajuela</t>
  </si>
  <si>
    <t>Carpeta asfáltica en calle La Amistad y calle La Unión</t>
  </si>
  <si>
    <t>Asociación  Desarrollo Integral de Calle Loria de Itiquis Alajuela</t>
  </si>
  <si>
    <t>TRANSFERENCIAS DE CAPITAL A ENTIDADES PRIVADAS SIN FINES DE LUCRO</t>
  </si>
  <si>
    <t>7.03</t>
  </si>
  <si>
    <t>FINALIDAD DE LA TRANSFERENCIA</t>
  </si>
  <si>
    <t>FUNDAMENTO LEGAL</t>
  </si>
  <si>
    <t>Cédula Jurídica (entidad privada)</t>
  </si>
  <si>
    <t>NOMBRE DEL BENEFICIARIO CLASIFICADO SEGÚN PARTIDA Y GRUPO DE EGRESOS</t>
  </si>
  <si>
    <t>Código de gasto</t>
  </si>
  <si>
    <t>TRANSFERENCIAS CORRIENTES Y DE CAPITAL A FAVOR DE ENTIDADES PRIVADAS SIN FINES DE LUCRO</t>
  </si>
  <si>
    <t>CUADRO No. 5</t>
  </si>
  <si>
    <t>Elaborado por: Lic Andrea Porras</t>
  </si>
  <si>
    <t>(1) El aumento de las dietas debe ser con base en el artículo 30 del Código Municipal</t>
  </si>
  <si>
    <t>DIETAS POR COMISIÓN (ADJUNTAR DETALLE)</t>
  </si>
  <si>
    <t>ORDI-EXTRA</t>
  </si>
  <si>
    <t>DIETA PROPUESTA</t>
  </si>
  <si>
    <t>DIETA ACTUAL</t>
  </si>
  <si>
    <t>REGIDORES</t>
  </si>
  <si>
    <t>ANUAL</t>
  </si>
  <si>
    <t>MENSUAL</t>
  </si>
  <si>
    <t>SESIONES</t>
  </si>
  <si>
    <t>VALOR</t>
  </si>
  <si>
    <t xml:space="preserve">VALOR </t>
  </si>
  <si>
    <t xml:space="preserve">NUMERO DE </t>
  </si>
  <si>
    <t>PORCENTAJE QUE APRUEBA EL CONCEJO: (1)</t>
  </si>
  <si>
    <t>PORCENTAJE DE AUMENTO DEL PRESUPUESTO</t>
  </si>
  <si>
    <t>PRESUPUESTO EN ESTUDIO:</t>
  </si>
  <si>
    <t>PRESUPUESTO PRECEDENTE:</t>
  </si>
  <si>
    <t>CALCULO DE LAS DIETAS A REGIDORES</t>
  </si>
  <si>
    <t>ANEXO 3</t>
  </si>
  <si>
    <t>JUSTIFICACION DE LA ESTIMACIÓN DE INGRESOS</t>
  </si>
  <si>
    <t xml:space="preserve">Para el periodo 2016 se está proyectando un incremento de un 10,60% con respecto al año anterior, para la proyección de ingresos se están utilizando los métodos de estimación recomendados por la Contraloría General de la República, así como el comportamiento real de los ingresos de acuerdo a la tendencia registrada en los estados financieros, a la vez se consideran las medidas adoptadas por la Administración y que ha logrado un incremento en los ingresos, así como la actualización de tasas del año 2014 y las presentadas al Concejo Municipal durante el presente año.  
 </t>
  </si>
  <si>
    <t>La estimación de los ingresos se realizó con base en el comportamiento de los ingresos durante los últimos cinco años, para ello se consideraron diferentes métodos entre ellos los estadísticos, como la regresión lineal, mínimos cuadrados, repgresión potencial y exponencial, así como otros métodos menos científicos, pero de uso obligado por las condiciones internas.</t>
  </si>
  <si>
    <r>
      <t xml:space="preserve">
</t>
    </r>
    <r>
      <rPr>
        <i/>
        <u val="single"/>
        <sz val="11"/>
        <rFont val="Arial"/>
        <family val="2"/>
      </rPr>
      <t>Método Directo:</t>
    </r>
    <r>
      <rPr>
        <sz val="11"/>
        <rFont val="Arial"/>
        <family val="2"/>
      </rPr>
      <t xml:space="preserve"> Las estimaciones de este tipo de ingreso se realizan cuando se tratan de cantidades específicas, en donde tenemos el conocimiento de la población total y de la tarifa que se aplica, en otras palabras, precio por cantidad, como es el caso de los alquileres que cobra la institución, los ingrasos por infracciones a la ley de parquímetros y los intereses por títulos valores.</t>
    </r>
  </si>
  <si>
    <r>
      <t>Criterio del Departamento:</t>
    </r>
    <r>
      <rPr>
        <sz val="11"/>
        <rFont val="Arial"/>
        <family val="2"/>
      </rPr>
      <t xml:space="preserve"> Por algunas razones de tipo coyuntural, basamos la estimación en el criterio del departamento, como el caso de la estimación del Impuesto sobre Espectáculos Públicos, pero simpre dicha estimación se encuentra dentro del rango de los datos obtenidos entre regresión Logaritmica o Mínimos Cuadrados</t>
    </r>
  </si>
  <si>
    <r>
      <t>Aportes de Ley:</t>
    </r>
    <r>
      <rPr>
        <sz val="11"/>
        <rFont val="Arial"/>
        <family val="2"/>
      </rPr>
      <t xml:space="preserve"> Este mas que un método es un mecanismo que se ha seguido la institución y consiste en la presupuestación de los ingresos basados en la información que reportan las instituciones como el Instituto de Fomento y Asesoría Municipal, Ministerio de Obras y transporte Público, Ministerio de Gobernación entre otros. En caso de no obtenerse en forma directa se realiza por estimación con respecto al monto presupuestado el año anterior</t>
    </r>
  </si>
  <si>
    <t>Este ingreso proviene de la aplicación de la Ley 7509, denominada Ley del Impuesto sobre Bienes Inmuebles, y sus reformas Ley 7729, que implica el cobro de un 0,25% sobre el valor del inmueble registrado en la institución.  Se considera en su incremento las actualizaciones realizadas a las bases imponibles producto de nuevas construcciones, así como la revalorización de terrenos por hipotecas realizadas en el sistema financiero nacional, actualización de valores en monedas extranjeras y avalúos practicados por peritos municipales y contratados durante el año 2015 con base en las plataformas de valores aprobadas durante el año 2010 y cuyos cambios en las bases imponibles rigen a partir del 1 de enero del 2016. Además aplicando las estimaciones estadísticas el monto se encuentra en el rango de proyección por mínimos cuadrados y por regresión logarítima.</t>
  </si>
  <si>
    <t>La estimación se realiza con base en la modificación de la base imponible del impuesto, efectuada mediante ley 8246 (modificaciones al código de minería publicadas en la Gaceta n° 124 del 28 de junio del 2002). la cual determina una reducción de la tarifa al pasar de un 10% del Valor del m3 de los materiales a un 30% de lo pagado mensualmente por concepto de impuesto de ventas, además de tomar en cuenta la cantidad de Tajos Autorizados y Operando. La cifra proyectada se encuantra por debajo de cualquiera de los tres métodos estadísticos utilizados.</t>
  </si>
  <si>
    <t>Este ingreso proviene de la Ley N° 6849, impuesto al cemento y sus reformas entre las que se incluye las municipalidades de la provincia de Alajuela</t>
  </si>
  <si>
    <t>Este ingreso proviene del cobro de hasta un 1% sobre las construcciones por toda obra nueva y reconstrucciones que se realicen a los inmuebles que se encuentran ubicados en el Cantón Central de Alajuela.  
Se estima el monto recomendado por el responsable del proceso de Planificación de Infraestructura, considerando nuevos proyectos así como la dinámica de las construcciones en el cantón. El monto presupuestado es menor que cualquiera de los tres métodos estadísticos utilizados.</t>
  </si>
  <si>
    <t>Este ingreso proviene de los permisos por espectáculos públicos y otras actividades afines, que se realicen dentro de la jurisdicción del Cantón Central Alajuelense, en donde se cobra el 5% sobre la venta del total de entradas vendidas por el espectáculo que se realiza.  La puesta en funcionamiento del Parque Viva como centro para convenciones y entretenimiento se perfila como un coadyuvante en la generación de ingresos futuros; el monto proyectado se encuentra muy por debajo de los tres métodos estadísticos utilizados, dado que los resultados de años anteriores se vieron influenciados por la presentación el Circo del Sol.</t>
  </si>
  <si>
    <t>Este ingreso proviene del cobro a los propietarios de bienes inmuebles o patentados de negocios comerciales donde se instalen rótulos o anuncios y las empresas que vendan o alquilen espacios para publicidad de cualquier tipo mediante rótulos, anuncios o vallas, los cuales pagarán un impuesto anual dividido en cuatro tractos trimestrales.  Dicho impuesto se calculará como un porcentaje del salario mínimo municipal al primer día del mes de enero de cada año, según el tipo de anuncio o rótulo instalado, de acuerdo con las categorías definidas en el Reglamento.</t>
  </si>
  <si>
    <t>En la proyección para el año 2016, este codificador presupuestario incluye dos componentes; las licencias comerciales y con la aplicación de la Ley de licores N° 9047, las licencias para el expendio de bebidas con contenido alchólico que pasan de ingresos de capital a ingresos corrientes.  El impuesto a las patentes comerciales se calcula con la modificación de la base imponible  a partir de la vigencia de la ley 8236 de Impuestos Municipales del Cantón Central de Alajuela, que implica la revisión gradual de las declaraciones de ingresos de los patentados, así como las nuevas fábricas e industrias que se han venido instalando en la zona industrial a partir del año 2007 y que a partir del año siguiente pasan a pagar el impuesto con base en la declaración de ingresos y corresponde al 85% de los ingresos proyectados, mientras que los ingresos por licencias de licores comprenden el 15% del total de ingresos proyectados. No obstante si revisamos el cuadro de estimaciones técnicas, tanto la estimación por mínimos cuadrados como por regresión logarítmica se encuadran en la proyección.</t>
  </si>
  <si>
    <t>Estos ingresos provienen de la venta de timbres que estipula el artículo 84 del Código Municipal. Han mostrado un crecimiento progresivo, vinculados a la actividad de venta de propiedades y desarrollo urbanístico que se ha venido generando en el cantón en los últimos años producto del vigoroso crecimiento urbano, no obstante durante este año ha decaído producto de la restricción al crédito del BCCR. La proyección de ingresos se ubica dentro de cualquiera de los métodos de estimación de apoyo</t>
  </si>
  <si>
    <t xml:space="preserve">Este ingreso es la aplicación de la Ley 7788 en el artículo 43, regulada por la circular 8060, de la Contraloría General de la República, según la cual se establece un 2% de acuerdo al monto a cancelar en cada una de las patentes municipales.
</t>
  </si>
  <si>
    <t>Para la proyección del ingreso de venta de agua potable se tomaron los registros de contribuyentes por servicio y categoría, así como los nuevos servicios que se espera cubrir de acuerdo con la demanda esperada, a estos datos se les aplican los promedios de consumo en m3 anuales según estadística internas y el aumento de tarifas publicadas en el diario oficial La Gaceta N°25 del martes 5 de febrero del 2013. La proyección se enmarca dentro del rango para las estimaciones por mínimos cuadrados.</t>
  </si>
  <si>
    <t>El ingreso por este concepto proviene de la recaudación de los alquileres que se cobran por cada uno de los locales ubicados en el Mercado Municipal. El monto se estima con base en el acuerdo logrado entre los inquilinos y la administración para el quinquenio 2016-2019.</t>
  </si>
  <si>
    <t>Este ingresos se percibe de los alquileres de los locales que se utilizan para las ventas de comidas que se encuentran ubicadas en la Plaza de Ganado.  Dentro de este ingreso se contempla el alquiler de corrales Dobles y Sencillos en la Plaza de Ganado Municipal.</t>
  </si>
  <si>
    <t>Los cálculos para este servicio se realizaron de acuerdo con los registros de contribuyentes que lleva el proceso de Acueductos, aplicando la tarifa domicialiaria y comercial con base en consumo de m3 de agua potable y de acuerdo con la tarifa publicada en La Gaceta N°25 del martes 5 de agosto del 2013, así como la nuevas conexiones que se coloquen el próximo año. Su proyección se enmarca dentro de cualquiera de las tos tres métodos estadísticos utilizados.</t>
  </si>
  <si>
    <t>Este servicio se calcula con base en la aprobación de la tasa de 93 colones por metro lineal para un total de 550.000 metros lineales. Se considera un incremento del 57% en la tasa aprobado en la sesión N° 29-12 del Concejo Municipal, se utilizó la nueva propuesta de incremento en la tasa del servicio con base en el documento que tiene en análisis el Cocejo Municipal</t>
  </si>
  <si>
    <t xml:space="preserve">Los ingresos de este servicio provienen de las nuevas conexiones del servicio de agua potable, reconexiones, estudios de consumos y fugas. Su estimación se basa en la proyección que realiza el proceso de Acueductos. </t>
  </si>
  <si>
    <t>La proyección de estos ingresos se basa en lo que estima el coordinador del Acueducto, con base en los regsitros contables y su histórico.</t>
  </si>
  <si>
    <t>Los ingresos de este renglón provienen del cobro de la tarifa a los contribuyentes por el servicio de recolección , transporte, disposición y tratamiento de la basura en el cantón, cuya última actualización se publicó en La Gaceta N° 3 del martes 6 de enero del 2015. Su proyección se realiza con base en los ingresos de los años precedentes y el crecimiento vegetativo por construcciones nuevas. La proyección se enmarca dentro de los resultados de la estimación por mínimos cuadrados.</t>
  </si>
  <si>
    <t>El aumento en la estimación de ingresos para este rubro, se basa en el aumento de la cobertura del servicio a un horario vespertino en la zona comercial del centro del distrito primero y los accesos a la ciudad y un 30% de área comercial,  última actualización se publicó en La Gaceta N° 248 del viernes 14 de noviembre del 2014. La proyección se enmarca dentro del rango de la estimación por por mínimos cuadrados, regresión logarítmica y regresión exponencial</t>
  </si>
  <si>
    <t>Para la proyección de ingresos de este servicio se estimó la nueva tasa de mantenimiento de parques del distrito primero, cuya última actualización se publicó en La Gaceta N° 220 del viernes 14 de noviembre de 2014. El monto se encuentra en la proyección de mínimos cuadrados y regresión exponencial</t>
  </si>
  <si>
    <t>Este proviene de la tarifa por obra realizada que se le cobra a los propietarios de Bienes Inmuebles del cantón central de Alajuela que incumplen con los deberes estipulados en el artículo N° 75 del Código Municipal. Las tarifas se publicaron en La Gaceta N° 220 del miércoles 24 de diciembre del 2014</t>
  </si>
  <si>
    <t>1,3,1,2,09,09,0,0,000</t>
  </si>
  <si>
    <t xml:space="preserve">Los ingresos reportados en este concepto se refieren a las ventas de Emisiones de Certificaciones del Registro Público; servicio que brinda la institución a los ciudadanos que lo soliciten con base en el convenio firmado con el Registro Nacional.
</t>
  </si>
  <si>
    <t>1,3,1,2,09,00,0,0,000</t>
  </si>
  <si>
    <t>Otros Servicios Comunitarios</t>
  </si>
  <si>
    <t xml:space="preserve">Estos recursos provienen del IMAS para la operación del CECUDI con una capacidad máxima de 70 niños a razón de 105,000 por menor mensual.
</t>
  </si>
  <si>
    <t>Este ingreso está compuesto por dos tarifas, una proviene de los derechos a los estacionómetros y el segundo de la tarifa por el uso de la Terminal de autobuses FECOSA. El primero se percibe por concepto de venta de Boletas de Estacionamiento Autorizado, cuyo último incremento se publicó en La Gaceta N° 123 del 27 de junio del 2014, para el próximo año se calcula en 170 millones y representa el 63% del monto total; el segundo componente que proviene del uso de andenes en la Terminal de autobuses se calcula con base en la tarifa aprobada por el Concejo Municipal en la sesión N° 22-2014 del 3 de junio del 2014 y publicada en la Gaceta  N° 123 del viernes 27 de junio del 2014; este monto asciende a 98,750,000,00 y representan el 37% del ingreso total.</t>
  </si>
  <si>
    <t>Contempla el derecho por el uso de la Plaza para cualquier tipo de ganado, el cobro se realiza por cabeza transada.</t>
  </si>
  <si>
    <t>La proyección de ingesos por rendimientos financieros se calcula por método Directo. Los Rendimientos a obtener, provienen de los excedentes en el flujo de caja.</t>
  </si>
  <si>
    <t>Los ingresos en este rubro provienen de las inversiones que se realizan en la Bolsa Nacional de Valores de los excedentes en el flujo de caja. Estos excedentes de flujo de caja provendrán de los recursos que ingresan en forma anticipada y de la eficiencia en la recaudación y una administración de los pagos a proveedoes a 30 días de acuerdo con la ley y los reglamentos vigentes.</t>
  </si>
  <si>
    <t>Se estima mantener en inversiones de corto plazo la suma de 12,000,0000,000,00 de colones a una tasa de 5% anual en promedio y corresponden a la proporción de recursos libres.</t>
  </si>
  <si>
    <t>Este ingreso se compone de los partes que se emitan en el Cantón Central de Alajuela, por las infracciones al reglamento de parquímetros, se calcula con base en el registro que se lleva en la actividad de parquímetros y se recaudan por medio del INS durante el cobro del seguro obligatorio de automóviles, con un 85% de cobrabilidad.</t>
  </si>
  <si>
    <t>Este ingreso proviene de los atrasos en la presentación de las declaraciones de ingresos en las patentes comerciales, su aumento es correspondiente con el aumento de los ingresos por patentes, además incorpora el cobro de la multa sobre el monto anual de la patente. Su proyección se enmarca dentro de los rangos de estimación por cualquiera de los métodos estadísticos propuestos</t>
  </si>
  <si>
    <t xml:space="preserve">Este ingreso lo componen las multas en los atrasos de las obligaciones municipales con base en el artículo N° 75 del Código Municipal. Además incorpora el cobro de multas sobre las construcciones de acuerdo con los artículos 88, 89 y 90 de la Ley N° 833 de Construcciones y sus reformas. Su estimación se realiza con base en información brindada por el coordinador de acuerdo con la base de datos y el incrmento anual porcentual. El monto se enmarca dentro de los cuatro métodos estadísticos de estimación </t>
  </si>
  <si>
    <t>Este ingreso lo componen las multas en los atrasos de las obligaciones municipales  Es importante destacar que se están realizando esfuerzos significativos en la recuperación de los pendientes, así como el fortalecimiento de la unidad de cobro judicial, sin embargo su crecimiento se debe al aumento en los tributos y a que muchos de los contribuyentes prefieren cancelar sus tributos con intereses. La estimación también incluye el aumento en la recaudación de la proyección de impuestos y tasas que cobra la municipalidad. La proyección está dentro de los cuatro métodos estadísticos de estimación.</t>
  </si>
  <si>
    <t xml:space="preserve">Aporte Consejo de Seguridad Vial </t>
  </si>
  <si>
    <t>Este es un aporte que proviene vía transferencia del COSEVI por concepto del 40% de multas proveniente de la Ley N° 9078 que realicen los inspectores de tránsito municipales</t>
  </si>
  <si>
    <t>Es es una transferencia que proviene del IFAM, la cual se estimacon base en el oficio N° DAI-1148-SCF-220-2015</t>
  </si>
  <si>
    <t>2.1.1.1.00.00.0.0.000</t>
  </si>
  <si>
    <t>La estimación se realiza en forma directa con base en la proyección que realiza el responsable del acueducto.</t>
  </si>
  <si>
    <t>Este monto corresponde al aporte del Consejo Nacional de la Política Pública de la Persona Joven. Se calcula con base en una estimación propia en virtud de los aportes recibidos en años anteriores, dado que la comunicación del monto correspondiente se realiza posterior a la elaboración del presupuesto.</t>
  </si>
  <si>
    <t>Corresponde a un 25% del porcentaje destinado a CONAVI por impuesto a los combustibles, que es distribuido a cada municipalidad con base en la extensión de la red vial de cada cantón y conforme al Indice de Desarrollo Social Cantonal (IDS). Su cálculo se estima en forma personal con base en el monto establecido para el año 2015 pues no se recibió información del CONAVI</t>
  </si>
  <si>
    <t>Corresponde al impuesto de salida de $1 del aeropuerto Juan Santamaría, que por Ley transfiere el Ministerio de Hacienda a la Municipalidad para ser utilizados en los Acueductos del cantón. Su estimación se basa en el monto presupuestado para el año 2015 por parte del Gobierno Central</t>
  </si>
  <si>
    <t>2.4.1.3.01.00.0.0.000</t>
  </si>
  <si>
    <t>2,4,3,1,00,00,0,0,000</t>
  </si>
  <si>
    <t xml:space="preserve">Se realiza con base en el convenio de cooperación firmado entre la Municipalidad de Alajuela y </t>
  </si>
  <si>
    <t>TOTAL ESTIMACION INGRESOS EJERCICIO ECONOMICO 2016</t>
  </si>
  <si>
    <t>PRESUPUESTO ORDINARIO PARA EL PERIODO 2016</t>
  </si>
  <si>
    <t>JUSTIFICACION DE GASTOS</t>
  </si>
  <si>
    <r>
      <t>Los egresos de la Municipalidad de Alajuela responden</t>
    </r>
    <r>
      <rPr>
        <b/>
        <sz val="10"/>
        <rFont val="Arial"/>
        <family val="2"/>
      </rPr>
      <t xml:space="preserve"> </t>
    </r>
    <r>
      <rPr>
        <sz val="10"/>
        <rFont val="Arial"/>
        <family val="2"/>
      </rPr>
      <t>a la estructura propuesta por la Administración, que a su vez responde al Programa del Alcalde, aprobado por el Concejo Municipal y que fue formulado por la Alcaldía en el mes de marzo del 2011 y al Plan de desarrollo Municipal aprobado por el Concejo Municipal en el mes de agosto del 2012. El presupuesto general de gastos para el período 2016 asciende a la suma de ¢23.085.833.126.00, con un crecimiento del 10.60% con respecto al año 2015.</t>
    </r>
  </si>
  <si>
    <t>Los gastos por programa se distribuyen de la siguiente manera:</t>
  </si>
  <si>
    <t>DISTRIBUCION DEL GASTO POR PROGRAMAS PRESUPUESTARIOS</t>
  </si>
  <si>
    <t>PROGRAMA</t>
  </si>
  <si>
    <t>PROGRAMA I ADMINISTRACION GENERAL</t>
  </si>
  <si>
    <t xml:space="preserve">PROGRAMA II SERVICIOS </t>
  </si>
  <si>
    <t>PROGRAMA III INVERSIONES</t>
  </si>
  <si>
    <t>8.047.458.649.42</t>
  </si>
  <si>
    <t>9.629.773.700.11</t>
  </si>
  <si>
    <t>5.408.600.776.48</t>
  </si>
  <si>
    <t>23.085.833.126.00</t>
  </si>
  <si>
    <t>PORCENTAJE</t>
  </si>
  <si>
    <t>34.86%</t>
  </si>
  <si>
    <t>41.71%</t>
  </si>
  <si>
    <t>23.43%</t>
  </si>
  <si>
    <t>En este programa se incluyen los gastos atinentes a las actividades Administración General, Auditoria Interna, Administración de Inversiones Propias, Fondos y Transferencias Corrientes.</t>
  </si>
  <si>
    <t>Se incluye el contenido económico para cubrir los salarios base, anualidades, pago de dedicación exclusiva y prohibición, carrera profesional, suplencias, recargo de funciones, horas extra, servicios especiales, cargas sociales, décimo tercer mes, salario escolar y otros incentivos salariales; también se incluyen las contribuciones patronales al seguro de salud de la C.C.S.S. y al Banco Popular, al seguro de pensiones de la C.C.S.S., al régimen obligatorio de pensiones y al fondo de capitalización laboral, contribuciones patronales a otros fondos administrados por entes privados de los empleados de la Administración General y la Auditoria Interna. También se incluye el contenido para el pago de las dietas a los regidores y síndicos municipales con un incremento del 10.60% tal y como lo establece el código municipal. Se considera una previsión del 5% sobre las bases salariales para el pago de los incrementos salariales semestrales del año 2016 de acuerdo con lo establecido en el artículo N° 100 del Código Municipal y la convención colectiva vigente.</t>
  </si>
  <si>
    <t xml:space="preserve">. </t>
  </si>
  <si>
    <t xml:space="preserve">Se consideran los recursos necesarios para el pago de los servicios de energía eléctrica, correo, telecomunicaciones, información, publicidad y propaganda, impresión y encuadernación, alquileres de edificios,  y otros. Pago de comisiones y gastos por servicios financieros y comerciales, transferencias electrónicas de información, servicios médicos y de laboratorio, servicios en ciencias económicas y sociales para la realización de la auditoría externa y el proceso de implementación de las NICSP y otros servicios de gestión y apoyo, mantenimiento de edificios y locales dentro de los cuales se contempla la casa de la cultura que es patrimonio histórico. Viáticos dentro del país, seguros, actividades de capacitación, actividades protocolarias y sociales; mantenimiento de edificios y locales, mantenimiento y reparación de equipo de: transporte, comunicación, mobiliario de oficina, cómputo y sistemas de información y otros equipos, otros impuestos y deducibles. </t>
  </si>
  <si>
    <t>Compra de combustible y lubricantes, tintas, pinturas y diluyentes, materiales y productos metálicos, productos minerales y asfálticos, maderas y sus derivados, productos eléctricos, telefónicos y de cómputo, productos de vidrio, plástico y otros materiales y productos de uso en la construcción, herramientas e instrumentos, repuestos y accesorios, útiles y materiales de oficina y cómputo, productos de papel y cartón impresos, textiles y vestuarios, útiles y materiales de limpieza, de resguardo y seguridad y otros útiles materiales y suministros.</t>
  </si>
  <si>
    <t xml:space="preserve">Compra de equipo de comunicación, equipo y mobiliario de oficina, maquinaria y equipo diversos. </t>
  </si>
  <si>
    <t>Son las que se realizan a:</t>
  </si>
  <si>
    <t>Gobierno Central: Organo de Normalización Técnica del Ministerio de Hacienda.</t>
  </si>
  <si>
    <t xml:space="preserve">Organos Desconcentrados: Los aportes a la Junta Administrativa del Registro Nacional – Ley 7509 y 7729, CONAGEBIO (30% de la Ley 7788) y el Fondo de Parques Nacionales. </t>
  </si>
  <si>
    <t>Instituciones Descentralizadas no Empresariales: Aporte al IFAM – Ley 7509, Juntas de Educación – Ley 7509 y 7729 y al Consejo Nacional de Rehabilitación y Educación Especial.</t>
  </si>
  <si>
    <t xml:space="preserve">Gobiernos Locales: Al Comité Cantonal de Deportes y recreación, </t>
  </si>
  <si>
    <t>Prestaciones: Prestaciones legales, Pensiones y Jubilaciones no contributivas, Décimo Tercer mes de pensiones y jubilaciones no contributivas, cuota patronal de pensiones y jubilaciones contributivas y no contributivas.</t>
  </si>
  <si>
    <t>Otras Transferencias al Sector Privado: Indemnizaciones, reintegros y devoluciones.</t>
  </si>
  <si>
    <t>Transferencias de capital a instituciones descentralizadas no empresariales y fondos de fideicomiso para gasto de capital.</t>
  </si>
  <si>
    <t>El monto total asignado a este programa es por ¢8.047.458.649.42 que representa el 34.86% del total de los egresos, similar al del año anterior.</t>
  </si>
  <si>
    <t>PROGRAMA II SERVICIOS COMUNALES</t>
  </si>
  <si>
    <t>En este programa se incluyen los gastos para los servicios de Aseo de Vías y Sitios Públicos; Servicio de Recolección de Basura; Parques y Obras de Ornato; Acueductos; Mercado, Plazas y Ferias; Educativos, Culturales y Deportivos; Servicios Sociales Complementarios; Estacionamientos y Terminales; Alcantarillado Sanitario, Alcantarillado pluvial; Reparaciones menores de Maquinaria y Equipo; Protección del Medio Ambiente; Incumplimiento de los Deberes de los Munícipes de los Propietarios de Bienes Inmuebles y Atención de Emergencias Cantorales.</t>
  </si>
  <si>
    <t>Se incluye el contenido económico para cubrir los salarios base, anualidades, pago de dedicación exclusiva y prohibición, suplencias, recargo de funciones, horas extra, servicios especiales, cargas sociales, décimo tercer mes, salario escolar y otros incentivos salariales; también se incluyen las contribuciones patronales al seguro de salud de la C.C.S.S. y al Banco Popular, al seguro de pensiones de la C.C.S.S., al régimen obligatorio de pensiones y al fondo de capitalización laboral, contribuciones patronales a otros fondos administrados por entes privados de los empleados de los Servicios Comunales. Se considera una previsión del 5% sobre las bases salariales para el pago de los incrementos salariales semestrales del año 2016 de acuerdo con lo establecido en el artículo N° 100 del Código Municipal y la convención colectiva vigente.</t>
  </si>
  <si>
    <t>Se consideran los recursos necesarios para el pago de los servicios de energía eléctrica, correo, telecomunicaciones, información, publicidad y propaganda, impresión y encuadernación y otros. Otros servicios de gestión y apoyo para la recolección, transporte y tratamiento de basura, servicios profesionales en ingeniería, servicios generales, así como otros servicios de gestión y apoyo. Seguros, actividades de capacitación, actividades protocolarias y sociales; mantenimiento y reparación de equipo de: producción, transporte, comunicación, mobiliario de oficina, cómputo y sistemas de información y otros equipos.</t>
  </si>
  <si>
    <t>Compra de combustible y lubricantes, productos farmacéuticos y medicinas, tintas, pinturas, diluyentes y otros productos químicos, productos agroforestales; materiales y productos metálicos, productos minerales y asfálticos, maderas y sus derivados, productos eléctricos, telefónicos y de cómputo, productos de vidrio, plástico y otros materiales y productos de uso en la construcción, herramientas e instrumentos, repuestos y accesorios, útiles y materiales de oficina y cómputo, productos de papel y cartón impresos, textiles y vestuarios, útiles y materiales de limpieza, de resguardo y seguridad y otros útiles materiales y suministros.</t>
  </si>
  <si>
    <t>Pago de intereses del préstamo N°636/OC-CR-BID-AyA, que se realizó para mejoras del acueducto de este municipio; y que su reintegro se inició en setiembre del año 2001. Los pagos son trimestrales en colones al tipo de cambio del dólar.</t>
  </si>
  <si>
    <t xml:space="preserve">Se incorporan los recursos necesarios para el pago de intereses por un préstamo de ¢2.200.000.000.00 Operación N° 202-014-30658709 tramitado con el Banco Nacional de Costa Rica para la adquisición de una finca y el desarrollo del proyecto planta suprarregional de tratamiento de aguas residuales, así como los intereses de dos préstamos con el Banco Nacional de Costa Rica, uno por ¢2.667.500.000.00 Operación N° 202-3-30658712 para el proyecto cortes pluviales del este y otro por ¢226.750.000.00 para el pago de un hidrovaciador a ser utilizado en el servicio de alcantarillado pluvial operación N° 202-3-306889289. </t>
  </si>
  <si>
    <t>Compra de equipo de: producción, transporte, comunicación, equipo y mobiliario de oficina, equipo y programas de cómputo, maquinaria y equipo diversos.</t>
  </si>
  <si>
    <t>Pago de amortización del préstamo N°636/OC-CR-BID-AyA, que se realizó para mejoras del acueducto de este municipio; y que su reintegro se inició en setiembre del año 2001. Los pagos son trimestrales en colones al tipo de cambio del dólar.</t>
  </si>
  <si>
    <t>Se incorporan los recursos necesarios para el pago de amortización por un préstamo de ¢2.200.000.000.00 Operación N° 202-014-30658709 tramitado con el Banco Nacional de Costa Rica para la adquisición de una finca y el desarrollo del proyecto planta suprarregional de tratamiento de aguas residuales, así como la amortización de dos préstamos con el Banco Nacional de Costa Rica, uno por ¢2.667.500.000.00 Operación N° 202-3-30658712 para el proyecto cortes pluviales del este y otro por ¢226.750.000.00 para el pago de un hidrovaciador a ser utilizado en el servicio de alcantarillado pluvial operación N° 202-3-306889289</t>
  </si>
  <si>
    <t>Indemnizaciones, reintegros y devoluciones.</t>
  </si>
  <si>
    <t>El monto total asignado al este programa es por ¢9.629.773.700.11 que representa el 41.71% del total de los egresos.</t>
  </si>
  <si>
    <t>En este programa se incluyen los gastos para los proyectos incluidos en los grupos, Edificios, Vías de Comunicación Terrestre, Instalaciones, Otras Obras y Otros Fondos e Inversiones.</t>
  </si>
  <si>
    <t xml:space="preserve">Se incluye el contenido económico para cubrir los salarios base, anualidades, pago de dedicación exclusiva y prohibición, suplencias, recargo de funciones, horas extra, servicios especiales, cargas sociales, décimo tercer mes, salario escolar y otros incentivos salariales; también se incluyen las contribuciones patronales al seguro de salud de la C.C.S.S. y al Banco Popular, al seguro de pensiones de la C.C.S.S., al régimen obligatorio de pensiones y al fondo de capitalización laboral, contribuciones patronales a otros fondos administrados por entes privados de los empleados de la Dirección Técnica y Estudios, Unidad de Gestión Vial y Catastro Multifinalitario. </t>
  </si>
  <si>
    <t>Se considera una previsión del 5% sobre las bases salariales para el pago de los incrementos salariales semestrales del año 2016 de acuerdo con lo establecido en el artículo N° 100 del Código Municipal y la convención colectiva vigente.</t>
  </si>
  <si>
    <t>Se consideran los recursos necesarios para el pago de los servicios de alquileres: de maquinaria y equipo, mobiliario, servicios de telecomunicaciones, impresión  encuadernación y otros. Servicios profesionales en ingeniería, servicios de desarrollo de sistemas de información, servicios generales, así como otros servicios de gestión y apoyo. Seguros; mantenimiento de edificios y locales, vías de comunicación e instalación de otras obras; mantenimiento y reparación de equipo de: producción, transporte, comunicación, mobiliario de oficina, cómputo y sistemas de información y otros equipos; y otros impuestos.</t>
  </si>
  <si>
    <t>Compra de combustible y lubricantes, tintas, pinturas, diluyentes; materiales y productos metálicos; productos minerales y asfálticos, maderas y sus derivados, productos eléctricos, telefónicos y de cómputo, productos de plástico y otros materiales y productos de uso en la construcción, herramientas e instrumentos, repuestos y accesorios, útiles y materiales de oficina y cómputo, productos de papel y cartón impresos, textiles y vestuarios, útiles y materiales de limpieza, de resguardo y seguridad y otros útiles materiales y suministros.</t>
  </si>
  <si>
    <t>Compra de equipo y mobiliario de oficina, equipo y programas de cómputo, maquinaria y equipo diverso, vías de comunicación terrestre, construcción adiciones y mejoras de edificios e instalaciones para el cumplimiento de la ley N°7600  y otros.</t>
  </si>
  <si>
    <t>Se incluyen recursos para atender el recarpeteo y bacheo de la red vial cantonal. Adicionalmente se presupuestan recursos para mejoras en la red de distribución del alcantarillado pluvial y potable.</t>
  </si>
  <si>
    <t>Corresponde a prestaciones legales</t>
  </si>
  <si>
    <t>Transferencias de capital a instituciones descentralizadas no empresariales y transferencias a Asociaciones y entes privados sin fines de lucro. Definidas por el “Reglamento de de Presupuestación Pública Participativa” y regidas por el artículo N°62 del Código Municipal, definidas por los Consejos de Distrito en los 14 distritos del cantón en asambleas ampliadas.</t>
  </si>
  <si>
    <t>El monto incluido en cuentas especiales corresponde a recursos no asignados en las asambleas distritales en aplicación al Reglamento de Presupuestación Pública Participativa, asambleas que se realizarán en el año 2016 y cuyos proyectos se incluirán mediante modificación presupuestaria.</t>
  </si>
  <si>
    <t>El monto total asignado al este programa es por ¢5.408.600.776.48 que representa el 23.43% del total de los egresos.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</si>
</sst>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140A]#,##0.00"/>
    <numFmt numFmtId="179" formatCode="&quot;₡&quot;#,##0.00"/>
    <numFmt numFmtId="180" formatCode="_-* #,##0.00_-;\-* #,##0.00_-;_-* &quot;-&quot;??_-;_-@_-"/>
    <numFmt numFmtId="181" formatCode="&quot;¢&quot;#,##0.00"/>
    <numFmt numFmtId="182" formatCode="_-[$€]* #,##0.00_-;\-[$€]* #,##0.00_-;_-[$€]* &quot;-&quot;??_-;_-@_-"/>
    <numFmt numFmtId="183" formatCode="&quot;$&quot;#,##0.00"/>
    <numFmt numFmtId="184" formatCode="_-* #,##0.00\ &quot;pta&quot;_-;\-* #,##0.00\ &quot;pta&quot;_-;_-* &quot;-&quot;??\ &quot;pta&quot;_-;_-@_-"/>
    <numFmt numFmtId="185" formatCode="00000"/>
    <numFmt numFmtId="186" formatCode="_(&quot;¢&quot;* #,##0.00_);_(&quot;¢&quot;* \(#,##0.00\);_(&quot;¢&quot;* &quot;-&quot;??_);_(@_)"/>
    <numFmt numFmtId="187" formatCode="_-&quot;$&quot;* #,##0_-;\-&quot;$&quot;* #,##0_-;_-&quot;$&quot;* &quot;-&quot;_-;_-@_-"/>
    <numFmt numFmtId="188" formatCode="_-* #,##0_-;\-* #,##0_-;_-* &quot;-&quot;_-;_-@_-"/>
    <numFmt numFmtId="189" formatCode="_-&quot;$&quot;* #,##0.00_-;\-&quot;$&quot;* #,##0.00_-;_-&quot;$&quot;* &quot;-&quot;??_-;_-@_-"/>
    <numFmt numFmtId="190" formatCode="#,##0.00;[Red]#,##0.0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quot;₡&quot;#,##0.00;[Red]&quot;₡&quot;#,##0.00"/>
    <numFmt numFmtId="196" formatCode="_([$₡-140A]* #,##0.00_);_([$₡-140A]* \(#,##0.00\);_([$₡-140A]* &quot;-&quot;??_);_(@_)"/>
    <numFmt numFmtId="197" formatCode="#\-###\-######"/>
  </numFmts>
  <fonts count="85">
    <font>
      <sz val="10"/>
      <name val="Arial"/>
      <family val="0"/>
    </font>
    <font>
      <sz val="8"/>
      <name val="Arial"/>
      <family val="2"/>
    </font>
    <font>
      <b/>
      <sz val="10"/>
      <name val="Arial"/>
      <family val="2"/>
    </font>
    <font>
      <b/>
      <u val="single"/>
      <sz val="10"/>
      <name val="Arial"/>
      <family val="2"/>
    </font>
    <font>
      <b/>
      <i/>
      <sz val="10"/>
      <name val="Arial"/>
      <family val="2"/>
    </font>
    <font>
      <i/>
      <sz val="10"/>
      <name val="Arial"/>
      <family val="2"/>
    </font>
    <font>
      <sz val="10"/>
      <name val="Times New Roman"/>
      <family val="1"/>
    </font>
    <font>
      <b/>
      <sz val="7"/>
      <name val="Arial"/>
      <family val="2"/>
    </font>
    <font>
      <b/>
      <sz val="10"/>
      <name val="Times New Roman"/>
      <family val="1"/>
    </font>
    <font>
      <b/>
      <u val="single"/>
      <sz val="10"/>
      <name val="Times New Roman"/>
      <family val="1"/>
    </font>
    <font>
      <sz val="10"/>
      <color indexed="8"/>
      <name val="Arial"/>
      <family val="2"/>
    </font>
    <font>
      <b/>
      <sz val="10"/>
      <color indexed="8"/>
      <name val="Arial"/>
      <family val="2"/>
    </font>
    <font>
      <sz val="10"/>
      <color indexed="10"/>
      <name val="Arial"/>
      <family val="2"/>
    </font>
    <font>
      <b/>
      <sz val="10"/>
      <color indexed="12"/>
      <name val="Arial"/>
      <family val="2"/>
    </font>
    <font>
      <sz val="10"/>
      <color indexed="12"/>
      <name val="Arial"/>
      <family val="2"/>
    </font>
    <font>
      <sz val="10"/>
      <color indexed="48"/>
      <name val="Arial"/>
      <family val="2"/>
    </font>
    <font>
      <b/>
      <sz val="12"/>
      <name val="Arial"/>
      <family val="2"/>
    </font>
    <font>
      <b/>
      <sz val="14"/>
      <name val="Arial"/>
      <family val="2"/>
    </font>
    <font>
      <u val="single"/>
      <sz val="10"/>
      <color indexed="12"/>
      <name val="Arial"/>
      <family val="2"/>
    </font>
    <font>
      <u val="single"/>
      <sz val="10"/>
      <color indexed="36"/>
      <name val="Arial"/>
      <family val="2"/>
    </font>
    <font>
      <sz val="10"/>
      <color indexed="8"/>
      <name val="Times New Roman"/>
      <family val="1"/>
    </font>
    <font>
      <sz val="10"/>
      <color indexed="10"/>
      <name val="Times New Roman"/>
      <family val="1"/>
    </font>
    <font>
      <b/>
      <sz val="10"/>
      <color indexed="10"/>
      <name val="Times New Roman"/>
      <family val="1"/>
    </font>
    <font>
      <sz val="9"/>
      <name val="Arial"/>
      <family val="2"/>
    </font>
    <font>
      <b/>
      <sz val="9"/>
      <name val="Arial"/>
      <family val="2"/>
    </font>
    <font>
      <b/>
      <i/>
      <sz val="9"/>
      <name val="Arial"/>
      <family val="2"/>
    </font>
    <font>
      <b/>
      <sz val="8"/>
      <name val="Tahoma"/>
      <family val="2"/>
    </font>
    <font>
      <sz val="8"/>
      <name val="Tahoma"/>
      <family val="2"/>
    </font>
    <font>
      <b/>
      <sz val="16"/>
      <name val="Arial"/>
      <family val="2"/>
    </font>
    <font>
      <b/>
      <sz val="8"/>
      <name val="Arial"/>
      <family val="2"/>
    </font>
    <font>
      <b/>
      <sz val="11"/>
      <name val="Arial"/>
      <family val="2"/>
    </font>
    <font>
      <b/>
      <sz val="10"/>
      <color indexed="9"/>
      <name val="Tahoma"/>
      <family val="2"/>
    </font>
    <font>
      <b/>
      <sz val="9"/>
      <name val="Tahoma"/>
      <family val="2"/>
    </font>
    <font>
      <sz val="9"/>
      <name val="Tahoma"/>
      <family val="2"/>
    </font>
    <font>
      <sz val="12"/>
      <name val="Arial"/>
      <family val="2"/>
    </font>
    <font>
      <b/>
      <sz val="10"/>
      <name val="Arial,Bold"/>
      <family val="0"/>
    </font>
    <font>
      <sz val="11"/>
      <name val="Arial"/>
      <family val="2"/>
    </font>
    <font>
      <i/>
      <u val="single"/>
      <sz val="11"/>
      <name val="Arial"/>
      <family val="2"/>
    </font>
    <font>
      <b/>
      <i/>
      <sz val="11"/>
      <name val="Arial"/>
      <family val="2"/>
    </font>
    <font>
      <sz val="11"/>
      <name val="Calibri"/>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8"/>
      <name val="Calibri"/>
      <family val="2"/>
    </font>
    <font>
      <sz val="8"/>
      <color indexed="8"/>
      <name val="Arial"/>
      <family val="0"/>
    </font>
    <font>
      <b/>
      <sz val="8.5"/>
      <color indexed="8"/>
      <name val="Arial"/>
      <family val="0"/>
    </font>
    <font>
      <sz val="8.25"/>
      <color indexed="8"/>
      <name val="Arial"/>
      <family val="0"/>
    </font>
    <font>
      <sz val="8.75"/>
      <color indexed="8"/>
      <name val="Arial"/>
      <family val="0"/>
    </font>
    <font>
      <b/>
      <sz val="10.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1"/>
      <color rgb="FF000000"/>
      <name val="Calibri"/>
      <family val="2"/>
    </font>
    <font>
      <sz val="11"/>
      <color rgb="FF000000"/>
      <name val="Calibri"/>
      <family val="2"/>
    </font>
    <font>
      <b/>
      <sz val="14"/>
      <color rgb="FF00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
      <patternFill patternType="solid">
        <fgColor rgb="FFCCFFFF"/>
        <bgColor indexed="64"/>
      </patternFill>
    </fill>
    <fill>
      <patternFill patternType="solid">
        <fgColor indexed="45"/>
        <bgColor indexed="64"/>
      </patternFill>
    </fill>
    <fill>
      <patternFill patternType="solid">
        <fgColor rgb="FFFFFF99"/>
        <bgColor indexed="64"/>
      </patternFill>
    </fill>
    <fill>
      <patternFill patternType="solid">
        <fgColor rgb="FF99CCFF"/>
        <bgColor indexed="64"/>
      </patternFill>
    </fill>
    <fill>
      <patternFill patternType="solid">
        <fgColor rgb="FFFFCC99"/>
        <bgColor indexed="64"/>
      </patternFill>
    </fill>
    <fill>
      <patternFill patternType="solid">
        <fgColor indexed="42"/>
        <bgColor indexed="64"/>
      </patternFill>
    </fill>
    <fill>
      <patternFill patternType="solid">
        <fgColor indexed="43"/>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color indexed="63"/>
      </left>
      <right>
        <color indexed="63"/>
      </right>
      <top style="thin"/>
      <bottom style="thin"/>
    </border>
    <border>
      <left style="medium"/>
      <right style="medium"/>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thin"/>
      <top style="thin"/>
      <bottom style="thin"/>
    </border>
    <border>
      <left style="medium"/>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style="thin"/>
      <top style="medium"/>
      <bottom style="medium"/>
    </border>
    <border>
      <left>
        <color indexed="63"/>
      </left>
      <right style="thin"/>
      <top style="medium"/>
      <bottom style="medium"/>
    </border>
    <border>
      <left style="thin"/>
      <right style="thin"/>
      <top style="thin"/>
      <bottom>
        <color indexed="63"/>
      </bottom>
    </border>
    <border>
      <left style="thin"/>
      <right>
        <color indexed="63"/>
      </right>
      <top style="medium"/>
      <bottom style="thin"/>
    </border>
    <border>
      <left style="thin"/>
      <right style="thin"/>
      <top style="medium"/>
      <bottom style="thin"/>
    </border>
    <border>
      <left style="medium"/>
      <right style="thin"/>
      <top style="medium"/>
      <bottom style="thin"/>
    </border>
    <border>
      <left style="thin"/>
      <right style="medium"/>
      <top style="thin"/>
      <bottom style="medium"/>
    </border>
    <border>
      <left style="thin"/>
      <right style="thin"/>
      <top style="thin"/>
      <bottom style="medium"/>
    </border>
    <border>
      <left>
        <color indexed="63"/>
      </left>
      <right>
        <color indexed="63"/>
      </right>
      <top style="thin"/>
      <bottom style="medium"/>
    </border>
    <border>
      <left style="medium"/>
      <right>
        <color indexed="63"/>
      </right>
      <top style="thin"/>
      <bottom style="medium"/>
    </border>
    <border>
      <left style="thin"/>
      <right style="medium"/>
      <top style="thin"/>
      <bottom style="thin"/>
    </border>
    <border>
      <left style="medium"/>
      <right>
        <color indexed="63"/>
      </right>
      <top>
        <color indexed="63"/>
      </top>
      <bottom style="thin"/>
    </border>
    <border>
      <left style="thin"/>
      <right>
        <color indexed="63"/>
      </right>
      <top>
        <color indexed="63"/>
      </top>
      <bottom style="thin"/>
    </border>
    <border>
      <left style="medium"/>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1" fillId="29" borderId="1" applyNumberFormat="0" applyAlignment="0" applyProtection="0"/>
    <xf numFmtId="18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7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4" fillId="0" borderId="0" applyFont="0" applyFill="0" applyBorder="0" applyAlignment="0" applyProtection="0"/>
    <xf numFmtId="0" fontId="73"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4" fillId="21" borderId="5"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70" fillId="0" borderId="8" applyNumberFormat="0" applyFill="0" applyAlignment="0" applyProtection="0"/>
    <xf numFmtId="0" fontId="80" fillId="0" borderId="9" applyNumberFormat="0" applyFill="0" applyAlignment="0" applyProtection="0"/>
  </cellStyleXfs>
  <cellXfs count="686">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2" fillId="33" borderId="10" xfId="0" applyFont="1" applyFill="1" applyBorder="1" applyAlignment="1">
      <alignment/>
    </xf>
    <xf numFmtId="0" fontId="3" fillId="33" borderId="0" xfId="0" applyFont="1" applyFill="1" applyBorder="1" applyAlignment="1">
      <alignment/>
    </xf>
    <xf numFmtId="0" fontId="2" fillId="33" borderId="0" xfId="0" applyFont="1" applyFill="1" applyBorder="1" applyAlignment="1">
      <alignment/>
    </xf>
    <xf numFmtId="178" fontId="2" fillId="33" borderId="0" xfId="0" applyNumberFormat="1" applyFont="1" applyFill="1" applyBorder="1" applyAlignment="1">
      <alignment/>
    </xf>
    <xf numFmtId="4" fontId="2" fillId="33" borderId="12" xfId="0" applyNumberFormat="1" applyFont="1" applyFill="1" applyBorder="1" applyAlignment="1">
      <alignment/>
    </xf>
    <xf numFmtId="0" fontId="2" fillId="0" borderId="10" xfId="0" applyFont="1" applyBorder="1" applyAlignment="1">
      <alignment/>
    </xf>
    <xf numFmtId="0" fontId="2" fillId="0" borderId="0" xfId="0" applyFont="1" applyBorder="1" applyAlignment="1">
      <alignment wrapText="1"/>
    </xf>
    <xf numFmtId="178" fontId="2" fillId="0" borderId="0" xfId="0" applyNumberFormat="1" applyFont="1" applyBorder="1" applyAlignment="1">
      <alignment/>
    </xf>
    <xf numFmtId="0" fontId="2" fillId="0" borderId="0" xfId="0" applyFont="1" applyBorder="1" applyAlignment="1">
      <alignment/>
    </xf>
    <xf numFmtId="4" fontId="2" fillId="0" borderId="12" xfId="0" applyNumberFormat="1" applyFont="1" applyBorder="1" applyAlignment="1">
      <alignment/>
    </xf>
    <xf numFmtId="0" fontId="4" fillId="0" borderId="10" xfId="0" applyFont="1" applyBorder="1" applyAlignment="1">
      <alignment/>
    </xf>
    <xf numFmtId="0" fontId="5" fillId="0" borderId="0" xfId="0" applyFont="1" applyBorder="1" applyAlignment="1">
      <alignment/>
    </xf>
    <xf numFmtId="178" fontId="5" fillId="0" borderId="0" xfId="0" applyNumberFormat="1" applyFont="1" applyBorder="1" applyAlignment="1">
      <alignment/>
    </xf>
    <xf numFmtId="4" fontId="5" fillId="0" borderId="12" xfId="0" applyNumberFormat="1" applyFont="1" applyBorder="1" applyAlignment="1">
      <alignment/>
    </xf>
    <xf numFmtId="179" fontId="2" fillId="0" borderId="0" xfId="0" applyNumberFormat="1" applyFont="1" applyBorder="1" applyAlignment="1">
      <alignment/>
    </xf>
    <xf numFmtId="0" fontId="0" fillId="0" borderId="0" xfId="0" applyBorder="1" applyAlignment="1">
      <alignment wrapText="1"/>
    </xf>
    <xf numFmtId="178" fontId="0" fillId="0" borderId="0" xfId="0" applyNumberFormat="1" applyBorder="1" applyAlignment="1">
      <alignment/>
    </xf>
    <xf numFmtId="4" fontId="0" fillId="0" borderId="12" xfId="0" applyNumberFormat="1" applyBorder="1" applyAlignment="1">
      <alignment/>
    </xf>
    <xf numFmtId="0" fontId="5" fillId="0" borderId="0" xfId="0" applyFont="1" applyFill="1" applyBorder="1" applyAlignment="1">
      <alignment/>
    </xf>
    <xf numFmtId="0" fontId="0" fillId="0" borderId="0" xfId="0" applyFont="1" applyBorder="1" applyAlignment="1">
      <alignment/>
    </xf>
    <xf numFmtId="179" fontId="0" fillId="0" borderId="0" xfId="0" applyNumberFormat="1" applyFont="1" applyBorder="1" applyAlignment="1">
      <alignment/>
    </xf>
    <xf numFmtId="4" fontId="0" fillId="0" borderId="12" xfId="0" applyNumberFormat="1" applyFont="1" applyBorder="1" applyAlignment="1">
      <alignment/>
    </xf>
    <xf numFmtId="178" fontId="0" fillId="0" borderId="0" xfId="0" applyNumberFormat="1" applyFont="1" applyBorder="1" applyAlignment="1">
      <alignment/>
    </xf>
    <xf numFmtId="0" fontId="5" fillId="0" borderId="10" xfId="0" applyFont="1" applyBorder="1" applyAlignment="1">
      <alignment/>
    </xf>
    <xf numFmtId="0" fontId="0" fillId="0" borderId="0" xfId="0" applyFill="1" applyBorder="1" applyAlignment="1">
      <alignment/>
    </xf>
    <xf numFmtId="0" fontId="2" fillId="0" borderId="0" xfId="0" applyFont="1"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33" borderId="16" xfId="0" applyFont="1" applyFill="1" applyBorder="1" applyAlignment="1">
      <alignment horizontal="center"/>
    </xf>
    <xf numFmtId="0" fontId="2" fillId="33" borderId="17" xfId="0" applyFont="1" applyFill="1" applyBorder="1" applyAlignment="1">
      <alignment horizontal="center"/>
    </xf>
    <xf numFmtId="0" fontId="2" fillId="33" borderId="18" xfId="0" applyFont="1" applyFill="1" applyBorder="1" applyAlignment="1">
      <alignment horizontal="center"/>
    </xf>
    <xf numFmtId="0" fontId="0" fillId="0" borderId="0" xfId="0" applyFont="1" applyBorder="1" applyAlignment="1">
      <alignment wrapText="1"/>
    </xf>
    <xf numFmtId="0" fontId="2" fillId="33" borderId="0" xfId="0" applyFont="1" applyFill="1" applyBorder="1" applyAlignment="1">
      <alignment wrapText="1"/>
    </xf>
    <xf numFmtId="0" fontId="0" fillId="33" borderId="0" xfId="0" applyFill="1" applyBorder="1" applyAlignment="1">
      <alignment/>
    </xf>
    <xf numFmtId="178" fontId="0" fillId="33" borderId="0" xfId="0" applyNumberFormat="1" applyFill="1" applyBorder="1" applyAlignment="1">
      <alignment/>
    </xf>
    <xf numFmtId="4" fontId="2" fillId="0" borderId="0" xfId="0" applyNumberFormat="1" applyFont="1" applyBorder="1" applyAlignment="1">
      <alignment/>
    </xf>
    <xf numFmtId="0" fontId="5" fillId="0" borderId="0" xfId="0" applyFont="1" applyBorder="1" applyAlignment="1">
      <alignment wrapText="1"/>
    </xf>
    <xf numFmtId="4" fontId="5" fillId="0" borderId="0" xfId="0" applyNumberFormat="1" applyFont="1" applyBorder="1" applyAlignment="1">
      <alignment vertical="top"/>
    </xf>
    <xf numFmtId="0" fontId="5" fillId="0" borderId="0" xfId="0" applyFont="1" applyBorder="1" applyAlignment="1">
      <alignment vertical="top"/>
    </xf>
    <xf numFmtId="4" fontId="5" fillId="0" borderId="12" xfId="0" applyNumberFormat="1" applyFont="1" applyBorder="1" applyAlignment="1">
      <alignment vertical="top"/>
    </xf>
    <xf numFmtId="4" fontId="2" fillId="33" borderId="19" xfId="0" applyNumberFormat="1" applyFont="1" applyFill="1" applyBorder="1" applyAlignment="1">
      <alignment/>
    </xf>
    <xf numFmtId="0" fontId="2" fillId="33" borderId="20" xfId="0" applyFont="1" applyFill="1" applyBorder="1" applyAlignment="1">
      <alignment/>
    </xf>
    <xf numFmtId="0" fontId="2" fillId="33" borderId="21" xfId="0" applyFont="1" applyFill="1" applyBorder="1" applyAlignment="1">
      <alignment horizontal="center"/>
    </xf>
    <xf numFmtId="0" fontId="0" fillId="33" borderId="21" xfId="0" applyFill="1" applyBorder="1" applyAlignment="1">
      <alignment horizontal="center"/>
    </xf>
    <xf numFmtId="0" fontId="2" fillId="33" borderId="22" xfId="0" applyFont="1" applyFill="1" applyBorder="1" applyAlignment="1">
      <alignment horizontal="center"/>
    </xf>
    <xf numFmtId="0" fontId="0" fillId="0" borderId="0" xfId="0" applyBorder="1" applyAlignment="1">
      <alignment/>
    </xf>
    <xf numFmtId="0" fontId="2" fillId="0" borderId="0" xfId="0" applyFont="1" applyBorder="1" applyAlignment="1">
      <alignment/>
    </xf>
    <xf numFmtId="4" fontId="2" fillId="0" borderId="0" xfId="0" applyNumberFormat="1" applyFont="1" applyBorder="1" applyAlignment="1">
      <alignment/>
    </xf>
    <xf numFmtId="4" fontId="0" fillId="0" borderId="0" xfId="0" applyNumberFormat="1" applyBorder="1" applyAlignment="1">
      <alignment/>
    </xf>
    <xf numFmtId="4" fontId="0" fillId="0" borderId="0" xfId="0" applyNumberFormat="1" applyFont="1" applyBorder="1" applyAlignment="1">
      <alignment/>
    </xf>
    <xf numFmtId="0" fontId="0" fillId="0" borderId="10" xfId="0" applyFont="1" applyBorder="1" applyAlignment="1">
      <alignment/>
    </xf>
    <xf numFmtId="0" fontId="2" fillId="0" borderId="23" xfId="0" applyFont="1" applyBorder="1" applyAlignment="1">
      <alignment/>
    </xf>
    <xf numFmtId="0" fontId="7" fillId="0" borderId="0" xfId="0" applyFont="1" applyBorder="1" applyAlignment="1">
      <alignment horizontal="center" wrapText="1"/>
    </xf>
    <xf numFmtId="4" fontId="2" fillId="0" borderId="12" xfId="0" applyNumberFormat="1" applyFont="1" applyBorder="1" applyAlignment="1">
      <alignment/>
    </xf>
    <xf numFmtId="4" fontId="0" fillId="0" borderId="12" xfId="0" applyNumberFormat="1" applyBorder="1" applyAlignment="1">
      <alignment/>
    </xf>
    <xf numFmtId="4" fontId="0" fillId="0" borderId="12" xfId="0" applyNumberFormat="1" applyFont="1" applyBorder="1" applyAlignment="1">
      <alignment/>
    </xf>
    <xf numFmtId="4" fontId="2" fillId="0" borderId="19" xfId="0" applyNumberFormat="1" applyFont="1" applyBorder="1" applyAlignment="1">
      <alignment/>
    </xf>
    <xf numFmtId="0" fontId="2" fillId="0" borderId="13" xfId="0" applyFont="1" applyBorder="1" applyAlignment="1">
      <alignment/>
    </xf>
    <xf numFmtId="0" fontId="7" fillId="0" borderId="14" xfId="0" applyFont="1" applyBorder="1" applyAlignment="1">
      <alignment horizontal="center" wrapText="1"/>
    </xf>
    <xf numFmtId="0" fontId="7" fillId="0" borderId="15" xfId="0" applyFont="1" applyBorder="1" applyAlignment="1">
      <alignment horizontal="center" wrapText="1"/>
    </xf>
    <xf numFmtId="0" fontId="8" fillId="0" borderId="0" xfId="0" applyFont="1" applyFill="1" applyBorder="1" applyAlignment="1">
      <alignment horizontal="center"/>
    </xf>
    <xf numFmtId="0" fontId="6" fillId="0" borderId="0" xfId="0" applyFont="1" applyFill="1" applyAlignment="1">
      <alignment/>
    </xf>
    <xf numFmtId="0" fontId="8" fillId="0" borderId="10" xfId="0" applyFont="1" applyFill="1" applyBorder="1" applyAlignment="1">
      <alignment horizontal="center"/>
    </xf>
    <xf numFmtId="0" fontId="8" fillId="0" borderId="12" xfId="0" applyFont="1" applyFill="1" applyBorder="1" applyAlignment="1">
      <alignment horizontal="center"/>
    </xf>
    <xf numFmtId="0" fontId="8" fillId="0" borderId="10" xfId="0" applyFont="1" applyFill="1" applyBorder="1" applyAlignment="1">
      <alignment/>
    </xf>
    <xf numFmtId="0" fontId="8" fillId="0" borderId="0" xfId="0" applyFont="1" applyFill="1" applyBorder="1" applyAlignment="1">
      <alignment/>
    </xf>
    <xf numFmtId="0" fontId="6" fillId="0" borderId="0" xfId="0" applyFont="1" applyFill="1" applyBorder="1" applyAlignment="1">
      <alignment/>
    </xf>
    <xf numFmtId="0" fontId="8" fillId="0" borderId="12" xfId="0" applyFont="1" applyFill="1" applyBorder="1" applyAlignment="1">
      <alignment/>
    </xf>
    <xf numFmtId="0" fontId="8" fillId="0" borderId="24" xfId="0" applyFont="1" applyFill="1" applyBorder="1" applyAlignment="1">
      <alignment horizontal="center"/>
    </xf>
    <xf numFmtId="0" fontId="8" fillId="0" borderId="25" xfId="0" applyFont="1" applyFill="1" applyBorder="1" applyAlignment="1">
      <alignment horizontal="center"/>
    </xf>
    <xf numFmtId="0" fontId="8" fillId="0" borderId="26" xfId="0" applyFont="1" applyFill="1" applyBorder="1" applyAlignment="1">
      <alignment horizontal="center"/>
    </xf>
    <xf numFmtId="0" fontId="6" fillId="0" borderId="26" xfId="0" applyFont="1" applyFill="1" applyBorder="1" applyAlignment="1">
      <alignment/>
    </xf>
    <xf numFmtId="0" fontId="8" fillId="0" borderId="27" xfId="0" applyFont="1" applyFill="1" applyBorder="1" applyAlignment="1">
      <alignment horizontal="center"/>
    </xf>
    <xf numFmtId="178" fontId="8" fillId="0" borderId="12" xfId="0" applyNumberFormat="1" applyFont="1" applyFill="1" applyBorder="1" applyAlignment="1">
      <alignment/>
    </xf>
    <xf numFmtId="178" fontId="6" fillId="0" borderId="0" xfId="0" applyNumberFormat="1" applyFont="1" applyFill="1" applyAlignment="1">
      <alignment/>
    </xf>
    <xf numFmtId="178" fontId="8" fillId="0" borderId="0" xfId="0" applyNumberFormat="1" applyFont="1" applyFill="1" applyBorder="1" applyAlignment="1">
      <alignment/>
    </xf>
    <xf numFmtId="178" fontId="8" fillId="0" borderId="0" xfId="0" applyNumberFormat="1" applyFont="1" applyFill="1" applyAlignment="1">
      <alignment/>
    </xf>
    <xf numFmtId="0" fontId="8" fillId="0" borderId="0" xfId="0" applyFont="1" applyFill="1" applyAlignment="1">
      <alignment/>
    </xf>
    <xf numFmtId="178" fontId="6" fillId="0" borderId="0" xfId="0" applyNumberFormat="1" applyFont="1" applyFill="1" applyBorder="1" applyAlignment="1">
      <alignment/>
    </xf>
    <xf numFmtId="4" fontId="6" fillId="0" borderId="0" xfId="0" applyNumberFormat="1" applyFont="1" applyFill="1" applyAlignment="1">
      <alignment/>
    </xf>
    <xf numFmtId="4" fontId="8" fillId="0" borderId="0" xfId="0" applyNumberFormat="1" applyFont="1" applyFill="1" applyAlignment="1">
      <alignment/>
    </xf>
    <xf numFmtId="181" fontId="6" fillId="0" borderId="0" xfId="0" applyNumberFormat="1" applyFont="1" applyFill="1" applyAlignment="1">
      <alignment/>
    </xf>
    <xf numFmtId="0" fontId="8" fillId="0" borderId="0" xfId="0" applyFont="1" applyFill="1" applyBorder="1" applyAlignment="1">
      <alignment wrapText="1"/>
    </xf>
    <xf numFmtId="0" fontId="6" fillId="0" borderId="0" xfId="0" applyFont="1" applyFill="1" applyBorder="1" applyAlignment="1">
      <alignment wrapText="1"/>
    </xf>
    <xf numFmtId="0" fontId="8" fillId="0" borderId="0" xfId="0" applyFont="1" applyBorder="1" applyAlignment="1" applyProtection="1">
      <alignment horizontal="justify" vertical="top" wrapText="1"/>
      <protection/>
    </xf>
    <xf numFmtId="0" fontId="6" fillId="0" borderId="0" xfId="0" applyFont="1" applyBorder="1" applyAlignment="1" applyProtection="1">
      <alignment horizontal="justify" vertical="top" wrapText="1"/>
      <protection/>
    </xf>
    <xf numFmtId="43" fontId="6" fillId="0" borderId="0" xfId="0" applyNumberFormat="1" applyFont="1" applyFill="1" applyAlignment="1">
      <alignment/>
    </xf>
    <xf numFmtId="0" fontId="6" fillId="0" borderId="28" xfId="0" applyFont="1" applyBorder="1" applyAlignment="1" applyProtection="1">
      <alignment horizontal="justify" vertical="top" wrapText="1"/>
      <protection/>
    </xf>
    <xf numFmtId="178" fontId="6" fillId="0" borderId="28" xfId="0" applyNumberFormat="1" applyFont="1" applyFill="1" applyBorder="1" applyAlignment="1">
      <alignment/>
    </xf>
    <xf numFmtId="178" fontId="8" fillId="0" borderId="19" xfId="0" applyNumberFormat="1" applyFont="1" applyFill="1" applyBorder="1" applyAlignment="1">
      <alignment/>
    </xf>
    <xf numFmtId="0" fontId="6" fillId="0" borderId="0" xfId="0" applyFont="1" applyBorder="1" applyAlignment="1">
      <alignment horizontal="justify" vertical="top" wrapText="1"/>
    </xf>
    <xf numFmtId="0" fontId="6" fillId="0" borderId="0" xfId="0" applyFont="1" applyBorder="1" applyAlignment="1">
      <alignment/>
    </xf>
    <xf numFmtId="0" fontId="8" fillId="0" borderId="0" xfId="0" applyFont="1" applyBorder="1" applyAlignment="1">
      <alignment/>
    </xf>
    <xf numFmtId="0" fontId="6" fillId="0" borderId="28" xfId="0" applyFont="1" applyBorder="1" applyAlignment="1">
      <alignment/>
    </xf>
    <xf numFmtId="0" fontId="8" fillId="0" borderId="0" xfId="0" applyFont="1" applyBorder="1" applyAlignment="1">
      <alignment wrapText="1"/>
    </xf>
    <xf numFmtId="0" fontId="6" fillId="0" borderId="0" xfId="0" applyFont="1" applyBorder="1" applyAlignment="1">
      <alignment wrapText="1"/>
    </xf>
    <xf numFmtId="0" fontId="2" fillId="0" borderId="14" xfId="0" applyFont="1" applyFill="1" applyBorder="1" applyAlignment="1">
      <alignment horizontal="center"/>
    </xf>
    <xf numFmtId="4" fontId="0" fillId="0" borderId="0" xfId="0" applyNumberFormat="1" applyFill="1" applyAlignment="1">
      <alignment/>
    </xf>
    <xf numFmtId="0" fontId="0" fillId="0" borderId="0" xfId="0" applyFill="1" applyAlignment="1">
      <alignment/>
    </xf>
    <xf numFmtId="0" fontId="2" fillId="0" borderId="10" xfId="0" applyFont="1" applyFill="1" applyBorder="1" applyAlignment="1">
      <alignment horizontal="center"/>
    </xf>
    <xf numFmtId="0" fontId="2" fillId="0" borderId="0" xfId="0" applyFont="1" applyFill="1" applyBorder="1" applyAlignment="1">
      <alignment horizontal="center"/>
    </xf>
    <xf numFmtId="0" fontId="0" fillId="0" borderId="23" xfId="0" applyFill="1" applyBorder="1" applyAlignment="1">
      <alignment/>
    </xf>
    <xf numFmtId="0" fontId="0" fillId="0" borderId="28" xfId="0" applyFill="1" applyBorder="1" applyAlignment="1">
      <alignment/>
    </xf>
    <xf numFmtId="0" fontId="0" fillId="0" borderId="28" xfId="0" applyFill="1" applyBorder="1" applyAlignment="1">
      <alignment/>
    </xf>
    <xf numFmtId="0" fontId="0" fillId="0" borderId="28" xfId="0" applyFill="1" applyBorder="1" applyAlignment="1">
      <alignment horizontal="left"/>
    </xf>
    <xf numFmtId="0" fontId="2" fillId="0" borderId="20" xfId="0" applyFont="1" applyFill="1" applyBorder="1" applyAlignment="1">
      <alignment horizontal="center"/>
    </xf>
    <xf numFmtId="0" fontId="2" fillId="0" borderId="10" xfId="0" applyFont="1" applyFill="1" applyBorder="1" applyAlignment="1">
      <alignment/>
    </xf>
    <xf numFmtId="0" fontId="0" fillId="0" borderId="0" xfId="0" applyFill="1" applyBorder="1" applyAlignment="1">
      <alignment/>
    </xf>
    <xf numFmtId="0" fontId="2" fillId="0" borderId="0" xfId="0" applyFont="1" applyFill="1" applyBorder="1" applyAlignment="1">
      <alignment horizontal="left"/>
    </xf>
    <xf numFmtId="178" fontId="0" fillId="0" borderId="0" xfId="0" applyNumberFormat="1" applyFill="1" applyBorder="1" applyAlignment="1">
      <alignment/>
    </xf>
    <xf numFmtId="43" fontId="0" fillId="0" borderId="0" xfId="0" applyNumberFormat="1" applyFill="1" applyAlignment="1">
      <alignment/>
    </xf>
    <xf numFmtId="0" fontId="2" fillId="0" borderId="0" xfId="0" applyFont="1" applyBorder="1" applyAlignment="1">
      <alignment horizontal="left"/>
    </xf>
    <xf numFmtId="0" fontId="0" fillId="0" borderId="10" xfId="0" applyFill="1" applyBorder="1" applyAlignment="1">
      <alignment/>
    </xf>
    <xf numFmtId="4" fontId="10" fillId="34" borderId="0" xfId="0" applyNumberFormat="1" applyFont="1" applyFill="1" applyBorder="1" applyAlignment="1">
      <alignment/>
    </xf>
    <xf numFmtId="0" fontId="10" fillId="34" borderId="0" xfId="0" applyFont="1" applyFill="1" applyBorder="1" applyAlignment="1">
      <alignment/>
    </xf>
    <xf numFmtId="0" fontId="2" fillId="0" borderId="20" xfId="0" applyFont="1" applyFill="1" applyBorder="1" applyAlignment="1">
      <alignment/>
    </xf>
    <xf numFmtId="178" fontId="2" fillId="0" borderId="21" xfId="0" applyNumberFormat="1" applyFont="1" applyFill="1" applyBorder="1" applyAlignment="1">
      <alignment/>
    </xf>
    <xf numFmtId="0" fontId="2" fillId="0" borderId="21" xfId="0" applyFont="1" applyFill="1" applyBorder="1" applyAlignment="1">
      <alignment horizontal="center"/>
    </xf>
    <xf numFmtId="0" fontId="2" fillId="0" borderId="21" xfId="0" applyFont="1" applyFill="1" applyBorder="1" applyAlignment="1">
      <alignment horizontal="left"/>
    </xf>
    <xf numFmtId="4" fontId="2" fillId="0" borderId="0" xfId="0" applyNumberFormat="1" applyFont="1" applyFill="1" applyAlignment="1">
      <alignment/>
    </xf>
    <xf numFmtId="0" fontId="2" fillId="0" borderId="0" xfId="0" applyFont="1" applyFill="1" applyAlignment="1">
      <alignment/>
    </xf>
    <xf numFmtId="0" fontId="0" fillId="0" borderId="0" xfId="0" applyFill="1" applyAlignment="1">
      <alignment/>
    </xf>
    <xf numFmtId="0" fontId="12" fillId="0" borderId="10" xfId="0" applyFont="1" applyFill="1" applyBorder="1" applyAlignment="1">
      <alignment/>
    </xf>
    <xf numFmtId="178" fontId="12" fillId="0" borderId="0" xfId="0" applyNumberFormat="1" applyFont="1" applyFill="1" applyBorder="1" applyAlignment="1">
      <alignment/>
    </xf>
    <xf numFmtId="4" fontId="0" fillId="35" borderId="12" xfId="0" applyNumberFormat="1" applyFont="1" applyFill="1" applyBorder="1" applyAlignment="1">
      <alignment/>
    </xf>
    <xf numFmtId="0" fontId="13" fillId="0" borderId="0" xfId="0" applyFont="1" applyFill="1" applyBorder="1" applyAlignment="1">
      <alignment horizontal="center"/>
    </xf>
    <xf numFmtId="178" fontId="2" fillId="35" borderId="22" xfId="0" applyNumberFormat="1" applyFont="1" applyFill="1" applyBorder="1" applyAlignment="1">
      <alignment/>
    </xf>
    <xf numFmtId="0" fontId="2" fillId="33" borderId="10" xfId="0" applyFont="1" applyFill="1" applyBorder="1" applyAlignment="1">
      <alignment horizontal="center"/>
    </xf>
    <xf numFmtId="0" fontId="2" fillId="33" borderId="0" xfId="0" applyFont="1" applyFill="1" applyBorder="1" applyAlignment="1">
      <alignment horizontal="center"/>
    </xf>
    <xf numFmtId="0" fontId="2" fillId="33" borderId="0" xfId="0" applyFont="1" applyFill="1" applyBorder="1" applyAlignment="1">
      <alignment horizontal="left"/>
    </xf>
    <xf numFmtId="4" fontId="0" fillId="33" borderId="12" xfId="0" applyNumberFormat="1" applyFill="1" applyBorder="1" applyAlignment="1">
      <alignment/>
    </xf>
    <xf numFmtId="4" fontId="0" fillId="34" borderId="0" xfId="0" applyNumberFormat="1" applyFill="1" applyAlignment="1">
      <alignment/>
    </xf>
    <xf numFmtId="0" fontId="0" fillId="34" borderId="0" xfId="0" applyFill="1" applyAlignment="1">
      <alignment/>
    </xf>
    <xf numFmtId="4" fontId="0" fillId="33" borderId="12" xfId="0" applyNumberFormat="1" applyFont="1" applyFill="1" applyBorder="1" applyAlignment="1">
      <alignment/>
    </xf>
    <xf numFmtId="0" fontId="2" fillId="33" borderId="20" xfId="0" applyFont="1" applyFill="1" applyBorder="1" applyAlignment="1">
      <alignment/>
    </xf>
    <xf numFmtId="178" fontId="2" fillId="33" borderId="21" xfId="0" applyNumberFormat="1" applyFont="1" applyFill="1" applyBorder="1" applyAlignment="1">
      <alignment/>
    </xf>
    <xf numFmtId="0" fontId="2" fillId="33" borderId="21" xfId="0" applyFont="1" applyFill="1" applyBorder="1" applyAlignment="1">
      <alignment horizontal="left"/>
    </xf>
    <xf numFmtId="178" fontId="2" fillId="33" borderId="22" xfId="0" applyNumberFormat="1" applyFont="1" applyFill="1" applyBorder="1" applyAlignment="1">
      <alignment/>
    </xf>
    <xf numFmtId="4" fontId="2" fillId="34" borderId="0" xfId="0" applyNumberFormat="1" applyFont="1" applyFill="1" applyAlignment="1">
      <alignment/>
    </xf>
    <xf numFmtId="0" fontId="2" fillId="34" borderId="0" xfId="0" applyFont="1" applyFill="1" applyAlignment="1">
      <alignment/>
    </xf>
    <xf numFmtId="0" fontId="2" fillId="0" borderId="10" xfId="0" applyFont="1" applyFill="1" applyBorder="1" applyAlignment="1">
      <alignment horizontal="justify" vertical="top" wrapText="1"/>
    </xf>
    <xf numFmtId="0" fontId="0" fillId="0" borderId="0" xfId="0" applyFill="1" applyBorder="1" applyAlignment="1">
      <alignment horizontal="justify" vertical="top" wrapText="1"/>
    </xf>
    <xf numFmtId="4" fontId="0" fillId="35" borderId="12" xfId="0" applyNumberFormat="1" applyFill="1" applyBorder="1" applyAlignment="1">
      <alignment/>
    </xf>
    <xf numFmtId="178" fontId="2" fillId="0" borderId="0" xfId="0" applyNumberFormat="1" applyFont="1" applyFill="1" applyBorder="1" applyAlignment="1">
      <alignment/>
    </xf>
    <xf numFmtId="0" fontId="2" fillId="33" borderId="10" xfId="0" applyFont="1" applyFill="1" applyBorder="1" applyAlignment="1">
      <alignment horizontal="justify" vertical="top" wrapText="1"/>
    </xf>
    <xf numFmtId="0" fontId="13" fillId="33" borderId="0" xfId="0" applyFont="1" applyFill="1" applyBorder="1" applyAlignment="1">
      <alignment horizontal="center"/>
    </xf>
    <xf numFmtId="0" fontId="2" fillId="33" borderId="0" xfId="0" applyFont="1" applyFill="1" applyBorder="1" applyAlignment="1">
      <alignment horizontal="left" wrapText="1"/>
    </xf>
    <xf numFmtId="0" fontId="2" fillId="33" borderId="10" xfId="0" applyFont="1" applyFill="1" applyBorder="1" applyAlignment="1">
      <alignment horizontal="left"/>
    </xf>
    <xf numFmtId="0" fontId="0" fillId="33" borderId="10" xfId="0" applyFill="1" applyBorder="1" applyAlignment="1">
      <alignment/>
    </xf>
    <xf numFmtId="0" fontId="0" fillId="33" borderId="0" xfId="0" applyFill="1" applyBorder="1" applyAlignment="1">
      <alignment horizontal="justify" vertical="top" wrapText="1"/>
    </xf>
    <xf numFmtId="0" fontId="2" fillId="33" borderId="21" xfId="0" applyFont="1" applyFill="1" applyBorder="1" applyAlignment="1">
      <alignment/>
    </xf>
    <xf numFmtId="0" fontId="2" fillId="0" borderId="0" xfId="0" applyFont="1" applyFill="1" applyBorder="1" applyAlignment="1">
      <alignment horizontal="justify" vertical="top" wrapText="1"/>
    </xf>
    <xf numFmtId="0" fontId="2" fillId="0" borderId="21" xfId="0" applyFont="1" applyFill="1" applyBorder="1" applyAlignment="1">
      <alignment/>
    </xf>
    <xf numFmtId="0" fontId="2" fillId="0" borderId="0" xfId="0" applyFont="1" applyFill="1" applyBorder="1" applyAlignment="1">
      <alignment horizontal="center" wrapText="1"/>
    </xf>
    <xf numFmtId="0" fontId="2" fillId="0" borderId="0" xfId="0" applyFont="1" applyFill="1" applyBorder="1" applyAlignment="1">
      <alignment/>
    </xf>
    <xf numFmtId="4" fontId="14" fillId="35" borderId="12" xfId="0" applyNumberFormat="1" applyFont="1" applyFill="1" applyBorder="1" applyAlignment="1">
      <alignment/>
    </xf>
    <xf numFmtId="0" fontId="2" fillId="0" borderId="10" xfId="0" applyFont="1" applyFill="1" applyBorder="1" applyAlignment="1">
      <alignment horizontal="left"/>
    </xf>
    <xf numFmtId="0" fontId="13" fillId="0" borderId="0" xfId="0" applyFont="1" applyFill="1" applyBorder="1" applyAlignment="1">
      <alignment horizontal="left"/>
    </xf>
    <xf numFmtId="4" fontId="14" fillId="33" borderId="12" xfId="0" applyNumberFormat="1" applyFont="1" applyFill="1" applyBorder="1" applyAlignment="1">
      <alignment/>
    </xf>
    <xf numFmtId="0" fontId="2" fillId="33" borderId="0" xfId="0" applyFont="1" applyFill="1" applyBorder="1" applyAlignment="1">
      <alignment horizontal="justify" vertical="top" wrapText="1"/>
    </xf>
    <xf numFmtId="0" fontId="13" fillId="33" borderId="0" xfId="0" applyFont="1" applyFill="1" applyBorder="1" applyAlignment="1">
      <alignment horizontal="left"/>
    </xf>
    <xf numFmtId="4" fontId="2" fillId="33" borderId="12" xfId="0" applyNumberFormat="1" applyFont="1" applyFill="1" applyBorder="1" applyAlignment="1">
      <alignment horizontal="center"/>
    </xf>
    <xf numFmtId="0" fontId="0" fillId="0" borderId="0" xfId="0" applyFill="1" applyBorder="1" applyAlignment="1">
      <alignment horizontal="left"/>
    </xf>
    <xf numFmtId="0" fontId="2" fillId="0" borderId="13" xfId="0" applyFont="1" applyFill="1" applyBorder="1" applyAlignment="1">
      <alignment horizontal="justify" vertical="top" wrapText="1"/>
    </xf>
    <xf numFmtId="0" fontId="2" fillId="0" borderId="14" xfId="0" applyFont="1" applyFill="1" applyBorder="1" applyAlignment="1">
      <alignment horizontal="justify" vertical="top" wrapText="1"/>
    </xf>
    <xf numFmtId="0" fontId="0" fillId="0" borderId="14" xfId="0" applyFill="1" applyBorder="1" applyAlignment="1">
      <alignment horizontal="justify" vertical="top" wrapText="1"/>
    </xf>
    <xf numFmtId="0" fontId="2" fillId="0" borderId="14" xfId="0" applyFont="1" applyFill="1" applyBorder="1" applyAlignment="1">
      <alignment horizontal="left"/>
    </xf>
    <xf numFmtId="4" fontId="0" fillId="35" borderId="15" xfId="0" applyNumberFormat="1" applyFill="1" applyBorder="1" applyAlignment="1">
      <alignment/>
    </xf>
    <xf numFmtId="0" fontId="2" fillId="0" borderId="23" xfId="0" applyFont="1" applyFill="1" applyBorder="1" applyAlignment="1">
      <alignment horizontal="center"/>
    </xf>
    <xf numFmtId="0" fontId="2" fillId="0" borderId="28" xfId="0" applyFont="1" applyFill="1" applyBorder="1" applyAlignment="1">
      <alignment horizontal="center"/>
    </xf>
    <xf numFmtId="178" fontId="0" fillId="0" borderId="28" xfId="0" applyNumberFormat="1" applyFill="1" applyBorder="1" applyAlignment="1">
      <alignment/>
    </xf>
    <xf numFmtId="0" fontId="2" fillId="0" borderId="28" xfId="0" applyFont="1" applyFill="1" applyBorder="1" applyAlignment="1">
      <alignment horizontal="left"/>
    </xf>
    <xf numFmtId="4" fontId="14" fillId="35" borderId="19" xfId="0" applyNumberFormat="1" applyFont="1" applyFill="1" applyBorder="1" applyAlignment="1">
      <alignment/>
    </xf>
    <xf numFmtId="4" fontId="15" fillId="35" borderId="12" xfId="0" applyNumberFormat="1" applyFont="1" applyFill="1" applyBorder="1" applyAlignment="1">
      <alignment/>
    </xf>
    <xf numFmtId="0" fontId="2" fillId="0" borderId="0" xfId="0" applyFont="1" applyFill="1" applyBorder="1" applyAlignment="1">
      <alignment horizontal="justify" vertical="justify" wrapText="1"/>
    </xf>
    <xf numFmtId="4" fontId="0" fillId="0" borderId="0" xfId="0" applyNumberFormat="1" applyFill="1" applyBorder="1" applyAlignment="1">
      <alignment/>
    </xf>
    <xf numFmtId="4" fontId="2" fillId="35" borderId="12" xfId="0" applyNumberFormat="1" applyFont="1" applyFill="1" applyBorder="1" applyAlignment="1">
      <alignment horizontal="center"/>
    </xf>
    <xf numFmtId="4" fontId="0" fillId="33" borderId="0" xfId="0" applyNumberFormat="1" applyFill="1" applyAlignment="1">
      <alignment/>
    </xf>
    <xf numFmtId="0" fontId="0" fillId="33" borderId="0" xfId="0" applyFill="1" applyAlignment="1">
      <alignment/>
    </xf>
    <xf numFmtId="0" fontId="0" fillId="0" borderId="21" xfId="0" applyFill="1" applyBorder="1" applyAlignment="1">
      <alignment/>
    </xf>
    <xf numFmtId="0" fontId="0" fillId="0" borderId="21" xfId="0" applyFill="1" applyBorder="1" applyAlignment="1">
      <alignment horizontal="left"/>
    </xf>
    <xf numFmtId="0" fontId="0" fillId="0" borderId="0" xfId="0" applyFill="1" applyAlignment="1">
      <alignment horizontal="left"/>
    </xf>
    <xf numFmtId="0" fontId="2" fillId="0" borderId="0" xfId="0" applyFont="1" applyFill="1" applyAlignment="1">
      <alignment horizontal="center"/>
    </xf>
    <xf numFmtId="178" fontId="0" fillId="0" borderId="0" xfId="0" applyNumberFormat="1" applyFill="1" applyAlignment="1">
      <alignment/>
    </xf>
    <xf numFmtId="2" fontId="16" fillId="0" borderId="0" xfId="0" applyNumberFormat="1" applyFont="1" applyAlignment="1">
      <alignment horizontal="centerContinuous" vertical="center"/>
    </xf>
    <xf numFmtId="0" fontId="0" fillId="0" borderId="0" xfId="0" applyAlignment="1">
      <alignment horizontal="left"/>
    </xf>
    <xf numFmtId="0" fontId="0" fillId="0" borderId="29" xfId="0" applyBorder="1" applyAlignment="1" applyProtection="1">
      <alignment/>
      <protection locked="0"/>
    </xf>
    <xf numFmtId="4" fontId="0" fillId="0" borderId="30" xfId="0" applyNumberFormat="1" applyBorder="1" applyAlignment="1" applyProtection="1">
      <alignment/>
      <protection locked="0"/>
    </xf>
    <xf numFmtId="4" fontId="0" fillId="0" borderId="31" xfId="0" applyNumberFormat="1" applyBorder="1" applyAlignment="1" applyProtection="1">
      <alignment/>
      <protection locked="0"/>
    </xf>
    <xf numFmtId="0" fontId="2" fillId="0" borderId="0" xfId="0" applyFont="1" applyAlignment="1">
      <alignment/>
    </xf>
    <xf numFmtId="0" fontId="2" fillId="33" borderId="13" xfId="0" applyFont="1" applyFill="1" applyBorder="1" applyAlignment="1">
      <alignment/>
    </xf>
    <xf numFmtId="0" fontId="0" fillId="33" borderId="14" xfId="0" applyFill="1" applyBorder="1" applyAlignment="1">
      <alignment horizontal="center"/>
    </xf>
    <xf numFmtId="43" fontId="2" fillId="33" borderId="15" xfId="49" applyFont="1" applyFill="1" applyBorder="1" applyAlignment="1">
      <alignment horizontal="right"/>
    </xf>
    <xf numFmtId="0" fontId="2" fillId="0" borderId="28" xfId="0" applyFont="1" applyBorder="1" applyAlignment="1">
      <alignment/>
    </xf>
    <xf numFmtId="0" fontId="8" fillId="0" borderId="23" xfId="0" applyFont="1" applyFill="1" applyBorder="1" applyAlignment="1">
      <alignment/>
    </xf>
    <xf numFmtId="43" fontId="2" fillId="0" borderId="28" xfId="49" applyFont="1" applyBorder="1" applyAlignment="1">
      <alignment/>
    </xf>
    <xf numFmtId="4" fontId="0" fillId="0" borderId="0" xfId="0" applyNumberFormat="1" applyAlignment="1">
      <alignment/>
    </xf>
    <xf numFmtId="0" fontId="8" fillId="0" borderId="28" xfId="0" applyFont="1" applyFill="1" applyBorder="1" applyAlignment="1">
      <alignment/>
    </xf>
    <xf numFmtId="178" fontId="8" fillId="0" borderId="15" xfId="0" applyNumberFormat="1" applyFont="1" applyFill="1" applyBorder="1" applyAlignment="1">
      <alignment/>
    </xf>
    <xf numFmtId="0" fontId="2" fillId="0" borderId="0" xfId="0" applyFont="1" applyAlignment="1">
      <alignment horizontal="center"/>
    </xf>
    <xf numFmtId="0" fontId="5" fillId="0" borderId="0" xfId="0" applyFont="1" applyAlignment="1">
      <alignment/>
    </xf>
    <xf numFmtId="0" fontId="0" fillId="0" borderId="0" xfId="0" applyFont="1" applyAlignment="1">
      <alignment/>
    </xf>
    <xf numFmtId="4" fontId="4" fillId="0" borderId="12" xfId="0" applyNumberFormat="1" applyFont="1" applyBorder="1" applyAlignment="1">
      <alignment/>
    </xf>
    <xf numFmtId="0" fontId="2" fillId="0" borderId="13" xfId="0" applyFont="1" applyFill="1" applyBorder="1" applyAlignment="1">
      <alignment horizontal="center"/>
    </xf>
    <xf numFmtId="0" fontId="8" fillId="0" borderId="13" xfId="0" applyFont="1" applyFill="1" applyBorder="1" applyAlignment="1">
      <alignment horizontal="center"/>
    </xf>
    <xf numFmtId="0" fontId="8" fillId="0" borderId="14" xfId="0" applyFont="1" applyFill="1" applyBorder="1" applyAlignment="1">
      <alignment horizontal="center"/>
    </xf>
    <xf numFmtId="0" fontId="2" fillId="0" borderId="0" xfId="0" applyFont="1" applyFill="1" applyBorder="1" applyAlignment="1">
      <alignment horizontal="left" wrapText="1"/>
    </xf>
    <xf numFmtId="0" fontId="6" fillId="0" borderId="28" xfId="0" applyFont="1" applyFill="1" applyBorder="1" applyAlignment="1">
      <alignment/>
    </xf>
    <xf numFmtId="0" fontId="8" fillId="0" borderId="23" xfId="0" applyFont="1" applyFill="1" applyBorder="1" applyAlignment="1">
      <alignment horizontal="center"/>
    </xf>
    <xf numFmtId="0" fontId="8" fillId="0" borderId="28"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xf>
    <xf numFmtId="0" fontId="20" fillId="0" borderId="0" xfId="0" applyFont="1" applyFill="1" applyBorder="1" applyAlignment="1">
      <alignment horizontal="center"/>
    </xf>
    <xf numFmtId="0" fontId="8" fillId="0" borderId="20" xfId="0" applyFont="1" applyFill="1" applyBorder="1" applyAlignment="1">
      <alignment/>
    </xf>
    <xf numFmtId="0" fontId="8" fillId="0" borderId="21" xfId="0" applyFont="1" applyFill="1" applyBorder="1" applyAlignment="1">
      <alignment/>
    </xf>
    <xf numFmtId="0" fontId="6" fillId="0" borderId="21" xfId="0" applyFont="1" applyFill="1" applyBorder="1" applyAlignment="1">
      <alignment/>
    </xf>
    <xf numFmtId="178" fontId="8" fillId="0" borderId="22" xfId="0" applyNumberFormat="1" applyFont="1" applyFill="1" applyBorder="1" applyAlignment="1">
      <alignment/>
    </xf>
    <xf numFmtId="0" fontId="21" fillId="0" borderId="0" xfId="0" applyFont="1" applyFill="1" applyAlignment="1">
      <alignment/>
    </xf>
    <xf numFmtId="0" fontId="6" fillId="0" borderId="28" xfId="0" applyFont="1" applyFill="1" applyBorder="1" applyAlignment="1">
      <alignment horizontal="center"/>
    </xf>
    <xf numFmtId="0" fontId="8" fillId="0" borderId="0" xfId="0" applyFont="1" applyBorder="1" applyAlignment="1">
      <alignment horizontal="center"/>
    </xf>
    <xf numFmtId="0" fontId="6" fillId="0" borderId="0" xfId="0" applyFont="1" applyBorder="1" applyAlignment="1">
      <alignment horizontal="center"/>
    </xf>
    <xf numFmtId="179" fontId="8" fillId="0" borderId="21" xfId="0" applyNumberFormat="1" applyFont="1" applyFill="1" applyBorder="1" applyAlignment="1">
      <alignment/>
    </xf>
    <xf numFmtId="0" fontId="22" fillId="0" borderId="0" xfId="0" applyFont="1" applyFill="1" applyAlignment="1">
      <alignment/>
    </xf>
    <xf numFmtId="178" fontId="22" fillId="0" borderId="0" xfId="0" applyNumberFormat="1" applyFont="1" applyFill="1" applyAlignment="1">
      <alignment/>
    </xf>
    <xf numFmtId="43" fontId="8" fillId="0" borderId="0" xfId="0" applyNumberFormat="1" applyFont="1" applyFill="1" applyAlignment="1">
      <alignment/>
    </xf>
    <xf numFmtId="0" fontId="2" fillId="0" borderId="32" xfId="0" applyFont="1" applyFill="1" applyBorder="1" applyAlignment="1">
      <alignment horizontal="center"/>
    </xf>
    <xf numFmtId="0" fontId="2" fillId="0" borderId="32" xfId="0" applyFont="1" applyFill="1" applyBorder="1" applyAlignment="1">
      <alignment textRotation="255"/>
    </xf>
    <xf numFmtId="0" fontId="2" fillId="0" borderId="32" xfId="0" applyFont="1" applyFill="1" applyBorder="1" applyAlignment="1">
      <alignment wrapText="1"/>
    </xf>
    <xf numFmtId="0" fontId="2" fillId="0" borderId="13" xfId="0" applyFont="1" applyFill="1" applyBorder="1" applyAlignment="1">
      <alignment/>
    </xf>
    <xf numFmtId="0" fontId="2" fillId="0" borderId="14" xfId="0" applyFont="1" applyFill="1" applyBorder="1" applyAlignment="1">
      <alignment/>
    </xf>
    <xf numFmtId="0" fontId="0" fillId="0" borderId="14" xfId="0" applyFill="1" applyBorder="1" applyAlignment="1">
      <alignment/>
    </xf>
    <xf numFmtId="4" fontId="0" fillId="0" borderId="0" xfId="0" applyNumberFormat="1" applyFont="1" applyFill="1" applyBorder="1" applyAlignment="1">
      <alignment/>
    </xf>
    <xf numFmtId="178" fontId="11" fillId="35" borderId="0" xfId="0" applyNumberFormat="1" applyFont="1" applyFill="1" applyBorder="1" applyAlignment="1">
      <alignment/>
    </xf>
    <xf numFmtId="0" fontId="12" fillId="0" borderId="0" xfId="0" applyFont="1" applyFill="1" applyBorder="1" applyAlignment="1">
      <alignment/>
    </xf>
    <xf numFmtId="4" fontId="0" fillId="35" borderId="0" xfId="0" applyNumberFormat="1" applyFont="1" applyFill="1" applyBorder="1" applyAlignment="1">
      <alignment/>
    </xf>
    <xf numFmtId="178" fontId="2" fillId="35" borderId="0" xfId="0" applyNumberFormat="1" applyFont="1" applyFill="1" applyBorder="1" applyAlignment="1">
      <alignment/>
    </xf>
    <xf numFmtId="4" fontId="0" fillId="33" borderId="0" xfId="0" applyNumberFormat="1" applyFill="1" applyBorder="1" applyAlignment="1">
      <alignment/>
    </xf>
    <xf numFmtId="4" fontId="0" fillId="33" borderId="0" xfId="0" applyNumberFormat="1" applyFont="1" applyFill="1" applyBorder="1" applyAlignment="1">
      <alignment/>
    </xf>
    <xf numFmtId="178" fontId="11" fillId="33" borderId="0" xfId="0" applyNumberFormat="1" applyFont="1" applyFill="1" applyBorder="1" applyAlignment="1">
      <alignment/>
    </xf>
    <xf numFmtId="4" fontId="0" fillId="35" borderId="0" xfId="0" applyNumberFormat="1" applyFill="1" applyBorder="1" applyAlignment="1">
      <alignment/>
    </xf>
    <xf numFmtId="0" fontId="0" fillId="33" borderId="0" xfId="0" applyFill="1" applyBorder="1" applyAlignment="1">
      <alignment/>
    </xf>
    <xf numFmtId="4" fontId="2" fillId="33" borderId="0" xfId="0" applyNumberFormat="1" applyFont="1" applyFill="1" applyBorder="1" applyAlignment="1">
      <alignment horizontal="left"/>
    </xf>
    <xf numFmtId="178" fontId="2" fillId="34" borderId="0" xfId="0" applyNumberFormat="1" applyFont="1" applyFill="1" applyBorder="1" applyAlignment="1">
      <alignment/>
    </xf>
    <xf numFmtId="4" fontId="14" fillId="35" borderId="0" xfId="0" applyNumberFormat="1" applyFont="1" applyFill="1" applyBorder="1" applyAlignment="1">
      <alignment/>
    </xf>
    <xf numFmtId="4" fontId="14" fillId="33" borderId="0" xfId="0" applyNumberFormat="1" applyFont="1" applyFill="1" applyBorder="1" applyAlignment="1">
      <alignment/>
    </xf>
    <xf numFmtId="4" fontId="2" fillId="33" borderId="0" xfId="0" applyNumberFormat="1" applyFont="1" applyFill="1" applyBorder="1" applyAlignment="1">
      <alignment horizontal="center"/>
    </xf>
    <xf numFmtId="0" fontId="0" fillId="35" borderId="0" xfId="0" applyFill="1" applyBorder="1" applyAlignment="1">
      <alignment/>
    </xf>
    <xf numFmtId="4" fontId="15" fillId="35" borderId="0" xfId="0" applyNumberFormat="1" applyFont="1" applyFill="1" applyBorder="1" applyAlignment="1">
      <alignment/>
    </xf>
    <xf numFmtId="4" fontId="2" fillId="35" borderId="0" xfId="0" applyNumberFormat="1" applyFont="1" applyFill="1" applyBorder="1" applyAlignment="1">
      <alignment horizontal="center"/>
    </xf>
    <xf numFmtId="4" fontId="6" fillId="0" borderId="0" xfId="0" applyNumberFormat="1" applyFont="1" applyFill="1" applyBorder="1" applyAlignment="1">
      <alignment/>
    </xf>
    <xf numFmtId="178" fontId="0" fillId="33" borderId="12" xfId="0" applyNumberFormat="1" applyFill="1" applyBorder="1" applyAlignment="1">
      <alignment/>
    </xf>
    <xf numFmtId="178" fontId="0" fillId="0" borderId="12" xfId="0" applyNumberFormat="1" applyFill="1" applyBorder="1" applyAlignment="1">
      <alignment/>
    </xf>
    <xf numFmtId="4" fontId="0" fillId="35" borderId="19" xfId="0" applyNumberFormat="1" applyFill="1" applyBorder="1" applyAlignment="1">
      <alignment/>
    </xf>
    <xf numFmtId="0" fontId="2" fillId="35" borderId="32" xfId="0" applyFont="1" applyFill="1" applyBorder="1" applyAlignment="1">
      <alignment horizontal="center"/>
    </xf>
    <xf numFmtId="178" fontId="0" fillId="35" borderId="12" xfId="0" applyNumberFormat="1" applyFill="1" applyBorder="1" applyAlignment="1">
      <alignment/>
    </xf>
    <xf numFmtId="4" fontId="2" fillId="0" borderId="0" xfId="0" applyNumberFormat="1" applyFont="1" applyFill="1" applyBorder="1" applyAlignment="1">
      <alignment horizontal="left"/>
    </xf>
    <xf numFmtId="0" fontId="2" fillId="35" borderId="0" xfId="0" applyFont="1" applyFill="1" applyBorder="1" applyAlignment="1">
      <alignment horizontal="left" wrapText="1"/>
    </xf>
    <xf numFmtId="0" fontId="0" fillId="33" borderId="10" xfId="0" applyFill="1" applyBorder="1" applyAlignment="1">
      <alignment/>
    </xf>
    <xf numFmtId="4" fontId="0" fillId="33" borderId="0" xfId="0" applyNumberFormat="1" applyFont="1" applyFill="1" applyAlignment="1">
      <alignment/>
    </xf>
    <xf numFmtId="4" fontId="0" fillId="34" borderId="0" xfId="0" applyNumberFormat="1" applyFont="1" applyFill="1" applyAlignment="1">
      <alignment/>
    </xf>
    <xf numFmtId="0" fontId="2" fillId="0" borderId="14" xfId="0" applyFont="1" applyFill="1" applyBorder="1" applyAlignment="1">
      <alignment horizontal="justify" vertical="justify" wrapText="1"/>
    </xf>
    <xf numFmtId="178" fontId="0" fillId="0" borderId="14" xfId="0" applyNumberFormat="1" applyFill="1" applyBorder="1" applyAlignment="1">
      <alignment/>
    </xf>
    <xf numFmtId="0" fontId="2" fillId="0" borderId="28" xfId="0" applyFont="1" applyFill="1" applyBorder="1" applyAlignment="1">
      <alignment horizontal="justify" vertical="justify" wrapText="1"/>
    </xf>
    <xf numFmtId="0" fontId="2" fillId="0" borderId="28" xfId="0" applyFont="1" applyFill="1" applyBorder="1" applyAlignment="1">
      <alignment horizontal="left" wrapText="1"/>
    </xf>
    <xf numFmtId="4" fontId="0" fillId="35" borderId="0" xfId="0" applyNumberFormat="1" applyFill="1" applyAlignment="1">
      <alignment/>
    </xf>
    <xf numFmtId="0" fontId="0" fillId="0" borderId="15" xfId="0" applyFill="1" applyBorder="1" applyAlignment="1">
      <alignment horizontal="justify" vertical="top" wrapText="1"/>
    </xf>
    <xf numFmtId="0" fontId="11" fillId="33" borderId="0" xfId="0" applyFont="1" applyFill="1" applyBorder="1" applyAlignment="1">
      <alignment horizontal="center"/>
    </xf>
    <xf numFmtId="4" fontId="6" fillId="35" borderId="15" xfId="0" applyNumberFormat="1" applyFont="1" applyFill="1" applyBorder="1" applyAlignment="1">
      <alignment/>
    </xf>
    <xf numFmtId="0" fontId="2" fillId="33" borderId="12" xfId="0" applyFont="1" applyFill="1" applyBorder="1" applyAlignment="1">
      <alignment horizontal="center"/>
    </xf>
    <xf numFmtId="179" fontId="6" fillId="0" borderId="0" xfId="0" applyNumberFormat="1" applyFont="1" applyFill="1" applyAlignment="1">
      <alignment/>
    </xf>
    <xf numFmtId="0" fontId="2" fillId="33" borderId="14" xfId="0" applyFont="1" applyFill="1" applyBorder="1" applyAlignment="1">
      <alignment horizontal="center"/>
    </xf>
    <xf numFmtId="183" fontId="6" fillId="0" borderId="0" xfId="0" applyNumberFormat="1" applyFont="1" applyFill="1" applyAlignment="1">
      <alignment/>
    </xf>
    <xf numFmtId="178" fontId="0" fillId="35" borderId="19" xfId="0" applyNumberFormat="1" applyFill="1" applyBorder="1" applyAlignment="1">
      <alignment/>
    </xf>
    <xf numFmtId="0" fontId="0" fillId="0" borderId="13" xfId="0" applyFill="1" applyBorder="1" applyAlignment="1">
      <alignment/>
    </xf>
    <xf numFmtId="178" fontId="2" fillId="35" borderId="12" xfId="0" applyNumberFormat="1"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178" fontId="2" fillId="33" borderId="14" xfId="0" applyNumberFormat="1" applyFont="1" applyFill="1" applyBorder="1" applyAlignment="1">
      <alignment/>
    </xf>
    <xf numFmtId="0" fontId="2" fillId="33" borderId="14" xfId="0" applyFont="1" applyFill="1" applyBorder="1" applyAlignment="1">
      <alignment horizontal="left"/>
    </xf>
    <xf numFmtId="178" fontId="2" fillId="33" borderId="15" xfId="0" applyNumberFormat="1" applyFont="1" applyFill="1" applyBorder="1" applyAlignment="1">
      <alignment/>
    </xf>
    <xf numFmtId="0" fontId="2" fillId="33" borderId="23" xfId="0" applyFont="1" applyFill="1" applyBorder="1" applyAlignment="1">
      <alignment horizontal="center"/>
    </xf>
    <xf numFmtId="178" fontId="0" fillId="33" borderId="28" xfId="0" applyNumberFormat="1" applyFill="1" applyBorder="1" applyAlignment="1">
      <alignment/>
    </xf>
    <xf numFmtId="0" fontId="2" fillId="33" borderId="28" xfId="0" applyFont="1" applyFill="1" applyBorder="1" applyAlignment="1">
      <alignment horizontal="center"/>
    </xf>
    <xf numFmtId="0" fontId="13" fillId="33" borderId="28" xfId="0" applyFont="1" applyFill="1" applyBorder="1" applyAlignment="1">
      <alignment horizontal="center"/>
    </xf>
    <xf numFmtId="0" fontId="2" fillId="33" borderId="28" xfId="0" applyFont="1" applyFill="1" applyBorder="1" applyAlignment="1">
      <alignment horizontal="left"/>
    </xf>
    <xf numFmtId="0" fontId="2" fillId="33" borderId="13" xfId="0" applyFont="1" applyFill="1" applyBorder="1" applyAlignment="1">
      <alignment horizontal="left"/>
    </xf>
    <xf numFmtId="4" fontId="0" fillId="33" borderId="15" xfId="0" applyNumberFormat="1" applyFill="1" applyBorder="1" applyAlignment="1">
      <alignment/>
    </xf>
    <xf numFmtId="0" fontId="2" fillId="33" borderId="13" xfId="0" applyFont="1" applyFill="1" applyBorder="1" applyAlignment="1">
      <alignment horizontal="justify" vertical="top" wrapText="1"/>
    </xf>
    <xf numFmtId="0" fontId="2" fillId="33" borderId="14" xfId="0" applyFont="1" applyFill="1" applyBorder="1" applyAlignment="1">
      <alignment horizontal="justify" vertical="top" wrapText="1"/>
    </xf>
    <xf numFmtId="0" fontId="0" fillId="33" borderId="14" xfId="0" applyFill="1" applyBorder="1" applyAlignment="1">
      <alignment horizontal="justify" vertical="top" wrapText="1"/>
    </xf>
    <xf numFmtId="4" fontId="0" fillId="33" borderId="15" xfId="0" applyNumberFormat="1" applyFont="1" applyFill="1" applyBorder="1" applyAlignment="1">
      <alignment/>
    </xf>
    <xf numFmtId="0" fontId="0" fillId="34" borderId="0" xfId="0" applyFill="1" applyBorder="1" applyAlignment="1">
      <alignment/>
    </xf>
    <xf numFmtId="0" fontId="2" fillId="0" borderId="23" xfId="0" applyFont="1" applyFill="1" applyBorder="1" applyAlignment="1">
      <alignment horizontal="left"/>
    </xf>
    <xf numFmtId="178" fontId="2" fillId="0" borderId="28" xfId="0" applyNumberFormat="1" applyFont="1" applyFill="1" applyBorder="1" applyAlignment="1">
      <alignment/>
    </xf>
    <xf numFmtId="178" fontId="2" fillId="35" borderId="19" xfId="0" applyNumberFormat="1" applyFont="1" applyFill="1" applyBorder="1" applyAlignment="1">
      <alignment/>
    </xf>
    <xf numFmtId="0" fontId="0" fillId="0" borderId="0" xfId="0" applyAlignment="1">
      <alignment horizontal="center" vertical="center"/>
    </xf>
    <xf numFmtId="0" fontId="23" fillId="0" borderId="0" xfId="0" applyFont="1" applyAlignment="1">
      <alignment/>
    </xf>
    <xf numFmtId="49" fontId="23" fillId="0" borderId="0" xfId="0" applyNumberFormat="1" applyFont="1" applyAlignment="1">
      <alignment/>
    </xf>
    <xf numFmtId="0" fontId="24" fillId="0" borderId="13" xfId="0" applyFont="1" applyBorder="1" applyAlignment="1">
      <alignment/>
    </xf>
    <xf numFmtId="0" fontId="23" fillId="0" borderId="10" xfId="0" applyFont="1" applyBorder="1" applyAlignment="1">
      <alignment/>
    </xf>
    <xf numFmtId="49" fontId="23" fillId="0" borderId="12" xfId="0" applyNumberFormat="1" applyFont="1" applyBorder="1" applyAlignment="1">
      <alignment/>
    </xf>
    <xf numFmtId="0" fontId="24" fillId="0" borderId="0" xfId="0" applyFont="1" applyBorder="1" applyAlignment="1">
      <alignment horizontal="center"/>
    </xf>
    <xf numFmtId="4" fontId="23" fillId="0" borderId="0" xfId="0" applyNumberFormat="1" applyFont="1" applyBorder="1" applyAlignment="1">
      <alignment/>
    </xf>
    <xf numFmtId="0" fontId="23" fillId="0" borderId="10" xfId="0" applyFont="1" applyFill="1" applyBorder="1" applyAlignment="1">
      <alignment horizontal="left" vertical="justify" wrapText="1"/>
    </xf>
    <xf numFmtId="4" fontId="23" fillId="0" borderId="26" xfId="0" applyNumberFormat="1" applyFont="1" applyBorder="1" applyAlignment="1">
      <alignment/>
    </xf>
    <xf numFmtId="49" fontId="23" fillId="0" borderId="27" xfId="0" applyNumberFormat="1" applyFont="1" applyBorder="1" applyAlignment="1">
      <alignment/>
    </xf>
    <xf numFmtId="0" fontId="24" fillId="0" borderId="10" xfId="0" applyFont="1" applyBorder="1" applyAlignment="1">
      <alignment/>
    </xf>
    <xf numFmtId="0" fontId="23" fillId="0" borderId="23" xfId="0" applyFont="1" applyBorder="1" applyAlignment="1">
      <alignment/>
    </xf>
    <xf numFmtId="4" fontId="23" fillId="0" borderId="28" xfId="0" applyNumberFormat="1" applyFont="1" applyBorder="1" applyAlignment="1">
      <alignment/>
    </xf>
    <xf numFmtId="49" fontId="23" fillId="0" borderId="19" xfId="0" applyNumberFormat="1" applyFont="1" applyBorder="1" applyAlignment="1">
      <alignment/>
    </xf>
    <xf numFmtId="4" fontId="23" fillId="0" borderId="14" xfId="0" applyNumberFormat="1" applyFont="1" applyBorder="1" applyAlignment="1">
      <alignment/>
    </xf>
    <xf numFmtId="49" fontId="23" fillId="0" borderId="15" xfId="0" applyNumberFormat="1" applyFont="1" applyBorder="1" applyAlignment="1">
      <alignment/>
    </xf>
    <xf numFmtId="0" fontId="23" fillId="0" borderId="10" xfId="0" applyFont="1" applyFill="1" applyBorder="1" applyAlignment="1">
      <alignment/>
    </xf>
    <xf numFmtId="0" fontId="23" fillId="0" borderId="14" xfId="0" applyFont="1" applyBorder="1" applyAlignment="1">
      <alignment/>
    </xf>
    <xf numFmtId="49" fontId="0" fillId="0" borderId="12" xfId="0" applyNumberFormat="1" applyBorder="1" applyAlignment="1">
      <alignment/>
    </xf>
    <xf numFmtId="49" fontId="0" fillId="0" borderId="19" xfId="0" applyNumberFormat="1" applyBorder="1" applyAlignment="1">
      <alignment/>
    </xf>
    <xf numFmtId="0" fontId="0" fillId="0" borderId="23" xfId="0" applyBorder="1" applyAlignment="1">
      <alignment horizontal="justify" vertical="justify" wrapText="1"/>
    </xf>
    <xf numFmtId="0" fontId="0" fillId="0" borderId="28" xfId="0" applyBorder="1" applyAlignment="1">
      <alignment/>
    </xf>
    <xf numFmtId="0" fontId="0" fillId="0" borderId="0" xfId="0" applyBorder="1" applyAlignment="1">
      <alignment horizontal="justify" vertical="justify" wrapText="1"/>
    </xf>
    <xf numFmtId="49" fontId="0" fillId="0" borderId="0" xfId="0" applyNumberFormat="1" applyAlignment="1">
      <alignment/>
    </xf>
    <xf numFmtId="0" fontId="2" fillId="0" borderId="0" xfId="0" applyFont="1" applyAlignment="1">
      <alignment horizontal="left"/>
    </xf>
    <xf numFmtId="0" fontId="0" fillId="0" borderId="23" xfId="0" applyBorder="1" applyAlignment="1">
      <alignment/>
    </xf>
    <xf numFmtId="0" fontId="0" fillId="0" borderId="19" xfId="0" applyBorder="1" applyAlignment="1">
      <alignment/>
    </xf>
    <xf numFmtId="0" fontId="2" fillId="33" borderId="20" xfId="0" applyFont="1" applyFill="1" applyBorder="1" applyAlignment="1">
      <alignment horizontal="center"/>
    </xf>
    <xf numFmtId="0" fontId="2" fillId="0" borderId="28" xfId="0" applyFont="1" applyBorder="1" applyAlignment="1">
      <alignment wrapText="1"/>
    </xf>
    <xf numFmtId="178" fontId="2" fillId="0" borderId="28" xfId="0" applyNumberFormat="1" applyFont="1" applyBorder="1" applyAlignment="1">
      <alignment/>
    </xf>
    <xf numFmtId="4" fontId="0" fillId="0" borderId="19" xfId="0" applyNumberFormat="1" applyBorder="1" applyAlignment="1">
      <alignment/>
    </xf>
    <xf numFmtId="0" fontId="2" fillId="33" borderId="23" xfId="0" applyFont="1" applyFill="1" applyBorder="1" applyAlignment="1">
      <alignment/>
    </xf>
    <xf numFmtId="0" fontId="2" fillId="33" borderId="28" xfId="0" applyFont="1" applyFill="1" applyBorder="1" applyAlignment="1">
      <alignment/>
    </xf>
    <xf numFmtId="178" fontId="2" fillId="33" borderId="28" xfId="0" applyNumberFormat="1" applyFont="1" applyFill="1" applyBorder="1" applyAlignment="1">
      <alignment/>
    </xf>
    <xf numFmtId="178" fontId="11" fillId="35" borderId="22" xfId="0" applyNumberFormat="1" applyFont="1" applyFill="1" applyBorder="1" applyAlignment="1">
      <alignment/>
    </xf>
    <xf numFmtId="4" fontId="0" fillId="33" borderId="19" xfId="0" applyNumberFormat="1" applyFont="1" applyFill="1" applyBorder="1" applyAlignment="1">
      <alignment/>
    </xf>
    <xf numFmtId="0" fontId="2" fillId="33" borderId="10" xfId="0" applyFont="1" applyFill="1" applyBorder="1" applyAlignment="1">
      <alignment/>
    </xf>
    <xf numFmtId="0" fontId="2" fillId="33" borderId="0" xfId="0" applyFont="1" applyFill="1" applyBorder="1" applyAlignment="1">
      <alignment/>
    </xf>
    <xf numFmtId="178" fontId="2" fillId="33" borderId="12" xfId="0" applyNumberFormat="1" applyFont="1" applyFill="1" applyBorder="1" applyAlignment="1">
      <alignment/>
    </xf>
    <xf numFmtId="178" fontId="0" fillId="0" borderId="19" xfId="0" applyNumberFormat="1" applyFill="1" applyBorder="1" applyAlignment="1">
      <alignment/>
    </xf>
    <xf numFmtId="178" fontId="2" fillId="0" borderId="22" xfId="0" applyNumberFormat="1" applyFont="1" applyFill="1" applyBorder="1" applyAlignment="1">
      <alignment/>
    </xf>
    <xf numFmtId="0" fontId="23" fillId="0" borderId="14" xfId="0" applyFont="1" applyBorder="1" applyAlignment="1">
      <alignment horizontal="center" vertical="justify" wrapText="1"/>
    </xf>
    <xf numFmtId="0" fontId="4" fillId="35" borderId="33" xfId="0" applyFont="1" applyFill="1" applyBorder="1" applyAlignment="1">
      <alignment/>
    </xf>
    <xf numFmtId="0" fontId="25" fillId="0" borderId="0" xfId="0" applyFont="1" applyBorder="1" applyAlignment="1">
      <alignment/>
    </xf>
    <xf numFmtId="0" fontId="0" fillId="0" borderId="0" xfId="0" applyFont="1" applyBorder="1" applyAlignment="1">
      <alignment vertical="distributed" readingOrder="1"/>
    </xf>
    <xf numFmtId="0" fontId="2" fillId="33" borderId="13" xfId="0" applyFont="1" applyFill="1" applyBorder="1" applyAlignment="1">
      <alignment horizontal="center"/>
    </xf>
    <xf numFmtId="0" fontId="2" fillId="33" borderId="14" xfId="0" applyFont="1" applyFill="1" applyBorder="1" applyAlignment="1">
      <alignment horizontal="left" wrapText="1"/>
    </xf>
    <xf numFmtId="178" fontId="0" fillId="33" borderId="14" xfId="0" applyNumberFormat="1" applyFill="1" applyBorder="1" applyAlignment="1">
      <alignment/>
    </xf>
    <xf numFmtId="0" fontId="2" fillId="12" borderId="10" xfId="0" applyFont="1" applyFill="1" applyBorder="1" applyAlignment="1">
      <alignment horizontal="center"/>
    </xf>
    <xf numFmtId="0" fontId="2" fillId="12" borderId="0" xfId="0" applyFont="1" applyFill="1" applyBorder="1" applyAlignment="1">
      <alignment horizontal="center"/>
    </xf>
    <xf numFmtId="178" fontId="0" fillId="12" borderId="0" xfId="0" applyNumberFormat="1" applyFill="1" applyBorder="1" applyAlignment="1">
      <alignment/>
    </xf>
    <xf numFmtId="0" fontId="2" fillId="12" borderId="0" xfId="0" applyFont="1" applyFill="1" applyBorder="1" applyAlignment="1">
      <alignment horizontal="left"/>
    </xf>
    <xf numFmtId="4" fontId="0" fillId="12" borderId="12" xfId="0" applyNumberFormat="1" applyFont="1" applyFill="1" applyBorder="1" applyAlignment="1">
      <alignment/>
    </xf>
    <xf numFmtId="4" fontId="0" fillId="12" borderId="0" xfId="0" applyNumberFormat="1" applyFont="1" applyFill="1" applyBorder="1" applyAlignment="1">
      <alignment/>
    </xf>
    <xf numFmtId="4" fontId="0" fillId="12" borderId="0" xfId="0" applyNumberFormat="1" applyFill="1" applyAlignment="1">
      <alignment/>
    </xf>
    <xf numFmtId="0" fontId="0" fillId="12" borderId="0" xfId="0" applyFill="1" applyAlignment="1">
      <alignment/>
    </xf>
    <xf numFmtId="0" fontId="8" fillId="12" borderId="0" xfId="0" applyFont="1" applyFill="1" applyBorder="1" applyAlignment="1">
      <alignment/>
    </xf>
    <xf numFmtId="0" fontId="2" fillId="12" borderId="20" xfId="0" applyFont="1" applyFill="1" applyBorder="1" applyAlignment="1">
      <alignment/>
    </xf>
    <xf numFmtId="0" fontId="2" fillId="12" borderId="21" xfId="0" applyFont="1" applyFill="1" applyBorder="1" applyAlignment="1">
      <alignment/>
    </xf>
    <xf numFmtId="178" fontId="2" fillId="12" borderId="21" xfId="0" applyNumberFormat="1" applyFont="1" applyFill="1" applyBorder="1" applyAlignment="1">
      <alignment/>
    </xf>
    <xf numFmtId="0" fontId="2" fillId="12" borderId="21" xfId="0" applyFont="1" applyFill="1" applyBorder="1" applyAlignment="1">
      <alignment horizontal="center"/>
    </xf>
    <xf numFmtId="0" fontId="2" fillId="12" borderId="21" xfId="0" applyFont="1" applyFill="1" applyBorder="1" applyAlignment="1">
      <alignment horizontal="left"/>
    </xf>
    <xf numFmtId="178" fontId="2" fillId="12" borderId="22" xfId="0" applyNumberFormat="1" applyFont="1" applyFill="1" applyBorder="1" applyAlignment="1">
      <alignment/>
    </xf>
    <xf numFmtId="178" fontId="11" fillId="12" borderId="0" xfId="0" applyNumberFormat="1" applyFont="1" applyFill="1" applyBorder="1" applyAlignment="1">
      <alignment/>
    </xf>
    <xf numFmtId="178" fontId="2" fillId="12" borderId="0" xfId="0" applyNumberFormat="1" applyFont="1" applyFill="1" applyBorder="1" applyAlignment="1">
      <alignment/>
    </xf>
    <xf numFmtId="178" fontId="0" fillId="0" borderId="0" xfId="0" applyNumberFormat="1" applyFont="1" applyFill="1" applyBorder="1" applyAlignment="1">
      <alignment/>
    </xf>
    <xf numFmtId="0" fontId="0" fillId="0" borderId="0" xfId="0" applyAlignment="1" applyProtection="1">
      <alignment/>
      <protection/>
    </xf>
    <xf numFmtId="0" fontId="28" fillId="0" borderId="0" xfId="0" applyFont="1" applyAlignment="1" applyProtection="1">
      <alignment/>
      <protection/>
    </xf>
    <xf numFmtId="0" fontId="2" fillId="34" borderId="34" xfId="0" applyFont="1" applyFill="1" applyBorder="1" applyAlignment="1" applyProtection="1">
      <alignment horizontal="center"/>
      <protection/>
    </xf>
    <xf numFmtId="0" fontId="2" fillId="0" borderId="0" xfId="0" applyFont="1" applyAlignment="1" applyProtection="1">
      <alignment horizontal="center" vertical="justify"/>
      <protection/>
    </xf>
    <xf numFmtId="0" fontId="2" fillId="36" borderId="20" xfId="0" applyFont="1" applyFill="1" applyBorder="1" applyAlignment="1" applyProtection="1">
      <alignment horizontal="center" vertical="justify"/>
      <protection/>
    </xf>
    <xf numFmtId="0" fontId="29" fillId="36" borderId="20" xfId="0" applyFont="1" applyFill="1" applyBorder="1" applyAlignment="1" applyProtection="1">
      <alignment horizontal="center" vertical="justify"/>
      <protection/>
    </xf>
    <xf numFmtId="0" fontId="0" fillId="36" borderId="0" xfId="0" applyFill="1" applyAlignment="1" applyProtection="1">
      <alignment/>
      <protection/>
    </xf>
    <xf numFmtId="0" fontId="0" fillId="0" borderId="30" xfId="0" applyBorder="1" applyAlignment="1" applyProtection="1">
      <alignment horizontal="center"/>
      <protection locked="0"/>
    </xf>
    <xf numFmtId="0" fontId="0" fillId="34" borderId="30" xfId="0" applyFill="1" applyBorder="1" applyAlignment="1" applyProtection="1">
      <alignment horizontal="center"/>
      <protection locked="0"/>
    </xf>
    <xf numFmtId="0" fontId="0" fillId="0" borderId="0" xfId="0" applyAlignment="1" applyProtection="1">
      <alignment horizontal="center"/>
      <protection locked="0"/>
    </xf>
    <xf numFmtId="0" fontId="0" fillId="0" borderId="0" xfId="0" applyFill="1" applyAlignment="1" applyProtection="1">
      <alignment/>
      <protection/>
    </xf>
    <xf numFmtId="0" fontId="30" fillId="0" borderId="35" xfId="0" applyFont="1" applyBorder="1" applyAlignment="1" applyProtection="1">
      <alignment/>
      <protection/>
    </xf>
    <xf numFmtId="0" fontId="30" fillId="0" borderId="36" xfId="0" applyFont="1" applyBorder="1" applyAlignment="1" applyProtection="1">
      <alignment horizontal="center"/>
      <protection/>
    </xf>
    <xf numFmtId="0" fontId="30" fillId="0" borderId="37" xfId="0" applyFont="1" applyBorder="1" applyAlignment="1" applyProtection="1">
      <alignment horizontal="center"/>
      <protection/>
    </xf>
    <xf numFmtId="0" fontId="30" fillId="34" borderId="21" xfId="0" applyFont="1" applyFill="1" applyBorder="1" applyAlignment="1" applyProtection="1">
      <alignment horizontal="center"/>
      <protection/>
    </xf>
    <xf numFmtId="0" fontId="30" fillId="0" borderId="0" xfId="0" applyFont="1" applyAlignment="1" applyProtection="1">
      <alignment horizontal="center"/>
      <protection/>
    </xf>
    <xf numFmtId="0" fontId="30" fillId="34" borderId="35" xfId="0" applyFont="1" applyFill="1" applyBorder="1" applyAlignment="1" applyProtection="1">
      <alignment horizontal="center"/>
      <protection/>
    </xf>
    <xf numFmtId="0" fontId="2" fillId="0" borderId="20" xfId="0" applyFont="1" applyBorder="1" applyAlignment="1" applyProtection="1">
      <alignmen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2" fillId="0" borderId="0" xfId="0" applyFont="1" applyBorder="1" applyAlignment="1" applyProtection="1">
      <alignment/>
      <protection/>
    </xf>
    <xf numFmtId="0" fontId="0" fillId="0" borderId="21" xfId="0" applyBorder="1" applyAlignment="1" applyProtection="1">
      <alignment/>
      <protection/>
    </xf>
    <xf numFmtId="0" fontId="0" fillId="0" borderId="0" xfId="0" applyFont="1" applyFill="1" applyAlignment="1" applyProtection="1">
      <alignment/>
      <protection/>
    </xf>
    <xf numFmtId="0" fontId="0" fillId="0" borderId="0" xfId="0" applyAlignment="1" applyProtection="1">
      <alignment/>
      <protection locked="0"/>
    </xf>
    <xf numFmtId="0" fontId="2" fillId="0" borderId="0" xfId="0" applyFont="1" applyAlignment="1" applyProtection="1">
      <alignment/>
      <protection locked="0"/>
    </xf>
    <xf numFmtId="0" fontId="0" fillId="0" borderId="0" xfId="0" applyBorder="1" applyAlignment="1" applyProtection="1">
      <alignment horizontal="center"/>
      <protection locked="0"/>
    </xf>
    <xf numFmtId="0" fontId="0" fillId="0" borderId="10" xfId="0" applyFont="1" applyBorder="1" applyAlignment="1">
      <alignment vertical="top" wrapText="1"/>
    </xf>
    <xf numFmtId="0" fontId="24" fillId="0" borderId="10" xfId="0" applyFont="1" applyFill="1" applyBorder="1" applyAlignment="1">
      <alignment/>
    </xf>
    <xf numFmtId="49" fontId="0" fillId="0" borderId="0" xfId="0" applyNumberFormat="1" applyBorder="1" applyAlignment="1">
      <alignment/>
    </xf>
    <xf numFmtId="0" fontId="2" fillId="37" borderId="10" xfId="0" applyFont="1" applyFill="1" applyBorder="1" applyAlignment="1">
      <alignment/>
    </xf>
    <xf numFmtId="0" fontId="2" fillId="37" borderId="0" xfId="0" applyFont="1" applyFill="1" applyAlignment="1">
      <alignment/>
    </xf>
    <xf numFmtId="180" fontId="2" fillId="37" borderId="0" xfId="0" applyNumberFormat="1" applyFont="1" applyFill="1" applyAlignment="1">
      <alignment/>
    </xf>
    <xf numFmtId="178" fontId="2" fillId="37" borderId="0" xfId="0" applyNumberFormat="1" applyFont="1" applyFill="1" applyAlignment="1">
      <alignment/>
    </xf>
    <xf numFmtId="4" fontId="2" fillId="37" borderId="12" xfId="0" applyNumberFormat="1" applyFont="1" applyFill="1" applyBorder="1" applyAlignment="1">
      <alignment/>
    </xf>
    <xf numFmtId="180" fontId="0" fillId="0" borderId="0" xfId="0" applyNumberFormat="1" applyAlignment="1">
      <alignment/>
    </xf>
    <xf numFmtId="180" fontId="2" fillId="0" borderId="0" xfId="0" applyNumberFormat="1" applyFont="1" applyAlignment="1">
      <alignment/>
    </xf>
    <xf numFmtId="0" fontId="4" fillId="35" borderId="0" xfId="0" applyFont="1" applyFill="1" applyBorder="1" applyAlignment="1">
      <alignment/>
    </xf>
    <xf numFmtId="0" fontId="9" fillId="0" borderId="14" xfId="0" applyFont="1" applyFill="1" applyBorder="1" applyAlignment="1">
      <alignment/>
    </xf>
    <xf numFmtId="179" fontId="8" fillId="0" borderId="14" xfId="0" applyNumberFormat="1" applyFont="1" applyFill="1" applyBorder="1" applyAlignment="1">
      <alignment/>
    </xf>
    <xf numFmtId="43" fontId="6" fillId="0" borderId="0" xfId="55" applyFont="1" applyFill="1" applyAlignment="1">
      <alignment/>
    </xf>
    <xf numFmtId="0" fontId="8" fillId="0" borderId="19" xfId="0" applyFont="1" applyFill="1" applyBorder="1" applyAlignment="1">
      <alignment horizontal="center"/>
    </xf>
    <xf numFmtId="178" fontId="6" fillId="0" borderId="0" xfId="55" applyNumberFormat="1" applyFont="1" applyFill="1" applyAlignment="1">
      <alignment/>
    </xf>
    <xf numFmtId="4" fontId="0" fillId="0" borderId="0" xfId="56" applyNumberFormat="1" applyFont="1" applyFill="1" applyAlignment="1">
      <alignment/>
    </xf>
    <xf numFmtId="4" fontId="0" fillId="33" borderId="0" xfId="56" applyNumberFormat="1" applyFont="1" applyFill="1" applyAlignment="1">
      <alignment/>
    </xf>
    <xf numFmtId="4" fontId="0" fillId="38" borderId="0" xfId="56" applyNumberFormat="1" applyFont="1" applyFill="1" applyAlignment="1">
      <alignment/>
    </xf>
    <xf numFmtId="4" fontId="6" fillId="35" borderId="0" xfId="56" applyNumberFormat="1" applyFont="1" applyFill="1" applyBorder="1" applyAlignment="1">
      <alignment/>
    </xf>
    <xf numFmtId="4" fontId="0" fillId="34" borderId="0" xfId="56" applyNumberFormat="1" applyFont="1" applyFill="1" applyAlignment="1">
      <alignment/>
    </xf>
    <xf numFmtId="4" fontId="10" fillId="34" borderId="0" xfId="56" applyNumberFormat="1" applyFont="1" applyFill="1" applyBorder="1" applyAlignment="1">
      <alignment/>
    </xf>
    <xf numFmtId="4" fontId="2" fillId="0" borderId="0" xfId="56" applyNumberFormat="1" applyFont="1" applyFill="1" applyAlignment="1">
      <alignment/>
    </xf>
    <xf numFmtId="4" fontId="2" fillId="34" borderId="0" xfId="56" applyNumberFormat="1" applyFont="1" applyFill="1" applyAlignment="1">
      <alignment/>
    </xf>
    <xf numFmtId="4" fontId="0" fillId="0" borderId="0" xfId="56" applyNumberFormat="1" applyFont="1" applyFill="1" applyAlignment="1">
      <alignment horizontal="justify" vertical="top" wrapText="1"/>
    </xf>
    <xf numFmtId="4" fontId="0" fillId="12" borderId="0" xfId="56" applyNumberFormat="1" applyFont="1" applyFill="1" applyAlignment="1">
      <alignment/>
    </xf>
    <xf numFmtId="0" fontId="2" fillId="33" borderId="20" xfId="0" applyFont="1" applyFill="1" applyBorder="1" applyAlignment="1">
      <alignment horizontal="left"/>
    </xf>
    <xf numFmtId="178" fontId="0" fillId="33" borderId="21" xfId="0" applyNumberFormat="1" applyFill="1" applyBorder="1" applyAlignment="1">
      <alignment/>
    </xf>
    <xf numFmtId="178" fontId="0" fillId="33" borderId="35" xfId="0" applyNumberFormat="1" applyFill="1" applyBorder="1" applyAlignment="1">
      <alignment/>
    </xf>
    <xf numFmtId="43" fontId="0" fillId="0" borderId="0" xfId="55" applyFont="1" applyAlignment="1">
      <alignment/>
    </xf>
    <xf numFmtId="0" fontId="0" fillId="39" borderId="20" xfId="0" applyFill="1" applyBorder="1" applyAlignment="1">
      <alignment/>
    </xf>
    <xf numFmtId="0" fontId="0" fillId="39" borderId="21" xfId="0" applyFill="1" applyBorder="1" applyAlignment="1">
      <alignment/>
    </xf>
    <xf numFmtId="0" fontId="17" fillId="39" borderId="21" xfId="0" applyFont="1" applyFill="1" applyBorder="1" applyAlignment="1">
      <alignment/>
    </xf>
    <xf numFmtId="0" fontId="0" fillId="39" borderId="22" xfId="0" applyFill="1" applyBorder="1" applyAlignment="1">
      <alignment/>
    </xf>
    <xf numFmtId="0" fontId="2" fillId="40" borderId="10" xfId="0" applyFont="1" applyFill="1" applyBorder="1" applyAlignment="1">
      <alignment horizontal="center"/>
    </xf>
    <xf numFmtId="0" fontId="0" fillId="40" borderId="38" xfId="0" applyFill="1" applyBorder="1" applyAlignment="1">
      <alignment/>
    </xf>
    <xf numFmtId="0" fontId="0" fillId="40" borderId="0" xfId="0" applyFill="1" applyAlignment="1">
      <alignment/>
    </xf>
    <xf numFmtId="0" fontId="0" fillId="40" borderId="39" xfId="0" applyFill="1" applyBorder="1" applyAlignment="1">
      <alignment/>
    </xf>
    <xf numFmtId="0" fontId="2" fillId="40" borderId="12" xfId="0" applyFont="1" applyFill="1" applyBorder="1" applyAlignment="1">
      <alignment horizontal="center"/>
    </xf>
    <xf numFmtId="0" fontId="2" fillId="40" borderId="40" xfId="0" applyFont="1" applyFill="1" applyBorder="1" applyAlignment="1">
      <alignment horizontal="center"/>
    </xf>
    <xf numFmtId="0" fontId="2" fillId="40" borderId="38" xfId="0" applyFont="1" applyFill="1" applyBorder="1" applyAlignment="1">
      <alignment horizontal="center"/>
    </xf>
    <xf numFmtId="0" fontId="2" fillId="40" borderId="39" xfId="0" applyFont="1" applyFill="1" applyBorder="1" applyAlignment="1">
      <alignment horizontal="center"/>
    </xf>
    <xf numFmtId="0" fontId="2" fillId="40" borderId="0" xfId="0" applyFont="1" applyFill="1" applyAlignment="1">
      <alignment horizontal="center"/>
    </xf>
    <xf numFmtId="4" fontId="0" fillId="41" borderId="30" xfId="0" applyNumberFormat="1" applyFill="1" applyBorder="1" applyAlignment="1" applyProtection="1">
      <alignment/>
      <protection locked="0"/>
    </xf>
    <xf numFmtId="0" fontId="0" fillId="0" borderId="41" xfId="0" applyBorder="1" applyAlignment="1">
      <alignment horizontal="center"/>
    </xf>
    <xf numFmtId="0" fontId="0" fillId="0" borderId="42" xfId="0" applyBorder="1" applyAlignment="1" applyProtection="1">
      <alignment/>
      <protection locked="0"/>
    </xf>
    <xf numFmtId="0" fontId="0" fillId="0" borderId="43" xfId="0" applyBorder="1" applyAlignment="1" applyProtection="1">
      <alignment/>
      <protection locked="0"/>
    </xf>
    <xf numFmtId="4" fontId="0" fillId="0" borderId="38" xfId="0" applyNumberFormat="1" applyBorder="1" applyAlignment="1" applyProtection="1">
      <alignment/>
      <protection locked="0"/>
    </xf>
    <xf numFmtId="4" fontId="0" fillId="0" borderId="43" xfId="0" applyNumberFormat="1" applyBorder="1" applyAlignment="1" applyProtection="1">
      <alignment/>
      <protection locked="0"/>
    </xf>
    <xf numFmtId="4" fontId="0" fillId="41" borderId="44" xfId="0" applyNumberFormat="1" applyFill="1" applyBorder="1" applyAlignment="1" applyProtection="1">
      <alignment/>
      <protection locked="0"/>
    </xf>
    <xf numFmtId="0" fontId="0" fillId="0" borderId="45" xfId="0" applyBorder="1" applyAlignment="1">
      <alignment horizontal="center"/>
    </xf>
    <xf numFmtId="0" fontId="0" fillId="0" borderId="45" xfId="0" applyFont="1" applyBorder="1" applyAlignment="1">
      <alignment horizontal="center"/>
    </xf>
    <xf numFmtId="4" fontId="0" fillId="0" borderId="0" xfId="0" applyNumberFormat="1" applyAlignment="1" applyProtection="1">
      <alignment/>
      <protection locked="0"/>
    </xf>
    <xf numFmtId="4" fontId="0" fillId="0" borderId="45" xfId="0" applyNumberFormat="1" applyBorder="1" applyAlignment="1" applyProtection="1">
      <alignment/>
      <protection locked="0"/>
    </xf>
    <xf numFmtId="4" fontId="0" fillId="41" borderId="45" xfId="0" applyNumberFormat="1" applyFill="1" applyBorder="1" applyAlignment="1" applyProtection="1">
      <alignment/>
      <protection locked="0"/>
    </xf>
    <xf numFmtId="0" fontId="0" fillId="0" borderId="44" xfId="0" applyBorder="1" applyAlignment="1">
      <alignment horizontal="center"/>
    </xf>
    <xf numFmtId="0" fontId="0" fillId="0" borderId="44" xfId="0" applyBorder="1" applyAlignment="1" applyProtection="1">
      <alignment/>
      <protection locked="0"/>
    </xf>
    <xf numFmtId="4" fontId="0" fillId="0" borderId="41" xfId="0" applyNumberFormat="1" applyBorder="1" applyAlignment="1" applyProtection="1">
      <alignment/>
      <protection locked="0"/>
    </xf>
    <xf numFmtId="4" fontId="0" fillId="0" borderId="39" xfId="0" applyNumberFormat="1" applyBorder="1" applyAlignment="1" applyProtection="1">
      <alignment/>
      <protection locked="0"/>
    </xf>
    <xf numFmtId="4" fontId="0" fillId="0" borderId="45" xfId="0" applyNumberFormat="1" applyBorder="1" applyAlignment="1">
      <alignment/>
    </xf>
    <xf numFmtId="0" fontId="2" fillId="41" borderId="23" xfId="0" applyFont="1" applyFill="1" applyBorder="1" applyAlignment="1">
      <alignment/>
    </xf>
    <xf numFmtId="4" fontId="2" fillId="41" borderId="46" xfId="0" applyNumberFormat="1" applyFont="1" applyFill="1" applyBorder="1" applyAlignment="1">
      <alignment/>
    </xf>
    <xf numFmtId="4" fontId="2" fillId="41" borderId="47" xfId="0" applyNumberFormat="1" applyFont="1" applyFill="1" applyBorder="1" applyAlignment="1">
      <alignment/>
    </xf>
    <xf numFmtId="0" fontId="2" fillId="41" borderId="19" xfId="0" applyFont="1" applyFill="1" applyBorder="1" applyAlignment="1">
      <alignment/>
    </xf>
    <xf numFmtId="0" fontId="2" fillId="41" borderId="48" xfId="0" applyFont="1" applyFill="1" applyBorder="1" applyAlignment="1">
      <alignment/>
    </xf>
    <xf numFmtId="0" fontId="2" fillId="41" borderId="20" xfId="0" applyFont="1" applyFill="1" applyBorder="1" applyAlignment="1">
      <alignment/>
    </xf>
    <xf numFmtId="4" fontId="2" fillId="41" borderId="49" xfId="0" applyNumberFormat="1" applyFont="1" applyFill="1" applyBorder="1" applyAlignment="1">
      <alignment/>
    </xf>
    <xf numFmtId="4" fontId="2" fillId="0" borderId="21" xfId="0" applyNumberFormat="1" applyFont="1" applyBorder="1" applyAlignment="1">
      <alignment/>
    </xf>
    <xf numFmtId="4" fontId="2" fillId="0" borderId="35" xfId="0" applyNumberFormat="1" applyFont="1" applyBorder="1" applyAlignment="1">
      <alignment/>
    </xf>
    <xf numFmtId="4" fontId="2" fillId="41" borderId="22" xfId="0" applyNumberFormat="1" applyFont="1" applyFill="1" applyBorder="1" applyAlignment="1">
      <alignment/>
    </xf>
    <xf numFmtId="4" fontId="2" fillId="41" borderId="50" xfId="0" applyNumberFormat="1" applyFont="1" applyFill="1" applyBorder="1" applyAlignment="1">
      <alignment/>
    </xf>
    <xf numFmtId="4" fontId="2" fillId="41" borderId="21" xfId="0" applyNumberFormat="1" applyFont="1" applyFill="1" applyBorder="1" applyAlignment="1">
      <alignment/>
    </xf>
    <xf numFmtId="4" fontId="2" fillId="41" borderId="35" xfId="0" applyNumberFormat="1" applyFont="1" applyFill="1" applyBorder="1" applyAlignment="1">
      <alignment/>
    </xf>
    <xf numFmtId="0" fontId="0" fillId="0" borderId="0" xfId="0" applyFont="1" applyAlignment="1">
      <alignment/>
    </xf>
    <xf numFmtId="0" fontId="0" fillId="0" borderId="0" xfId="0" applyFont="1" applyAlignment="1">
      <alignment horizontal="right"/>
    </xf>
    <xf numFmtId="0" fontId="2" fillId="0" borderId="0" xfId="0" applyFont="1" applyAlignment="1">
      <alignment horizontal="right"/>
    </xf>
    <xf numFmtId="0" fontId="81" fillId="0" borderId="0" xfId="0" applyFont="1" applyFill="1" applyBorder="1" applyAlignment="1">
      <alignment horizontal="justify" vertical="top" wrapText="1"/>
    </xf>
    <xf numFmtId="195" fontId="81" fillId="0" borderId="0" xfId="59" applyNumberFormat="1" applyFont="1" applyFill="1" applyBorder="1" applyAlignment="1">
      <alignment horizontal="center" vertical="center"/>
    </xf>
    <xf numFmtId="0" fontId="34" fillId="0" borderId="0" xfId="0" applyFont="1" applyBorder="1" applyAlignment="1">
      <alignment/>
    </xf>
    <xf numFmtId="4" fontId="16" fillId="36" borderId="30" xfId="0" applyNumberFormat="1" applyFont="1" applyFill="1" applyBorder="1" applyAlignment="1" applyProtection="1">
      <alignment horizontal="right" wrapText="1"/>
      <protection locked="0"/>
    </xf>
    <xf numFmtId="0" fontId="34" fillId="36" borderId="30" xfId="0" applyFont="1" applyFill="1" applyBorder="1" applyAlignment="1">
      <alignment vertical="top" wrapText="1"/>
    </xf>
    <xf numFmtId="0" fontId="16" fillId="36" borderId="30" xfId="0" applyFont="1" applyFill="1" applyBorder="1" applyAlignment="1">
      <alignment vertical="top" wrapText="1"/>
    </xf>
    <xf numFmtId="0" fontId="34" fillId="36" borderId="30" xfId="0" applyFont="1" applyFill="1" applyBorder="1" applyAlignment="1">
      <alignment horizontal="right" vertical="top" wrapText="1"/>
    </xf>
    <xf numFmtId="0" fontId="81" fillId="0" borderId="30" xfId="0" applyFont="1" applyFill="1" applyBorder="1" applyAlignment="1">
      <alignment horizontal="justify" vertical="top" wrapText="1"/>
    </xf>
    <xf numFmtId="196" fontId="81" fillId="0" borderId="30" xfId="0" applyNumberFormat="1" applyFont="1" applyBorder="1" applyAlignment="1">
      <alignment horizontal="center" vertical="center" wrapText="1"/>
    </xf>
    <xf numFmtId="197" fontId="81" fillId="0" borderId="30" xfId="0" applyNumberFormat="1" applyFont="1" applyBorder="1" applyAlignment="1">
      <alignment horizontal="center" vertical="center" wrapText="1"/>
    </xf>
    <xf numFmtId="0" fontId="81" fillId="0" borderId="30" xfId="0" applyFont="1" applyBorder="1" applyAlignment="1">
      <alignment horizontal="justify" vertical="top" wrapText="1"/>
    </xf>
    <xf numFmtId="0" fontId="0" fillId="0" borderId="30" xfId="0" applyFont="1" applyFill="1" applyBorder="1" applyAlignment="1">
      <alignment horizontal="right" vertical="top" wrapText="1"/>
    </xf>
    <xf numFmtId="0" fontId="0" fillId="42" borderId="30" xfId="0" applyFont="1" applyFill="1" applyBorder="1" applyAlignment="1">
      <alignment vertical="top" wrapText="1"/>
    </xf>
    <xf numFmtId="4" fontId="2" fillId="42" borderId="30" xfId="0" applyNumberFormat="1" applyFont="1" applyFill="1" applyBorder="1" applyAlignment="1" applyProtection="1">
      <alignment horizontal="right" wrapText="1"/>
      <protection locked="0"/>
    </xf>
    <xf numFmtId="0" fontId="0" fillId="42" borderId="30" xfId="0" applyFont="1" applyFill="1" applyBorder="1" applyAlignment="1">
      <alignment horizontal="center" vertical="top" wrapText="1"/>
    </xf>
    <xf numFmtId="0" fontId="35" fillId="42" borderId="30" xfId="0" applyFont="1" applyFill="1" applyBorder="1" applyAlignment="1">
      <alignment horizontal="justify" vertical="center" wrapText="1"/>
    </xf>
    <xf numFmtId="0" fontId="35" fillId="42" borderId="30" xfId="0" applyFont="1" applyFill="1" applyBorder="1" applyAlignment="1">
      <alignment horizontal="center" vertical="center" wrapText="1"/>
    </xf>
    <xf numFmtId="0" fontId="0" fillId="0" borderId="30" xfId="0" applyFont="1" applyFill="1" applyBorder="1" applyAlignment="1">
      <alignment horizontal="justify" vertical="top" wrapText="1"/>
    </xf>
    <xf numFmtId="0" fontId="35" fillId="0" borderId="30" xfId="0" applyFont="1" applyFill="1" applyBorder="1" applyAlignment="1">
      <alignment horizontal="center" vertical="center" wrapText="1"/>
    </xf>
    <xf numFmtId="0" fontId="0" fillId="0" borderId="30" xfId="0" applyFont="1" applyFill="1" applyBorder="1" applyAlignment="1">
      <alignment horizontal="center" vertical="center" wrapText="1"/>
    </xf>
    <xf numFmtId="197" fontId="81" fillId="0" borderId="51" xfId="0" applyNumberFormat="1" applyFont="1" applyBorder="1" applyAlignment="1">
      <alignment horizontal="center" vertical="center" wrapText="1"/>
    </xf>
    <xf numFmtId="0" fontId="81" fillId="0" borderId="51" xfId="0" applyFont="1" applyFill="1" applyBorder="1" applyAlignment="1">
      <alignment horizontal="justify" vertical="top" wrapText="1"/>
    </xf>
    <xf numFmtId="0" fontId="35" fillId="42" borderId="30" xfId="0" applyFont="1" applyFill="1" applyBorder="1" applyAlignment="1">
      <alignment vertical="top" wrapText="1"/>
    </xf>
    <xf numFmtId="0" fontId="35" fillId="42" borderId="30" xfId="0" applyFont="1" applyFill="1" applyBorder="1" applyAlignment="1">
      <alignment horizontal="right" vertical="top" wrapText="1"/>
    </xf>
    <xf numFmtId="4" fontId="2" fillId="36" borderId="52" xfId="0" applyNumberFormat="1" applyFont="1" applyFill="1" applyBorder="1" applyAlignment="1" applyProtection="1">
      <alignment horizontal="right" wrapText="1"/>
      <protection locked="0"/>
    </xf>
    <xf numFmtId="4" fontId="2" fillId="36" borderId="53" xfId="0" applyNumberFormat="1" applyFont="1" applyFill="1" applyBorder="1" applyAlignment="1" applyProtection="1">
      <alignment horizontal="right" wrapText="1"/>
      <protection locked="0"/>
    </xf>
    <xf numFmtId="0" fontId="0" fillId="36" borderId="53" xfId="0" applyFont="1" applyFill="1" applyBorder="1" applyAlignment="1">
      <alignment vertical="top" wrapText="1"/>
    </xf>
    <xf numFmtId="0" fontId="3" fillId="36" borderId="53" xfId="0" applyFont="1" applyFill="1" applyBorder="1" applyAlignment="1">
      <alignment/>
    </xf>
    <xf numFmtId="0" fontId="2" fillId="36" borderId="54" xfId="0" applyFont="1" applyFill="1" applyBorder="1" applyAlignment="1">
      <alignment horizontal="right"/>
    </xf>
    <xf numFmtId="4" fontId="35" fillId="43" borderId="13" xfId="0" applyNumberFormat="1" applyFont="1" applyFill="1" applyBorder="1" applyAlignment="1">
      <alignment horizontal="center" vertical="center" wrapText="1"/>
    </xf>
    <xf numFmtId="4" fontId="35" fillId="43" borderId="14" xfId="0" applyNumberFormat="1" applyFont="1" applyFill="1" applyBorder="1" applyAlignment="1">
      <alignment horizontal="center" vertical="center" wrapText="1"/>
    </xf>
    <xf numFmtId="0" fontId="35" fillId="43" borderId="32" xfId="0" applyFont="1" applyFill="1" applyBorder="1" applyAlignment="1">
      <alignment horizontal="center" vertical="center" wrapText="1"/>
    </xf>
    <xf numFmtId="0" fontId="35" fillId="43" borderId="14" xfId="0" applyFont="1" applyFill="1" applyBorder="1" applyAlignment="1">
      <alignment horizontal="center" vertical="center" wrapText="1"/>
    </xf>
    <xf numFmtId="0" fontId="35" fillId="43" borderId="13" xfId="0" applyFont="1" applyFill="1" applyBorder="1" applyAlignment="1">
      <alignment horizontal="center" vertical="center" wrapText="1"/>
    </xf>
    <xf numFmtId="4" fontId="0" fillId="36" borderId="55" xfId="0" applyNumberFormat="1" applyFill="1" applyBorder="1" applyAlignment="1" applyProtection="1">
      <alignment/>
      <protection/>
    </xf>
    <xf numFmtId="4" fontId="0" fillId="36" borderId="56" xfId="0" applyNumberFormat="1" applyFill="1" applyBorder="1" applyAlignment="1" applyProtection="1">
      <alignment/>
      <protection/>
    </xf>
    <xf numFmtId="0" fontId="0" fillId="0" borderId="57" xfId="0" applyFill="1" applyBorder="1" applyAlignment="1" applyProtection="1">
      <alignment/>
      <protection/>
    </xf>
    <xf numFmtId="0" fontId="2" fillId="0" borderId="58" xfId="0" applyFont="1" applyFill="1" applyBorder="1" applyAlignment="1" applyProtection="1">
      <alignment/>
      <protection/>
    </xf>
    <xf numFmtId="4" fontId="0" fillId="0" borderId="59" xfId="0" applyNumberFormat="1" applyFill="1" applyBorder="1" applyAlignment="1" applyProtection="1">
      <alignment/>
      <protection/>
    </xf>
    <xf numFmtId="0" fontId="0" fillId="0" borderId="30" xfId="0" applyFill="1" applyBorder="1" applyAlignment="1" applyProtection="1">
      <alignment/>
      <protection/>
    </xf>
    <xf numFmtId="0" fontId="0" fillId="0" borderId="41" xfId="0" applyFill="1" applyBorder="1" applyAlignment="1" applyProtection="1">
      <alignment/>
      <protection/>
    </xf>
    <xf numFmtId="0" fontId="2" fillId="0" borderId="29" xfId="0" applyFont="1" applyFill="1" applyBorder="1" applyAlignment="1" applyProtection="1">
      <alignment/>
      <protection/>
    </xf>
    <xf numFmtId="0" fontId="0" fillId="0" borderId="12" xfId="0" applyFill="1" applyBorder="1" applyAlignment="1" applyProtection="1">
      <alignment/>
      <protection/>
    </xf>
    <xf numFmtId="0" fontId="0" fillId="0" borderId="38" xfId="0" applyFill="1" applyBorder="1" applyAlignment="1" applyProtection="1">
      <alignment/>
      <protection/>
    </xf>
    <xf numFmtId="0" fontId="0" fillId="0" borderId="0" xfId="0" applyFill="1" applyBorder="1" applyAlignment="1" applyProtection="1">
      <alignment/>
      <protection/>
    </xf>
    <xf numFmtId="0" fontId="0" fillId="0" borderId="44" xfId="0" applyFill="1" applyBorder="1" applyAlignment="1" applyProtection="1">
      <alignment/>
      <protection/>
    </xf>
    <xf numFmtId="0" fontId="0" fillId="0" borderId="10" xfId="0" applyFill="1" applyBorder="1" applyAlignment="1" applyProtection="1">
      <alignment/>
      <protection/>
    </xf>
    <xf numFmtId="4" fontId="0" fillId="36" borderId="40" xfId="0" applyNumberFormat="1" applyFill="1" applyBorder="1" applyAlignment="1" applyProtection="1">
      <alignment/>
      <protection/>
    </xf>
    <xf numFmtId="4" fontId="0" fillId="36" borderId="38" xfId="0" applyNumberFormat="1" applyFill="1" applyBorder="1" applyAlignment="1" applyProtection="1">
      <alignment/>
      <protection/>
    </xf>
    <xf numFmtId="0" fontId="0" fillId="0" borderId="0" xfId="0" applyFill="1" applyBorder="1" applyAlignment="1" applyProtection="1">
      <alignment horizontal="center"/>
      <protection locked="0"/>
    </xf>
    <xf numFmtId="4" fontId="0" fillId="0" borderId="38" xfId="0" applyNumberFormat="1" applyFill="1" applyBorder="1" applyAlignment="1" applyProtection="1">
      <alignment/>
      <protection/>
    </xf>
    <xf numFmtId="0" fontId="0" fillId="0" borderId="10" xfId="0" applyFill="1" applyBorder="1" applyAlignment="1" applyProtection="1">
      <alignment horizontal="center"/>
      <protection/>
    </xf>
    <xf numFmtId="4" fontId="0" fillId="0" borderId="33" xfId="0" applyNumberFormat="1" applyFill="1" applyBorder="1" applyAlignment="1" applyProtection="1">
      <alignment/>
      <protection/>
    </xf>
    <xf numFmtId="0" fontId="0" fillId="36" borderId="11" xfId="0" applyFill="1" applyBorder="1" applyAlignment="1" applyProtection="1">
      <alignment horizontal="center"/>
      <protection/>
    </xf>
    <xf numFmtId="0" fontId="0" fillId="36" borderId="44" xfId="0" applyFill="1" applyBorder="1" applyAlignment="1" applyProtection="1">
      <alignment horizontal="center"/>
      <protection/>
    </xf>
    <xf numFmtId="0" fontId="0" fillId="36" borderId="43" xfId="0" applyFill="1" applyBorder="1" applyAlignment="1" applyProtection="1">
      <alignment horizontal="center"/>
      <protection/>
    </xf>
    <xf numFmtId="0" fontId="0" fillId="36" borderId="60" xfId="0" applyFill="1" applyBorder="1" applyAlignment="1" applyProtection="1">
      <alignment horizontal="center"/>
      <protection/>
    </xf>
    <xf numFmtId="0" fontId="0" fillId="36" borderId="12" xfId="0" applyFill="1" applyBorder="1" applyAlignment="1" applyProtection="1">
      <alignment horizontal="center"/>
      <protection/>
    </xf>
    <xf numFmtId="0" fontId="0" fillId="36" borderId="38" xfId="0" applyFill="1" applyBorder="1" applyAlignment="1" applyProtection="1">
      <alignment horizontal="center"/>
      <protection/>
    </xf>
    <xf numFmtId="0" fontId="0" fillId="36" borderId="0" xfId="0" applyFill="1" applyBorder="1" applyAlignment="1" applyProtection="1">
      <alignment horizontal="center"/>
      <protection/>
    </xf>
    <xf numFmtId="0" fontId="0" fillId="36" borderId="51" xfId="0" applyFill="1" applyBorder="1" applyAlignment="1" applyProtection="1">
      <alignment horizontal="center"/>
      <protection/>
    </xf>
    <xf numFmtId="0" fontId="0" fillId="36" borderId="10" xfId="0" applyFill="1" applyBorder="1" applyAlignment="1" applyProtection="1">
      <alignment horizontal="center"/>
      <protection/>
    </xf>
    <xf numFmtId="0" fontId="0" fillId="0" borderId="11" xfId="0" applyFill="1" applyBorder="1" applyAlignment="1" applyProtection="1">
      <alignment/>
      <protection/>
    </xf>
    <xf numFmtId="0" fontId="0" fillId="0" borderId="61" xfId="0" applyFill="1" applyBorder="1" applyAlignment="1" applyProtection="1">
      <alignment/>
      <protection/>
    </xf>
    <xf numFmtId="10" fontId="2" fillId="0" borderId="43" xfId="0" applyNumberFormat="1" applyFont="1" applyFill="1" applyBorder="1" applyAlignment="1" applyProtection="1">
      <alignment/>
      <protection locked="0"/>
    </xf>
    <xf numFmtId="0" fontId="2" fillId="0" borderId="43" xfId="0" applyFont="1" applyFill="1" applyBorder="1" applyAlignment="1" applyProtection="1">
      <alignment/>
      <protection/>
    </xf>
    <xf numFmtId="0" fontId="2" fillId="0" borderId="60" xfId="0" applyFont="1" applyFill="1" applyBorder="1" applyAlignment="1" applyProtection="1">
      <alignment/>
      <protection/>
    </xf>
    <xf numFmtId="9" fontId="0" fillId="0" borderId="19" xfId="0" applyNumberFormat="1" applyFill="1" applyBorder="1" applyAlignment="1" applyProtection="1">
      <alignment/>
      <protection locked="0"/>
    </xf>
    <xf numFmtId="0" fontId="0" fillId="0" borderId="28" xfId="0" applyFill="1" applyBorder="1" applyAlignment="1" applyProtection="1">
      <alignment/>
      <protection/>
    </xf>
    <xf numFmtId="0" fontId="2" fillId="0" borderId="23" xfId="0" applyFont="1" applyFill="1" applyBorder="1" applyAlignment="1" applyProtection="1">
      <alignment/>
      <protection/>
    </xf>
    <xf numFmtId="4" fontId="2" fillId="0" borderId="12" xfId="0" applyNumberFormat="1" applyFont="1" applyFill="1" applyBorder="1" applyAlignment="1" applyProtection="1">
      <alignment/>
      <protection/>
    </xf>
    <xf numFmtId="0" fontId="2" fillId="0" borderId="10" xfId="0" applyFont="1" applyFill="1" applyBorder="1" applyAlignment="1" applyProtection="1">
      <alignment/>
      <protection/>
    </xf>
    <xf numFmtId="4" fontId="36" fillId="0" borderId="15" xfId="0" applyNumberFormat="1" applyFont="1" applyFill="1" applyBorder="1" applyAlignment="1" applyProtection="1">
      <alignment/>
      <protection/>
    </xf>
    <xf numFmtId="0" fontId="0" fillId="0" borderId="14" xfId="0" applyFill="1" applyBorder="1" applyAlignment="1" applyProtection="1">
      <alignment/>
      <protection/>
    </xf>
    <xf numFmtId="0" fontId="2" fillId="0" borderId="13" xfId="0" applyFont="1" applyFill="1" applyBorder="1" applyAlignment="1" applyProtection="1">
      <alignment/>
      <protection/>
    </xf>
    <xf numFmtId="0" fontId="16" fillId="0" borderId="0" xfId="0" applyFont="1" applyAlignment="1">
      <alignment horizontal="center"/>
    </xf>
    <xf numFmtId="9" fontId="2" fillId="0" borderId="0" xfId="0" applyNumberFormat="1" applyFont="1" applyAlignment="1">
      <alignment horizontal="center"/>
    </xf>
    <xf numFmtId="9" fontId="0" fillId="0" borderId="0" xfId="0" applyNumberFormat="1" applyAlignment="1">
      <alignment/>
    </xf>
    <xf numFmtId="0" fontId="36" fillId="0" borderId="0" xfId="0" applyFont="1" applyAlignment="1">
      <alignment horizontal="justify" vertical="top" wrapText="1"/>
    </xf>
    <xf numFmtId="9" fontId="30" fillId="0" borderId="0" xfId="0" applyNumberFormat="1" applyFont="1" applyAlignment="1">
      <alignment horizontal="center"/>
    </xf>
    <xf numFmtId="4" fontId="30" fillId="0" borderId="0" xfId="0" applyNumberFormat="1" applyFont="1" applyAlignment="1">
      <alignment horizontal="center"/>
    </xf>
    <xf numFmtId="0" fontId="38" fillId="0" borderId="20" xfId="0" applyFont="1" applyBorder="1" applyAlignment="1">
      <alignment/>
    </xf>
    <xf numFmtId="4" fontId="30" fillId="0" borderId="21" xfId="49" applyNumberFormat="1" applyFont="1" applyBorder="1" applyAlignment="1">
      <alignment horizontal="center"/>
    </xf>
    <xf numFmtId="10" fontId="30" fillId="0" borderId="22" xfId="0" applyNumberFormat="1" applyFont="1" applyBorder="1" applyAlignment="1">
      <alignment horizontal="center"/>
    </xf>
    <xf numFmtId="9" fontId="36" fillId="0" borderId="0" xfId="0" applyNumberFormat="1" applyFont="1" applyAlignment="1">
      <alignment/>
    </xf>
    <xf numFmtId="0" fontId="36" fillId="0" borderId="0" xfId="0" applyFont="1" applyAlignment="1">
      <alignment/>
    </xf>
    <xf numFmtId="4" fontId="36" fillId="0" borderId="0" xfId="0" applyNumberFormat="1" applyFont="1" applyAlignment="1">
      <alignment/>
    </xf>
    <xf numFmtId="0" fontId="30" fillId="0" borderId="0" xfId="0" applyFont="1" applyAlignment="1">
      <alignment/>
    </xf>
    <xf numFmtId="178" fontId="30" fillId="0" borderId="0" xfId="0" applyNumberFormat="1" applyFont="1" applyAlignment="1">
      <alignment/>
    </xf>
    <xf numFmtId="4" fontId="36" fillId="0" borderId="0" xfId="0" applyNumberFormat="1" applyFont="1" applyAlignment="1">
      <alignment horizontal="justify" vertical="top" wrapText="1"/>
    </xf>
    <xf numFmtId="0" fontId="30" fillId="0" borderId="0" xfId="0" applyFont="1" applyBorder="1" applyAlignment="1">
      <alignment/>
    </xf>
    <xf numFmtId="0" fontId="36" fillId="0" borderId="0" xfId="0" applyFont="1" applyBorder="1" applyAlignment="1">
      <alignment/>
    </xf>
    <xf numFmtId="4" fontId="36" fillId="0" borderId="0" xfId="0" applyNumberFormat="1" applyFont="1" applyBorder="1" applyAlignment="1">
      <alignment/>
    </xf>
    <xf numFmtId="178" fontId="30" fillId="0" borderId="0" xfId="0" applyNumberFormat="1" applyFont="1" applyBorder="1" applyAlignment="1">
      <alignment/>
    </xf>
    <xf numFmtId="179" fontId="0" fillId="0" borderId="0" xfId="0" applyNumberFormat="1" applyAlignment="1">
      <alignment/>
    </xf>
    <xf numFmtId="49" fontId="38" fillId="0" borderId="20" xfId="0" applyNumberFormat="1" applyFont="1" applyBorder="1" applyAlignment="1">
      <alignment/>
    </xf>
    <xf numFmtId="9" fontId="2" fillId="0" borderId="0" xfId="0" applyNumberFormat="1" applyFont="1" applyFill="1" applyAlignment="1">
      <alignment horizontal="center"/>
    </xf>
    <xf numFmtId="0" fontId="36" fillId="0" borderId="0" xfId="0" applyFont="1" applyAlignment="1">
      <alignment horizontal="left" vertical="top" wrapText="1"/>
    </xf>
    <xf numFmtId="4" fontId="36" fillId="0" borderId="0" xfId="0" applyNumberFormat="1" applyFont="1" applyAlignment="1">
      <alignment horizontal="left" vertical="top" wrapText="1"/>
    </xf>
    <xf numFmtId="49" fontId="38" fillId="0" borderId="0" xfId="0" applyNumberFormat="1" applyFont="1" applyBorder="1" applyAlignment="1">
      <alignment/>
    </xf>
    <xf numFmtId="9" fontId="30" fillId="0" borderId="0" xfId="0" applyNumberFormat="1" applyFont="1" applyBorder="1" applyAlignment="1">
      <alignment horizontal="center"/>
    </xf>
    <xf numFmtId="4" fontId="30" fillId="0" borderId="0" xfId="49" applyNumberFormat="1" applyFont="1" applyBorder="1" applyAlignment="1">
      <alignment horizontal="center"/>
    </xf>
    <xf numFmtId="10" fontId="30" fillId="0" borderId="0" xfId="0" applyNumberFormat="1" applyFont="1" applyBorder="1" applyAlignment="1">
      <alignment horizontal="center"/>
    </xf>
    <xf numFmtId="9" fontId="30" fillId="0" borderId="17" xfId="0" applyNumberFormat="1" applyFont="1" applyBorder="1" applyAlignment="1">
      <alignment horizontal="left"/>
    </xf>
    <xf numFmtId="9" fontId="30" fillId="0" borderId="17" xfId="0" applyNumberFormat="1" applyFont="1" applyBorder="1" applyAlignment="1">
      <alignment horizontal="center"/>
    </xf>
    <xf numFmtId="4" fontId="30" fillId="0" borderId="17" xfId="0" applyNumberFormat="1" applyFont="1" applyBorder="1" applyAlignment="1">
      <alignment horizontal="center"/>
    </xf>
    <xf numFmtId="178" fontId="30" fillId="0" borderId="17" xfId="0" applyNumberFormat="1" applyFont="1" applyBorder="1" applyAlignment="1">
      <alignment horizontal="center"/>
    </xf>
    <xf numFmtId="180" fontId="2" fillId="0" borderId="0" xfId="49" applyNumberFormat="1" applyFont="1" applyAlignment="1">
      <alignment horizontal="center"/>
    </xf>
    <xf numFmtId="4" fontId="2" fillId="0" borderId="0" xfId="0" applyNumberFormat="1" applyFont="1" applyAlignment="1">
      <alignment horizontal="center"/>
    </xf>
    <xf numFmtId="10" fontId="0" fillId="0" borderId="0" xfId="64" applyNumberFormat="1" applyFont="1" applyAlignment="1">
      <alignment/>
    </xf>
    <xf numFmtId="0" fontId="24" fillId="0" borderId="0" xfId="0" applyFont="1" applyAlignment="1">
      <alignment horizontal="center"/>
    </xf>
    <xf numFmtId="0" fontId="0" fillId="0" borderId="0" xfId="0" applyFont="1" applyAlignment="1">
      <alignment horizontal="justify"/>
    </xf>
    <xf numFmtId="0" fontId="39" fillId="0" borderId="0" xfId="0" applyFont="1" applyAlignment="1">
      <alignment/>
    </xf>
    <xf numFmtId="0" fontId="6" fillId="0" borderId="0" xfId="0" applyFont="1" applyAlignment="1">
      <alignment/>
    </xf>
    <xf numFmtId="0" fontId="82" fillId="0" borderId="35" xfId="0" applyFont="1" applyBorder="1" applyAlignment="1">
      <alignment/>
    </xf>
    <xf numFmtId="0" fontId="82" fillId="0" borderId="21" xfId="0" applyFont="1" applyBorder="1" applyAlignment="1">
      <alignment horizontal="center" wrapText="1"/>
    </xf>
    <xf numFmtId="0" fontId="82" fillId="0" borderId="35" xfId="0" applyFont="1" applyBorder="1" applyAlignment="1">
      <alignment horizontal="center" wrapText="1"/>
    </xf>
    <xf numFmtId="0" fontId="82" fillId="0" borderId="22" xfId="0" applyFont="1" applyBorder="1" applyAlignment="1">
      <alignment horizontal="center" wrapText="1"/>
    </xf>
    <xf numFmtId="0" fontId="83" fillId="0" borderId="62" xfId="0" applyFont="1" applyBorder="1" applyAlignment="1">
      <alignment/>
    </xf>
    <xf numFmtId="0" fontId="82" fillId="0" borderId="12" xfId="0" applyFont="1" applyBorder="1" applyAlignment="1">
      <alignment horizontal="right"/>
    </xf>
    <xf numFmtId="0" fontId="82" fillId="0" borderId="22" xfId="0" applyFont="1" applyBorder="1" applyAlignment="1">
      <alignment horizontal="center"/>
    </xf>
    <xf numFmtId="10" fontId="82" fillId="0" borderId="22" xfId="0" applyNumberFormat="1" applyFont="1" applyBorder="1" applyAlignment="1">
      <alignment horizontal="center"/>
    </xf>
    <xf numFmtId="0" fontId="2" fillId="0" borderId="0" xfId="0" applyFont="1" applyAlignment="1">
      <alignment horizontal="justify"/>
    </xf>
    <xf numFmtId="0" fontId="40" fillId="0" borderId="0" xfId="0" applyFont="1" applyAlignment="1">
      <alignment horizontal="justify"/>
    </xf>
    <xf numFmtId="0" fontId="23" fillId="0" borderId="0" xfId="0" applyFont="1" applyAlignment="1">
      <alignment horizontal="justify"/>
    </xf>
    <xf numFmtId="0" fontId="2" fillId="0" borderId="13" xfId="0" applyFont="1" applyBorder="1" applyAlignment="1">
      <alignment horizontal="center"/>
    </xf>
    <xf numFmtId="0" fontId="2" fillId="0" borderId="14" xfId="0" applyFont="1" applyBorder="1" applyAlignment="1">
      <alignment horizontal="center"/>
    </xf>
    <xf numFmtId="0" fontId="0" fillId="0" borderId="15" xfId="0"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0" fillId="0" borderId="12" xfId="0" applyBorder="1" applyAlignment="1">
      <alignment horizontal="center"/>
    </xf>
    <xf numFmtId="0" fontId="2" fillId="0" borderId="12" xfId="0" applyFont="1" applyBorder="1" applyAlignment="1">
      <alignment horizontal="center"/>
    </xf>
    <xf numFmtId="0" fontId="0" fillId="0" borderId="0" xfId="0" applyBorder="1" applyAlignment="1">
      <alignment horizontal="center"/>
    </xf>
    <xf numFmtId="0" fontId="0" fillId="0" borderId="0" xfId="0" applyBorder="1" applyAlignment="1">
      <alignment/>
    </xf>
    <xf numFmtId="0" fontId="2" fillId="0" borderId="0" xfId="0" applyFont="1" applyBorder="1" applyAlignment="1">
      <alignment/>
    </xf>
    <xf numFmtId="0" fontId="2" fillId="33" borderId="21" xfId="0" applyFont="1" applyFill="1" applyBorder="1" applyAlignment="1">
      <alignment horizontal="center"/>
    </xf>
    <xf numFmtId="0" fontId="0" fillId="33" borderId="21" xfId="0" applyFill="1" applyBorder="1" applyAlignment="1">
      <alignment horizontal="center"/>
    </xf>
    <xf numFmtId="0" fontId="2" fillId="33" borderId="14" xfId="0" applyFont="1" applyFill="1" applyBorder="1" applyAlignment="1">
      <alignment horizontal="center"/>
    </xf>
    <xf numFmtId="0" fontId="0" fillId="33" borderId="14" xfId="0" applyFill="1" applyBorder="1" applyAlignment="1">
      <alignment horizontal="center"/>
    </xf>
    <xf numFmtId="0" fontId="0" fillId="0" borderId="14" xfId="0" applyBorder="1" applyAlignment="1">
      <alignment/>
    </xf>
    <xf numFmtId="0" fontId="7" fillId="0" borderId="0" xfId="0" applyFont="1" applyBorder="1" applyAlignment="1">
      <alignment horizontal="center"/>
    </xf>
    <xf numFmtId="0" fontId="2" fillId="0" borderId="15" xfId="0" applyFont="1" applyBorder="1" applyAlignment="1">
      <alignment horizontal="center"/>
    </xf>
    <xf numFmtId="0" fontId="8" fillId="0" borderId="10" xfId="0" applyFont="1" applyFill="1" applyBorder="1" applyAlignment="1">
      <alignment horizontal="center"/>
    </xf>
    <xf numFmtId="0" fontId="8" fillId="0" borderId="0" xfId="0" applyFont="1" applyFill="1" applyBorder="1" applyAlignment="1">
      <alignment horizontal="center"/>
    </xf>
    <xf numFmtId="0" fontId="8" fillId="0" borderId="12" xfId="0" applyFont="1" applyFill="1" applyBorder="1" applyAlignment="1">
      <alignment horizontal="center"/>
    </xf>
    <xf numFmtId="0" fontId="8" fillId="0" borderId="60" xfId="0" applyFont="1" applyFill="1" applyBorder="1" applyAlignment="1">
      <alignment horizontal="center"/>
    </xf>
    <xf numFmtId="0" fontId="8" fillId="0" borderId="43" xfId="0" applyFont="1" applyFill="1" applyBorder="1" applyAlignment="1">
      <alignment horizontal="center"/>
    </xf>
    <xf numFmtId="0" fontId="8" fillId="0" borderId="11" xfId="0" applyFont="1" applyFill="1" applyBorder="1" applyAlignment="1">
      <alignment horizontal="center"/>
    </xf>
    <xf numFmtId="0" fontId="8" fillId="0" borderId="63" xfId="0" applyFont="1" applyFill="1" applyBorder="1" applyAlignment="1">
      <alignment horizontal="center"/>
    </xf>
    <xf numFmtId="0" fontId="8" fillId="0" borderId="24" xfId="0" applyFont="1" applyFill="1" applyBorder="1" applyAlignment="1">
      <alignment horizontal="center"/>
    </xf>
    <xf numFmtId="0" fontId="8" fillId="0" borderId="64" xfId="0" applyFont="1" applyFill="1" applyBorder="1" applyAlignment="1">
      <alignment horizontal="center"/>
    </xf>
    <xf numFmtId="0" fontId="8" fillId="0" borderId="16"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8" fillId="0" borderId="13" xfId="0" applyFont="1" applyFill="1" applyBorder="1" applyAlignment="1">
      <alignment horizontal="center"/>
    </xf>
    <xf numFmtId="0" fontId="8" fillId="0" borderId="14" xfId="0" applyFont="1" applyFill="1" applyBorder="1" applyAlignment="1">
      <alignment horizontal="center"/>
    </xf>
    <xf numFmtId="0" fontId="8" fillId="0" borderId="15" xfId="0" applyFont="1" applyFill="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xf>
    <xf numFmtId="0" fontId="2" fillId="0" borderId="23" xfId="0" applyFont="1" applyFill="1" applyBorder="1" applyAlignment="1">
      <alignment horizontal="center"/>
    </xf>
    <xf numFmtId="0" fontId="2" fillId="0" borderId="28" xfId="0" applyFont="1" applyFill="1" applyBorder="1" applyAlignment="1">
      <alignment horizontal="center"/>
    </xf>
    <xf numFmtId="0" fontId="2" fillId="0" borderId="19" xfId="0" applyFont="1" applyFill="1" applyBorder="1" applyAlignment="1">
      <alignment horizontal="center"/>
    </xf>
    <xf numFmtId="0" fontId="2" fillId="0" borderId="10" xfId="0" applyFont="1" applyFill="1" applyBorder="1" applyAlignment="1">
      <alignment horizontal="left" wrapText="1"/>
    </xf>
    <xf numFmtId="0" fontId="2" fillId="0" borderId="0" xfId="0" applyFont="1" applyFill="1" applyBorder="1" applyAlignment="1">
      <alignment horizontal="left" wrapText="1"/>
    </xf>
    <xf numFmtId="0" fontId="2" fillId="0" borderId="12" xfId="0" applyFont="1" applyFill="1" applyBorder="1" applyAlignment="1">
      <alignment horizontal="left" wrapText="1"/>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16" fillId="0" borderId="0" xfId="0" applyFont="1" applyAlignment="1">
      <alignment horizontal="center" vertical="center"/>
    </xf>
    <xf numFmtId="0" fontId="17" fillId="0" borderId="0" xfId="0" applyFont="1" applyAlignment="1" applyProtection="1">
      <alignment horizontal="center"/>
      <protection/>
    </xf>
    <xf numFmtId="0" fontId="2" fillId="34" borderId="65" xfId="0" applyFont="1" applyFill="1" applyBorder="1" applyAlignment="1" applyProtection="1">
      <alignment horizontal="center"/>
      <protection/>
    </xf>
    <xf numFmtId="0" fontId="2" fillId="34" borderId="66" xfId="0" applyFont="1" applyFill="1" applyBorder="1" applyAlignment="1" applyProtection="1">
      <alignment horizontal="center"/>
      <protection/>
    </xf>
    <xf numFmtId="0" fontId="2" fillId="34" borderId="57" xfId="0" applyFont="1" applyFill="1" applyBorder="1" applyAlignment="1" applyProtection="1">
      <alignment horizontal="center"/>
      <protection/>
    </xf>
    <xf numFmtId="0" fontId="2" fillId="36" borderId="20" xfId="0" applyFont="1" applyFill="1" applyBorder="1" applyAlignment="1" applyProtection="1">
      <alignment horizontal="center" vertical="justify"/>
      <protection/>
    </xf>
    <xf numFmtId="0" fontId="2" fillId="36" borderId="22" xfId="0" applyFont="1" applyFill="1" applyBorder="1" applyAlignment="1" applyProtection="1">
      <alignment horizontal="center" vertical="justify"/>
      <protection/>
    </xf>
    <xf numFmtId="0" fontId="29" fillId="34" borderId="32" xfId="0" applyFont="1" applyFill="1" applyBorder="1" applyAlignment="1" applyProtection="1">
      <alignment horizontal="center" vertical="justify"/>
      <protection/>
    </xf>
    <xf numFmtId="0" fontId="29" fillId="34" borderId="62" xfId="0" applyFont="1" applyFill="1" applyBorder="1" applyAlignment="1" applyProtection="1">
      <alignment horizontal="center" vertical="justify"/>
      <protection/>
    </xf>
    <xf numFmtId="0" fontId="2" fillId="36" borderId="32" xfId="0" applyFont="1" applyFill="1" applyBorder="1" applyAlignment="1" applyProtection="1">
      <alignment horizontal="center" vertical="justify"/>
      <protection/>
    </xf>
    <xf numFmtId="0" fontId="2" fillId="36" borderId="62" xfId="0" applyFont="1" applyFill="1" applyBorder="1" applyAlignment="1" applyProtection="1">
      <alignment horizontal="center" vertical="justify"/>
      <protection/>
    </xf>
    <xf numFmtId="0" fontId="2" fillId="36" borderId="32" xfId="0" applyFont="1" applyFill="1" applyBorder="1" applyAlignment="1" applyProtection="1">
      <alignment horizontal="center" vertical="center"/>
      <protection/>
    </xf>
    <xf numFmtId="0" fontId="2" fillId="36" borderId="62" xfId="0" applyFont="1" applyFill="1" applyBorder="1" applyAlignment="1" applyProtection="1">
      <alignment horizontal="center" vertical="center"/>
      <protection/>
    </xf>
    <xf numFmtId="0" fontId="2" fillId="36" borderId="32" xfId="0" applyFont="1" applyFill="1" applyBorder="1" applyAlignment="1" applyProtection="1">
      <alignment horizontal="justify" vertical="center"/>
      <protection/>
    </xf>
    <xf numFmtId="0" fontId="2" fillId="36" borderId="62" xfId="0" applyFont="1" applyFill="1" applyBorder="1" applyAlignment="1" applyProtection="1">
      <alignment horizontal="justify" vertical="center"/>
      <protection/>
    </xf>
    <xf numFmtId="14" fontId="0" fillId="0" borderId="20" xfId="0" applyNumberFormat="1" applyBorder="1" applyAlignment="1" applyProtection="1">
      <alignment horizontal="center"/>
      <protection locked="0"/>
    </xf>
    <xf numFmtId="0" fontId="0" fillId="0" borderId="22" xfId="0" applyBorder="1" applyAlignment="1" applyProtection="1">
      <alignment horizontal="center"/>
      <protection locked="0"/>
    </xf>
    <xf numFmtId="0" fontId="13" fillId="0" borderId="0" xfId="0" applyFont="1" applyAlignment="1" applyProtection="1">
      <alignment horizontal="left"/>
      <protection/>
    </xf>
    <xf numFmtId="0" fontId="0" fillId="0" borderId="20" xfId="0" applyFont="1" applyFill="1" applyBorder="1" applyAlignment="1" applyProtection="1">
      <alignment horizontal="left" vertical="justify"/>
      <protection locked="0"/>
    </xf>
    <xf numFmtId="0" fontId="0" fillId="0" borderId="21" xfId="0" applyFont="1" applyFill="1" applyBorder="1" applyAlignment="1" applyProtection="1">
      <alignment horizontal="left" vertical="justify"/>
      <protection locked="0"/>
    </xf>
    <xf numFmtId="0" fontId="0" fillId="0" borderId="22" xfId="0" applyFont="1" applyFill="1" applyBorder="1" applyAlignment="1" applyProtection="1">
      <alignment horizontal="left" vertical="justify"/>
      <protection locked="0"/>
    </xf>
    <xf numFmtId="0" fontId="0" fillId="0" borderId="20" xfId="0" applyFont="1" applyBorder="1" applyAlignment="1" applyProtection="1">
      <alignment horizontal="center"/>
      <protection locked="0"/>
    </xf>
    <xf numFmtId="0" fontId="0" fillId="0" borderId="21" xfId="0" applyBorder="1" applyAlignment="1" applyProtection="1">
      <alignment horizontal="center"/>
      <protection locked="0"/>
    </xf>
    <xf numFmtId="0" fontId="23" fillId="0" borderId="14" xfId="0" applyFont="1" applyBorder="1" applyAlignment="1">
      <alignment horizontal="center" vertical="justify" wrapText="1"/>
    </xf>
    <xf numFmtId="0" fontId="23" fillId="0" borderId="15" xfId="0" applyFont="1" applyBorder="1" applyAlignment="1">
      <alignment horizontal="center" vertical="justify" wrapText="1"/>
    </xf>
    <xf numFmtId="0" fontId="2" fillId="0" borderId="0" xfId="0" applyFont="1" applyAlignment="1">
      <alignment horizontal="center" vertical="center"/>
    </xf>
    <xf numFmtId="197" fontId="81" fillId="0" borderId="51" xfId="0" applyNumberFormat="1" applyFont="1" applyBorder="1" applyAlignment="1">
      <alignment horizontal="center" vertical="center" wrapText="1"/>
    </xf>
    <xf numFmtId="0" fontId="0" fillId="0" borderId="38" xfId="0" applyBorder="1" applyAlignment="1">
      <alignment horizontal="center" vertical="center" wrapText="1"/>
    </xf>
    <xf numFmtId="0" fontId="0" fillId="0" borderId="44" xfId="0" applyBorder="1" applyAlignment="1">
      <alignment horizontal="center" vertical="center" wrapText="1"/>
    </xf>
    <xf numFmtId="0" fontId="81" fillId="0" borderId="51" xfId="0" applyFont="1" applyFill="1" applyBorder="1" applyAlignment="1">
      <alignment horizontal="justify" vertical="top" wrapText="1"/>
    </xf>
    <xf numFmtId="0" fontId="0" fillId="0" borderId="44" xfId="0" applyFill="1" applyBorder="1" applyAlignment="1">
      <alignment horizontal="justify" vertical="top" wrapText="1"/>
    </xf>
    <xf numFmtId="0" fontId="2" fillId="0" borderId="0" xfId="0" applyFont="1" applyAlignment="1">
      <alignment horizontal="center"/>
    </xf>
    <xf numFmtId="0" fontId="81" fillId="0" borderId="51" xfId="0" applyFont="1" applyBorder="1" applyAlignment="1">
      <alignment horizontal="justify" vertical="center" wrapText="1"/>
    </xf>
    <xf numFmtId="0" fontId="81" fillId="0" borderId="38" xfId="0" applyFont="1" applyBorder="1" applyAlignment="1">
      <alignment horizontal="justify" vertical="center" wrapText="1"/>
    </xf>
    <xf numFmtId="0" fontId="0" fillId="0" borderId="38" xfId="0" applyBorder="1" applyAlignment="1">
      <alignment horizontal="justify" vertical="center" wrapText="1"/>
    </xf>
    <xf numFmtId="0" fontId="0" fillId="0" borderId="38" xfId="0" applyFill="1" applyBorder="1" applyAlignment="1">
      <alignment horizontal="justify" vertical="top" wrapText="1"/>
    </xf>
    <xf numFmtId="0" fontId="16" fillId="0" borderId="0" xfId="0" applyFont="1" applyAlignment="1">
      <alignment horizontal="center"/>
    </xf>
    <xf numFmtId="9" fontId="30" fillId="0" borderId="21" xfId="0" applyNumberFormat="1" applyFont="1" applyBorder="1" applyAlignment="1">
      <alignment horizontal="center"/>
    </xf>
    <xf numFmtId="0" fontId="36" fillId="0" borderId="0" xfId="0" applyFont="1" applyAlignment="1">
      <alignment horizontal="justify" vertical="top" wrapText="1"/>
    </xf>
    <xf numFmtId="0" fontId="36" fillId="0" borderId="0" xfId="0" applyFont="1" applyAlignment="1">
      <alignment horizontal="left" vertical="top" wrapText="1"/>
    </xf>
    <xf numFmtId="0" fontId="36" fillId="0" borderId="0" xfId="0" applyFont="1" applyFill="1" applyAlignment="1">
      <alignment horizontal="justify" vertical="top" wrapText="1"/>
    </xf>
    <xf numFmtId="9" fontId="36" fillId="0" borderId="0" xfId="0" applyNumberFormat="1" applyFont="1" applyAlignment="1">
      <alignment horizontal="justify" vertical="top" wrapText="1"/>
    </xf>
    <xf numFmtId="9" fontId="37" fillId="0" borderId="0" xfId="0" applyNumberFormat="1" applyFont="1" applyAlignment="1">
      <alignment horizontal="justify" vertical="top" wrapText="1"/>
    </xf>
    <xf numFmtId="9" fontId="17" fillId="0" borderId="0" xfId="0" applyNumberFormat="1" applyFont="1" applyAlignment="1">
      <alignment horizontal="center"/>
    </xf>
    <xf numFmtId="9" fontId="16" fillId="0" borderId="17" xfId="0" applyNumberFormat="1" applyFont="1" applyBorder="1" applyAlignment="1">
      <alignment horizontal="center"/>
    </xf>
    <xf numFmtId="9" fontId="36" fillId="0" borderId="0" xfId="0" applyNumberFormat="1" applyFont="1" applyAlignment="1">
      <alignment horizontal="left" vertical="top" wrapText="1"/>
    </xf>
    <xf numFmtId="0" fontId="84" fillId="0" borderId="0" xfId="0" applyFont="1" applyAlignment="1">
      <alignment horizont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Millares 7" xfId="56"/>
    <cellStyle name="Currency" xfId="57"/>
    <cellStyle name="Currency [0]" xfId="58"/>
    <cellStyle name="Moneda 2" xfId="59"/>
    <cellStyle name="Neutral" xfId="60"/>
    <cellStyle name="Normal 2" xfId="61"/>
    <cellStyle name="Normal 8" xfId="62"/>
    <cellStyle name="Notas" xfId="63"/>
    <cellStyle name="Percent" xfId="64"/>
    <cellStyle name="Porcentual 2"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Plazas fijas y especiales</a:t>
            </a:r>
          </a:p>
        </c:rich>
      </c:tx>
      <c:layout>
        <c:manualLayout>
          <c:xMode val="factor"/>
          <c:yMode val="factor"/>
          <c:x val="0.003"/>
          <c:y val="0"/>
        </c:manualLayout>
      </c:layout>
      <c:spPr>
        <a:noFill/>
        <a:ln w="3175">
          <a:noFill/>
        </a:ln>
      </c:spPr>
    </c:title>
    <c:plotArea>
      <c:layout>
        <c:manualLayout>
          <c:xMode val="edge"/>
          <c:yMode val="edge"/>
          <c:x val="0.02975"/>
          <c:y val="0.201"/>
          <c:w val="0.9405"/>
          <c:h val="0.593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(#REF!,#REF!)</c:f>
              <c:numCache>
                <c:ptCount val="1"/>
                <c:pt idx="0">
                  <c:v>1</c:v>
                </c:pt>
              </c:numCache>
            </c:numRef>
          </c:cat>
          <c:val>
            <c:numRef>
              <c:f>(#REF!,#REF!)</c:f>
              <c:numCache>
                <c:ptCount val="1"/>
                <c:pt idx="0">
                  <c:v>1</c:v>
                </c:pt>
              </c:numCache>
            </c:numRef>
          </c:val>
        </c:ser>
        <c:axId val="11430797"/>
        <c:axId val="14382634"/>
      </c:barChart>
      <c:catAx>
        <c:axId val="11430797"/>
        <c:scaling>
          <c:orientation val="minMax"/>
        </c:scaling>
        <c:axPos val="b"/>
        <c:delete val="0"/>
        <c:numFmt formatCode="General" sourceLinked="1"/>
        <c:majorTickMark val="out"/>
        <c:minorTickMark val="none"/>
        <c:tickLblPos val="nextTo"/>
        <c:spPr>
          <a:ln w="3175">
            <a:solidFill>
              <a:srgbClr val="000000"/>
            </a:solidFill>
          </a:ln>
        </c:spPr>
        <c:crossAx val="14382634"/>
        <c:crosses val="autoZero"/>
        <c:auto val="1"/>
        <c:lblOffset val="100"/>
        <c:tickLblSkip val="1"/>
        <c:noMultiLvlLbl val="0"/>
      </c:catAx>
      <c:valAx>
        <c:axId val="1438263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43079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Plazas en procesos sustantivos y de apoyo</a:t>
            </a:r>
          </a:p>
        </c:rich>
      </c:tx>
      <c:layout>
        <c:manualLayout>
          <c:xMode val="factor"/>
          <c:yMode val="factor"/>
          <c:x val="0.0025"/>
          <c:y val="-0.04675"/>
        </c:manualLayout>
      </c:layout>
      <c:spPr>
        <a:noFill/>
        <a:ln w="3175">
          <a:noFill/>
        </a:ln>
      </c:spPr>
    </c:title>
    <c:plotArea>
      <c:layout>
        <c:manualLayout>
          <c:xMode val="edge"/>
          <c:yMode val="edge"/>
          <c:x val="0.0245"/>
          <c:y val="0.2115"/>
          <c:w val="0.951"/>
          <c:h val="0.661"/>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2756515"/>
        <c:axId val="14746056"/>
      </c:barChart>
      <c:catAx>
        <c:axId val="5275651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746056"/>
        <c:crosses val="autoZero"/>
        <c:auto val="1"/>
        <c:lblOffset val="100"/>
        <c:tickLblSkip val="1"/>
        <c:noMultiLvlLbl val="0"/>
      </c:catAx>
      <c:valAx>
        <c:axId val="1474605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75651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Plazas según estructura programática</a:t>
            </a:r>
          </a:p>
        </c:rich>
      </c:tx>
      <c:layout>
        <c:manualLayout>
          <c:xMode val="factor"/>
          <c:yMode val="factor"/>
          <c:x val="-0.0045"/>
          <c:y val="0"/>
        </c:manualLayout>
      </c:layout>
      <c:spPr>
        <a:noFill/>
        <a:ln w="3175">
          <a:noFill/>
        </a:ln>
      </c:spPr>
    </c:title>
    <c:plotArea>
      <c:layout>
        <c:manualLayout>
          <c:xMode val="edge"/>
          <c:yMode val="edge"/>
          <c:x val="0.0225"/>
          <c:y val="0.20325"/>
          <c:w val="0.955"/>
          <c:h val="0.531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7481001"/>
        <c:axId val="9055510"/>
      </c:barChart>
      <c:catAx>
        <c:axId val="5748100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055510"/>
        <c:crosses val="autoZero"/>
        <c:auto val="1"/>
        <c:lblOffset val="100"/>
        <c:tickLblSkip val="1"/>
        <c:noMultiLvlLbl val="0"/>
      </c:catAx>
      <c:valAx>
        <c:axId val="905551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48100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38100</xdr:rowOff>
    </xdr:from>
    <xdr:to>
      <xdr:col>3</xdr:col>
      <xdr:colOff>171450</xdr:colOff>
      <xdr:row>42</xdr:row>
      <xdr:rowOff>19050</xdr:rowOff>
    </xdr:to>
    <xdr:graphicFrame>
      <xdr:nvGraphicFramePr>
        <xdr:cNvPr id="1" name="Gráfico 17"/>
        <xdr:cNvGraphicFramePr/>
      </xdr:nvGraphicFramePr>
      <xdr:xfrm>
        <a:off x="28575" y="5676900"/>
        <a:ext cx="3286125" cy="1924050"/>
      </xdr:xfrm>
      <a:graphic>
        <a:graphicData uri="http://schemas.openxmlformats.org/drawingml/2006/chart">
          <c:chart xmlns:c="http://schemas.openxmlformats.org/drawingml/2006/chart" r:id="rId1"/>
        </a:graphicData>
      </a:graphic>
    </xdr:graphicFrame>
    <xdr:clientData/>
  </xdr:twoCellAnchor>
  <xdr:twoCellAnchor>
    <xdr:from>
      <xdr:col>4</xdr:col>
      <xdr:colOff>152400</xdr:colOff>
      <xdr:row>30</xdr:row>
      <xdr:rowOff>47625</xdr:rowOff>
    </xdr:from>
    <xdr:to>
      <xdr:col>13</xdr:col>
      <xdr:colOff>247650</xdr:colOff>
      <xdr:row>42</xdr:row>
      <xdr:rowOff>28575</xdr:rowOff>
    </xdr:to>
    <xdr:graphicFrame>
      <xdr:nvGraphicFramePr>
        <xdr:cNvPr id="2" name="Gráfico 18"/>
        <xdr:cNvGraphicFramePr/>
      </xdr:nvGraphicFramePr>
      <xdr:xfrm>
        <a:off x="3619500" y="5686425"/>
        <a:ext cx="3971925" cy="1924050"/>
      </xdr:xfrm>
      <a:graphic>
        <a:graphicData uri="http://schemas.openxmlformats.org/drawingml/2006/chart">
          <c:chart xmlns:c="http://schemas.openxmlformats.org/drawingml/2006/chart" r:id="rId2"/>
        </a:graphicData>
      </a:graphic>
    </xdr:graphicFrame>
    <xdr:clientData/>
  </xdr:twoCellAnchor>
  <xdr:twoCellAnchor>
    <xdr:from>
      <xdr:col>1</xdr:col>
      <xdr:colOff>419100</xdr:colOff>
      <xdr:row>43</xdr:row>
      <xdr:rowOff>9525</xdr:rowOff>
    </xdr:from>
    <xdr:to>
      <xdr:col>10</xdr:col>
      <xdr:colOff>200025</xdr:colOff>
      <xdr:row>55</xdr:row>
      <xdr:rowOff>114300</xdr:rowOff>
    </xdr:to>
    <xdr:graphicFrame>
      <xdr:nvGraphicFramePr>
        <xdr:cNvPr id="3" name="Gráfico 19"/>
        <xdr:cNvGraphicFramePr/>
      </xdr:nvGraphicFramePr>
      <xdr:xfrm>
        <a:off x="1800225" y="7753350"/>
        <a:ext cx="4314825" cy="204787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spaldo%20Ana%20Maria\PRESUPUESTO%202016\original\PROGRAM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20Ana%20Maria\PRESUPUESTO%202016\original\ESTIMACION%20REGRESION%20LINEAL%20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paldo%20Ana%20Maria\PRESUPUESTO%202016\original\modelo_calculo_recursos_especifico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spaldo%20Ana%20Maria\PRESUPUESTO%202016\original\ESTIMACION%20REGRESION%20LINEAL%20201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spaldo%20Ana%20Maria\PRESUPUESTO%202016\original\EXPRESION%20FINANCIERA%20PRESUP%20201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spaldo%20Ana%20Maria\PRESUPUESTO%202016\adjuntos\EXPRESION%20FINANCIERA%20PRESUP%20201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spaldo%20Ana%20Maria\PRESUPUESTO%202016\adjuntos\anexo_guias_interna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spaldo%20Ana%20Maria\PRESUPUESTO%202016\adjuntos\JUSTIFICACION%20DE%20INGRESOS%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sheetName val="PRG1"/>
      <sheetName val="Auditoría"/>
      <sheetName val="PRG2"/>
      <sheetName val="PROG3"/>
      <sheetName val="PRG2-1"/>
      <sheetName val="PRG2-2"/>
      <sheetName val="PRG2-5"/>
      <sheetName val="PRG2-6"/>
      <sheetName val="PRG2-7"/>
      <sheetName val="PRG2-9"/>
      <sheetName val="PRG2-10"/>
      <sheetName val="PRG2-11"/>
      <sheetName val="PRG2-13"/>
      <sheetName val="PRG2-18"/>
      <sheetName val="PRG2-23"/>
      <sheetName val="PRG2-25"/>
      <sheetName val="PRG2-27"/>
      <sheetName val="PRG2-28"/>
      <sheetName val="PRG2-29"/>
      <sheetName val="PRG2-30"/>
      <sheetName val="PRG2-31"/>
      <sheetName val="PRG3-"/>
      <sheetName val="Edificios"/>
      <sheetName val="Vias de Comunicación"/>
      <sheetName val="Instalaciones"/>
      <sheetName val="Otros Proyectos"/>
      <sheetName val="Otros Fondos e Inversiones"/>
      <sheetName val="PRG3-1"/>
      <sheetName val="Hoja1"/>
    </sheetNames>
    <sheetDataSet>
      <sheetData sheetId="0">
        <row r="243">
          <cell r="I243">
            <v>23085833126.00076</v>
          </cell>
        </row>
      </sheetData>
      <sheetData sheetId="1">
        <row r="16">
          <cell r="F16">
            <v>1299120281.54</v>
          </cell>
        </row>
        <row r="17">
          <cell r="F17">
            <v>0</v>
          </cell>
        </row>
        <row r="18">
          <cell r="F18">
            <v>218362476</v>
          </cell>
        </row>
        <row r="19">
          <cell r="F19">
            <v>70000000</v>
          </cell>
        </row>
        <row r="21">
          <cell r="F21">
            <v>53000000</v>
          </cell>
        </row>
        <row r="22">
          <cell r="F22">
            <v>7000000</v>
          </cell>
        </row>
        <row r="23">
          <cell r="F23">
            <v>21114600</v>
          </cell>
        </row>
        <row r="24">
          <cell r="F24">
            <v>462755419.91</v>
          </cell>
        </row>
        <row r="26">
          <cell r="F26">
            <v>552643715.75</v>
          </cell>
        </row>
        <row r="27">
          <cell r="F27">
            <v>274529650</v>
          </cell>
        </row>
        <row r="28">
          <cell r="F28">
            <v>232293674.5947109</v>
          </cell>
        </row>
        <row r="29">
          <cell r="F29">
            <v>193112278.12</v>
          </cell>
        </row>
        <row r="30">
          <cell r="F30">
            <v>98687832</v>
          </cell>
        </row>
        <row r="32">
          <cell r="F32">
            <v>257850302.09042498</v>
          </cell>
        </row>
        <row r="33">
          <cell r="F33">
            <v>13937854.167049998</v>
          </cell>
        </row>
        <row r="35">
          <cell r="F35">
            <v>141887355.42056903</v>
          </cell>
        </row>
        <row r="36">
          <cell r="F36">
            <v>41813562.50115</v>
          </cell>
        </row>
        <row r="37">
          <cell r="F37">
            <v>83627125.0023</v>
          </cell>
        </row>
        <row r="39">
          <cell r="F39">
            <v>121530073.40600002</v>
          </cell>
        </row>
        <row r="42">
          <cell r="F42">
            <v>0</v>
          </cell>
        </row>
        <row r="47">
          <cell r="F47">
            <v>340300000</v>
          </cell>
        </row>
        <row r="48">
          <cell r="F48">
            <v>1100000</v>
          </cell>
        </row>
        <row r="49">
          <cell r="F49">
            <v>0</v>
          </cell>
        </row>
        <row r="50">
          <cell r="F50">
            <v>0</v>
          </cell>
        </row>
        <row r="51">
          <cell r="F51">
            <v>0</v>
          </cell>
        </row>
        <row r="53">
          <cell r="F53">
            <v>0</v>
          </cell>
        </row>
        <row r="54">
          <cell r="F54">
            <v>99000000</v>
          </cell>
        </row>
        <row r="55">
          <cell r="F55">
            <v>119250</v>
          </cell>
        </row>
        <row r="56">
          <cell r="F56">
            <v>36300000</v>
          </cell>
        </row>
        <row r="57">
          <cell r="F57">
            <v>0</v>
          </cell>
        </row>
        <row r="59">
          <cell r="F59">
            <v>35839900</v>
          </cell>
        </row>
        <row r="60">
          <cell r="F60">
            <v>37800000</v>
          </cell>
        </row>
        <row r="61">
          <cell r="F61">
            <v>34063778.75</v>
          </cell>
        </row>
        <row r="62">
          <cell r="F62">
            <v>220000</v>
          </cell>
        </row>
        <row r="63">
          <cell r="F63">
            <v>0</v>
          </cell>
        </row>
        <row r="64">
          <cell r="F64">
            <v>261715305.19</v>
          </cell>
        </row>
        <row r="65">
          <cell r="F65">
            <v>13390703</v>
          </cell>
        </row>
        <row r="67">
          <cell r="F67">
            <v>0</v>
          </cell>
        </row>
        <row r="68">
          <cell r="F68">
            <v>25000000</v>
          </cell>
        </row>
        <row r="69">
          <cell r="F69">
            <v>20000000</v>
          </cell>
        </row>
        <row r="70">
          <cell r="F70">
            <v>25700000</v>
          </cell>
        </row>
        <row r="71">
          <cell r="F71">
            <v>0</v>
          </cell>
        </row>
        <row r="72">
          <cell r="F72">
            <v>154462000</v>
          </cell>
        </row>
        <row r="73">
          <cell r="F73">
            <v>34140000</v>
          </cell>
        </row>
        <row r="75">
          <cell r="F75">
            <v>100000</v>
          </cell>
        </row>
        <row r="76">
          <cell r="F76">
            <v>7280000</v>
          </cell>
        </row>
        <row r="77">
          <cell r="F77">
            <v>0</v>
          </cell>
        </row>
        <row r="78">
          <cell r="F78">
            <v>0</v>
          </cell>
        </row>
        <row r="80">
          <cell r="F80">
            <v>111972125.0023</v>
          </cell>
        </row>
        <row r="82">
          <cell r="F82">
            <v>33569000</v>
          </cell>
        </row>
        <row r="83">
          <cell r="F83">
            <v>8495000</v>
          </cell>
        </row>
        <row r="84">
          <cell r="F84">
            <v>5000000</v>
          </cell>
        </row>
        <row r="86">
          <cell r="F86">
            <v>5054500</v>
          </cell>
        </row>
        <row r="87">
          <cell r="F87">
            <v>0</v>
          </cell>
        </row>
        <row r="88">
          <cell r="F88">
            <v>0</v>
          </cell>
        </row>
        <row r="89">
          <cell r="F89">
            <v>4315000</v>
          </cell>
        </row>
        <row r="90">
          <cell r="F90">
            <v>7920000</v>
          </cell>
        </row>
        <row r="91">
          <cell r="F91">
            <v>5275000</v>
          </cell>
        </row>
        <row r="92">
          <cell r="F92">
            <v>16811000</v>
          </cell>
        </row>
        <row r="93">
          <cell r="F93">
            <v>13550000</v>
          </cell>
        </row>
        <row r="94">
          <cell r="F94">
            <v>320000</v>
          </cell>
        </row>
        <row r="96">
          <cell r="F96">
            <v>0</v>
          </cell>
        </row>
        <row r="98">
          <cell r="F98">
            <v>1650000</v>
          </cell>
        </row>
        <row r="99">
          <cell r="F99">
            <v>0</v>
          </cell>
        </row>
        <row r="102">
          <cell r="F102">
            <v>12140000</v>
          </cell>
        </row>
        <row r="103">
          <cell r="F103">
            <v>1947000</v>
          </cell>
        </row>
        <row r="104">
          <cell r="F104">
            <v>11071027.43</v>
          </cell>
        </row>
        <row r="105">
          <cell r="F105">
            <v>315000</v>
          </cell>
        </row>
        <row r="107">
          <cell r="F107">
            <v>0</v>
          </cell>
        </row>
        <row r="108">
          <cell r="F108">
            <v>100000</v>
          </cell>
        </row>
        <row r="122">
          <cell r="F122">
            <v>1430000</v>
          </cell>
        </row>
        <row r="123">
          <cell r="F123">
            <v>330000</v>
          </cell>
        </row>
        <row r="124">
          <cell r="F124">
            <v>330000</v>
          </cell>
        </row>
        <row r="125">
          <cell r="F125">
            <v>3642000</v>
          </cell>
        </row>
        <row r="126">
          <cell r="F126">
            <v>682000</v>
          </cell>
        </row>
        <row r="127">
          <cell r="F127">
            <v>440000</v>
          </cell>
        </row>
        <row r="128">
          <cell r="F128">
            <v>6700000</v>
          </cell>
        </row>
        <row r="130">
          <cell r="F130">
            <v>1352500</v>
          </cell>
        </row>
        <row r="131">
          <cell r="F131">
            <v>6770000</v>
          </cell>
        </row>
        <row r="133">
          <cell r="F133">
            <v>18601450.67</v>
          </cell>
        </row>
        <row r="134">
          <cell r="F134">
            <v>900000</v>
          </cell>
        </row>
        <row r="135">
          <cell r="F135">
            <v>14832606.2</v>
          </cell>
        </row>
        <row r="136">
          <cell r="F136">
            <v>4310697</v>
          </cell>
        </row>
        <row r="137">
          <cell r="F137">
            <v>17830100</v>
          </cell>
        </row>
        <row r="138">
          <cell r="F138">
            <v>2518100</v>
          </cell>
        </row>
        <row r="139">
          <cell r="F139">
            <v>500000</v>
          </cell>
        </row>
        <row r="140">
          <cell r="F140">
            <v>3439000</v>
          </cell>
        </row>
        <row r="144">
          <cell r="F144">
            <v>0</v>
          </cell>
        </row>
        <row r="148">
          <cell r="F148">
            <v>0</v>
          </cell>
        </row>
        <row r="149">
          <cell r="F149">
            <v>14042500</v>
          </cell>
        </row>
        <row r="150">
          <cell r="F150">
            <v>8636900</v>
          </cell>
        </row>
        <row r="151">
          <cell r="F151">
            <v>51554057.95</v>
          </cell>
        </row>
        <row r="152">
          <cell r="F152">
            <v>59520000</v>
          </cell>
        </row>
        <row r="153">
          <cell r="F153">
            <v>0</v>
          </cell>
        </row>
        <row r="154">
          <cell r="F154">
            <v>3499000</v>
          </cell>
        </row>
        <row r="156">
          <cell r="F156">
            <v>0</v>
          </cell>
        </row>
        <row r="157">
          <cell r="F157">
            <v>0</v>
          </cell>
        </row>
        <row r="158">
          <cell r="F158">
            <v>0</v>
          </cell>
        </row>
        <row r="159">
          <cell r="F159">
            <v>0</v>
          </cell>
        </row>
        <row r="160">
          <cell r="F160">
            <v>0</v>
          </cell>
        </row>
        <row r="162">
          <cell r="F162">
            <v>0</v>
          </cell>
        </row>
        <row r="163">
          <cell r="F163">
            <v>0</v>
          </cell>
        </row>
        <row r="164">
          <cell r="F164">
            <v>0</v>
          </cell>
        </row>
        <row r="166">
          <cell r="F166">
            <v>25000000</v>
          </cell>
        </row>
        <row r="167">
          <cell r="F167">
            <v>0</v>
          </cell>
        </row>
        <row r="171">
          <cell r="F171">
            <v>59150000</v>
          </cell>
        </row>
        <row r="172">
          <cell r="F172">
            <v>238770000</v>
          </cell>
        </row>
        <row r="173">
          <cell r="F173">
            <v>706929165.63</v>
          </cell>
        </row>
        <row r="174">
          <cell r="F174">
            <v>691023799.38</v>
          </cell>
        </row>
        <row r="175">
          <cell r="F175">
            <v>0</v>
          </cell>
        </row>
        <row r="176">
          <cell r="F176">
            <v>0</v>
          </cell>
        </row>
        <row r="177">
          <cell r="F177">
            <v>0</v>
          </cell>
        </row>
        <row r="179">
          <cell r="F179">
            <v>0</v>
          </cell>
        </row>
        <row r="180">
          <cell r="F180">
            <v>23085833.13</v>
          </cell>
        </row>
        <row r="181">
          <cell r="F181">
            <v>0</v>
          </cell>
        </row>
        <row r="183">
          <cell r="F183">
            <v>172932587.54</v>
          </cell>
        </row>
        <row r="184">
          <cell r="F184">
            <v>4584275.13</v>
          </cell>
        </row>
        <row r="185">
          <cell r="F185">
            <v>0</v>
          </cell>
        </row>
        <row r="186">
          <cell r="F186">
            <v>382021.39940828993</v>
          </cell>
        </row>
        <row r="187">
          <cell r="F187">
            <v>401124.07387499994</v>
          </cell>
        </row>
        <row r="188">
          <cell r="F188">
            <v>60000000</v>
          </cell>
        </row>
        <row r="190">
          <cell r="F190">
            <v>0</v>
          </cell>
        </row>
        <row r="191">
          <cell r="F191">
            <v>0</v>
          </cell>
        </row>
        <row r="192">
          <cell r="F192">
            <v>0</v>
          </cell>
        </row>
        <row r="193">
          <cell r="F193">
            <v>0</v>
          </cell>
        </row>
        <row r="195">
          <cell r="F195">
            <v>0</v>
          </cell>
        </row>
        <row r="197">
          <cell r="F197">
            <v>39000000</v>
          </cell>
        </row>
        <row r="198">
          <cell r="F198">
            <v>15000000</v>
          </cell>
        </row>
        <row r="202">
          <cell r="F202">
            <v>0</v>
          </cell>
        </row>
        <row r="203">
          <cell r="F203">
            <v>0</v>
          </cell>
        </row>
        <row r="204">
          <cell r="F204">
            <v>0</v>
          </cell>
        </row>
        <row r="205">
          <cell r="F205">
            <v>0</v>
          </cell>
        </row>
        <row r="206">
          <cell r="F206">
            <v>0</v>
          </cell>
        </row>
        <row r="207">
          <cell r="F207">
            <v>0</v>
          </cell>
        </row>
        <row r="209">
          <cell r="F209">
            <v>0</v>
          </cell>
        </row>
        <row r="211">
          <cell r="F211">
            <v>0</v>
          </cell>
        </row>
        <row r="212">
          <cell r="F212">
            <v>0</v>
          </cell>
        </row>
        <row r="213">
          <cell r="F213">
            <v>0</v>
          </cell>
        </row>
        <row r="214">
          <cell r="F214">
            <v>0</v>
          </cell>
        </row>
        <row r="218">
          <cell r="F218">
            <v>0</v>
          </cell>
        </row>
        <row r="221">
          <cell r="H221">
            <v>0</v>
          </cell>
        </row>
        <row r="223">
          <cell r="F223">
            <v>0</v>
          </cell>
        </row>
        <row r="226">
          <cell r="F226">
            <v>0</v>
          </cell>
        </row>
        <row r="227">
          <cell r="F227">
            <v>0</v>
          </cell>
        </row>
      </sheetData>
      <sheetData sheetId="2">
        <row r="16">
          <cell r="F16">
            <v>72305400</v>
          </cell>
        </row>
        <row r="17">
          <cell r="F17">
            <v>0</v>
          </cell>
        </row>
        <row r="18">
          <cell r="F18">
            <v>0</v>
          </cell>
        </row>
        <row r="19">
          <cell r="F19">
            <v>2662000</v>
          </cell>
        </row>
        <row r="21">
          <cell r="F21">
            <v>0</v>
          </cell>
        </row>
        <row r="22">
          <cell r="F22">
            <v>1122000</v>
          </cell>
        </row>
        <row r="23">
          <cell r="F23">
            <v>0</v>
          </cell>
        </row>
        <row r="24">
          <cell r="F24">
            <v>0</v>
          </cell>
        </row>
        <row r="26">
          <cell r="F26">
            <v>42701967</v>
          </cell>
        </row>
        <row r="27">
          <cell r="F27">
            <v>47264710</v>
          </cell>
        </row>
        <row r="28">
          <cell r="F28">
            <v>15726829.948160969</v>
          </cell>
        </row>
        <row r="29">
          <cell r="F29">
            <v>13967740.09</v>
          </cell>
        </row>
        <row r="30">
          <cell r="F30">
            <v>8700120</v>
          </cell>
        </row>
        <row r="32">
          <cell r="F32">
            <v>17456964.180825002</v>
          </cell>
        </row>
        <row r="33">
          <cell r="F33">
            <v>943619.68545</v>
          </cell>
        </row>
        <row r="35">
          <cell r="F35">
            <v>9606048.397881001</v>
          </cell>
        </row>
        <row r="36">
          <cell r="F36">
            <v>2830859.0563499997</v>
          </cell>
        </row>
        <row r="37">
          <cell r="F37">
            <v>5661718.1126999995</v>
          </cell>
        </row>
        <row r="39">
          <cell r="F39">
            <v>9436196.8545</v>
          </cell>
        </row>
        <row r="47">
          <cell r="F47">
            <v>0</v>
          </cell>
        </row>
        <row r="48">
          <cell r="F48">
            <v>0</v>
          </cell>
        </row>
        <row r="49">
          <cell r="F49">
            <v>0</v>
          </cell>
        </row>
        <row r="50">
          <cell r="F50">
            <v>0</v>
          </cell>
        </row>
        <row r="51">
          <cell r="F51">
            <v>0</v>
          </cell>
        </row>
        <row r="53">
          <cell r="F53">
            <v>0</v>
          </cell>
        </row>
        <row r="54">
          <cell r="F54">
            <v>0</v>
          </cell>
        </row>
        <row r="55">
          <cell r="F55">
            <v>0</v>
          </cell>
        </row>
        <row r="56">
          <cell r="F56">
            <v>0</v>
          </cell>
        </row>
        <row r="57">
          <cell r="F57">
            <v>0</v>
          </cell>
        </row>
        <row r="59">
          <cell r="F59">
            <v>300000</v>
          </cell>
        </row>
        <row r="60">
          <cell r="F60">
            <v>0</v>
          </cell>
        </row>
        <row r="61">
          <cell r="F61">
            <v>258000</v>
          </cell>
        </row>
        <row r="62">
          <cell r="F62">
            <v>0</v>
          </cell>
        </row>
        <row r="63">
          <cell r="F63">
            <v>0</v>
          </cell>
        </row>
        <row r="64">
          <cell r="F64">
            <v>0</v>
          </cell>
        </row>
        <row r="65">
          <cell r="F65">
            <v>0</v>
          </cell>
        </row>
        <row r="67">
          <cell r="F67">
            <v>0</v>
          </cell>
        </row>
        <row r="68">
          <cell r="F68">
            <v>0</v>
          </cell>
        </row>
        <row r="69">
          <cell r="F69">
            <v>0</v>
          </cell>
        </row>
        <row r="70">
          <cell r="F70">
            <v>0</v>
          </cell>
        </row>
        <row r="71">
          <cell r="F71">
            <v>0</v>
          </cell>
        </row>
        <row r="72">
          <cell r="F72">
            <v>0</v>
          </cell>
        </row>
        <row r="73">
          <cell r="F73">
            <v>6000000</v>
          </cell>
        </row>
        <row r="75">
          <cell r="F75">
            <v>0</v>
          </cell>
        </row>
        <row r="76">
          <cell r="F76">
            <v>100000</v>
          </cell>
        </row>
        <row r="77">
          <cell r="F77">
            <v>0</v>
          </cell>
        </row>
        <row r="78">
          <cell r="F78">
            <v>0</v>
          </cell>
        </row>
        <row r="80">
          <cell r="F80">
            <v>5661718.1126999995</v>
          </cell>
        </row>
        <row r="82">
          <cell r="F82">
            <v>2000000</v>
          </cell>
        </row>
        <row r="83">
          <cell r="F83">
            <v>0</v>
          </cell>
        </row>
        <row r="84">
          <cell r="F84">
            <v>0</v>
          </cell>
        </row>
        <row r="86">
          <cell r="F86">
            <v>0</v>
          </cell>
        </row>
        <row r="87">
          <cell r="F87">
            <v>0</v>
          </cell>
        </row>
        <row r="88">
          <cell r="F88">
            <v>0</v>
          </cell>
        </row>
        <row r="89">
          <cell r="F89">
            <v>0</v>
          </cell>
        </row>
        <row r="90">
          <cell r="F90">
            <v>0</v>
          </cell>
        </row>
        <row r="91">
          <cell r="F91">
            <v>0</v>
          </cell>
        </row>
        <row r="92">
          <cell r="F92">
            <v>166000</v>
          </cell>
        </row>
        <row r="93">
          <cell r="F93">
            <v>176000</v>
          </cell>
        </row>
        <row r="94">
          <cell r="F94">
            <v>0</v>
          </cell>
        </row>
        <row r="96">
          <cell r="F96">
            <v>0</v>
          </cell>
        </row>
        <row r="98">
          <cell r="F98">
            <v>0</v>
          </cell>
        </row>
        <row r="99">
          <cell r="F99">
            <v>0</v>
          </cell>
        </row>
        <row r="103">
          <cell r="F103">
            <v>0</v>
          </cell>
        </row>
        <row r="104">
          <cell r="F104">
            <v>100000</v>
          </cell>
        </row>
        <row r="105">
          <cell r="F105">
            <v>0</v>
          </cell>
        </row>
        <row r="106">
          <cell r="F106">
            <v>0</v>
          </cell>
        </row>
        <row r="108">
          <cell r="F108">
            <v>0</v>
          </cell>
        </row>
        <row r="109">
          <cell r="F109">
            <v>0</v>
          </cell>
        </row>
        <row r="111">
          <cell r="F111">
            <v>0</v>
          </cell>
        </row>
        <row r="112">
          <cell r="F112">
            <v>0</v>
          </cell>
        </row>
        <row r="113">
          <cell r="F113">
            <v>0</v>
          </cell>
        </row>
        <row r="114">
          <cell r="F114">
            <v>0</v>
          </cell>
        </row>
        <row r="115">
          <cell r="F115">
            <v>0</v>
          </cell>
        </row>
        <row r="116">
          <cell r="F116">
            <v>0</v>
          </cell>
        </row>
        <row r="117">
          <cell r="F117">
            <v>0</v>
          </cell>
        </row>
        <row r="119">
          <cell r="F119">
            <v>0</v>
          </cell>
        </row>
        <row r="120">
          <cell r="F120">
            <v>0</v>
          </cell>
        </row>
        <row r="122">
          <cell r="F122">
            <v>2478700</v>
          </cell>
        </row>
        <row r="123">
          <cell r="F123">
            <v>261550</v>
          </cell>
        </row>
        <row r="124">
          <cell r="F124">
            <v>0</v>
          </cell>
        </row>
        <row r="125">
          <cell r="F125">
            <v>159750</v>
          </cell>
        </row>
        <row r="126">
          <cell r="F126">
            <v>0</v>
          </cell>
        </row>
        <row r="127">
          <cell r="F127">
            <v>0</v>
          </cell>
        </row>
        <row r="128">
          <cell r="F128">
            <v>0</v>
          </cell>
        </row>
        <row r="132">
          <cell r="F132">
            <v>0</v>
          </cell>
        </row>
        <row r="136">
          <cell r="F136">
            <v>0</v>
          </cell>
        </row>
        <row r="137">
          <cell r="F137">
            <v>0</v>
          </cell>
        </row>
        <row r="138">
          <cell r="F138">
            <v>425000</v>
          </cell>
        </row>
        <row r="139">
          <cell r="F139">
            <v>275000</v>
          </cell>
        </row>
        <row r="140">
          <cell r="F140">
            <v>1999000</v>
          </cell>
        </row>
        <row r="141">
          <cell r="F141">
            <v>0</v>
          </cell>
        </row>
        <row r="142">
          <cell r="F142">
            <v>301000</v>
          </cell>
        </row>
        <row r="144">
          <cell r="F144">
            <v>0</v>
          </cell>
        </row>
        <row r="145">
          <cell r="F145">
            <v>0</v>
          </cell>
        </row>
        <row r="146">
          <cell r="F146">
            <v>0</v>
          </cell>
        </row>
        <row r="147">
          <cell r="F147">
            <v>0</v>
          </cell>
        </row>
        <row r="148">
          <cell r="F148">
            <v>0</v>
          </cell>
        </row>
        <row r="150">
          <cell r="F150">
            <v>0</v>
          </cell>
        </row>
        <row r="151">
          <cell r="F151">
            <v>0</v>
          </cell>
        </row>
        <row r="152">
          <cell r="F152">
            <v>0</v>
          </cell>
        </row>
        <row r="154">
          <cell r="F154">
            <v>0</v>
          </cell>
        </row>
        <row r="155">
          <cell r="F155">
            <v>0</v>
          </cell>
        </row>
        <row r="159">
          <cell r="F159">
            <v>0</v>
          </cell>
        </row>
        <row r="160">
          <cell r="F160">
            <v>0</v>
          </cell>
        </row>
        <row r="161">
          <cell r="F161">
            <v>0</v>
          </cell>
        </row>
        <row r="162">
          <cell r="F162">
            <v>0</v>
          </cell>
        </row>
        <row r="163">
          <cell r="F163">
            <v>0</v>
          </cell>
        </row>
        <row r="164">
          <cell r="F164">
            <v>0</v>
          </cell>
        </row>
        <row r="165">
          <cell r="F165">
            <v>0</v>
          </cell>
        </row>
        <row r="167">
          <cell r="F167">
            <v>0</v>
          </cell>
        </row>
        <row r="168">
          <cell r="F168">
            <v>0</v>
          </cell>
        </row>
        <row r="170">
          <cell r="F170">
            <v>500000</v>
          </cell>
        </row>
        <row r="175">
          <cell r="F175">
            <v>8489250</v>
          </cell>
        </row>
        <row r="177">
          <cell r="F177">
            <v>0</v>
          </cell>
        </row>
        <row r="178">
          <cell r="F178">
            <v>0</v>
          </cell>
        </row>
        <row r="179">
          <cell r="F179">
            <v>0</v>
          </cell>
        </row>
        <row r="180">
          <cell r="F180">
            <v>0</v>
          </cell>
        </row>
        <row r="182">
          <cell r="F182">
            <v>0</v>
          </cell>
        </row>
        <row r="184">
          <cell r="F184">
            <v>0</v>
          </cell>
        </row>
        <row r="185">
          <cell r="F185">
            <v>0</v>
          </cell>
        </row>
        <row r="189">
          <cell r="F189">
            <v>0</v>
          </cell>
        </row>
        <row r="190">
          <cell r="F190">
            <v>0</v>
          </cell>
        </row>
        <row r="191">
          <cell r="F191">
            <v>0</v>
          </cell>
        </row>
        <row r="192">
          <cell r="F192">
            <v>0</v>
          </cell>
        </row>
        <row r="193">
          <cell r="F193">
            <v>0</v>
          </cell>
        </row>
        <row r="194">
          <cell r="F194">
            <v>0</v>
          </cell>
        </row>
        <row r="196">
          <cell r="F196">
            <v>0</v>
          </cell>
        </row>
        <row r="198">
          <cell r="F198">
            <v>0</v>
          </cell>
        </row>
        <row r="199">
          <cell r="F199">
            <v>0</v>
          </cell>
        </row>
        <row r="200">
          <cell r="F200">
            <v>0</v>
          </cell>
        </row>
        <row r="201">
          <cell r="F201">
            <v>0</v>
          </cell>
        </row>
        <row r="205">
          <cell r="F205">
            <v>0</v>
          </cell>
        </row>
        <row r="210">
          <cell r="F210">
            <v>0</v>
          </cell>
        </row>
        <row r="213">
          <cell r="F213">
            <v>0</v>
          </cell>
        </row>
        <row r="214">
          <cell r="F214">
            <v>0</v>
          </cell>
        </row>
      </sheetData>
      <sheetData sheetId="3">
        <row r="16">
          <cell r="F16">
            <v>1378939800</v>
          </cell>
        </row>
        <row r="17">
          <cell r="F17">
            <v>0</v>
          </cell>
        </row>
        <row r="18">
          <cell r="F18">
            <v>0</v>
          </cell>
        </row>
        <row r="19">
          <cell r="F19">
            <v>77432300</v>
          </cell>
        </row>
        <row r="21">
          <cell r="F21">
            <v>89258578.84</v>
          </cell>
        </row>
        <row r="22">
          <cell r="F22">
            <v>9195600</v>
          </cell>
        </row>
        <row r="23">
          <cell r="F23">
            <v>19137300</v>
          </cell>
        </row>
        <row r="24">
          <cell r="F24">
            <v>0</v>
          </cell>
        </row>
        <row r="26">
          <cell r="F26">
            <v>488029381.5</v>
          </cell>
        </row>
        <row r="27">
          <cell r="F27">
            <v>129349130</v>
          </cell>
        </row>
        <row r="28">
          <cell r="F28">
            <v>202917149.22129816</v>
          </cell>
        </row>
        <row r="29">
          <cell r="F29">
            <v>175036379.12</v>
          </cell>
        </row>
        <row r="30">
          <cell r="F30">
            <v>68672304</v>
          </cell>
        </row>
        <row r="32">
          <cell r="F32">
            <v>225242196.54505</v>
          </cell>
        </row>
        <row r="33">
          <cell r="F33">
            <v>12175253.867299996</v>
          </cell>
        </row>
        <row r="35">
          <cell r="F35">
            <v>123944084.36911401</v>
          </cell>
        </row>
        <row r="36">
          <cell r="F36">
            <v>36525761.6019</v>
          </cell>
        </row>
        <row r="37">
          <cell r="F37">
            <v>73051523.2038</v>
          </cell>
        </row>
        <row r="38">
          <cell r="F38">
            <v>0</v>
          </cell>
        </row>
        <row r="39">
          <cell r="F39">
            <v>121752538.673</v>
          </cell>
        </row>
        <row r="42">
          <cell r="F42">
            <v>0</v>
          </cell>
        </row>
        <row r="43">
          <cell r="F43">
            <v>0</v>
          </cell>
        </row>
        <row r="47">
          <cell r="F47">
            <v>26000000</v>
          </cell>
        </row>
        <row r="48">
          <cell r="F48">
            <v>11500000</v>
          </cell>
        </row>
        <row r="49">
          <cell r="F49">
            <v>0</v>
          </cell>
        </row>
        <row r="50">
          <cell r="F50">
            <v>0</v>
          </cell>
        </row>
        <row r="51">
          <cell r="F51">
            <v>0</v>
          </cell>
        </row>
        <row r="53">
          <cell r="F53">
            <v>900000</v>
          </cell>
        </row>
        <row r="54">
          <cell r="F54">
            <v>231600000</v>
          </cell>
        </row>
        <row r="55">
          <cell r="F55">
            <v>0</v>
          </cell>
        </row>
        <row r="56">
          <cell r="F56">
            <v>5411956</v>
          </cell>
        </row>
        <row r="57">
          <cell r="F57">
            <v>0</v>
          </cell>
        </row>
        <row r="59">
          <cell r="F59">
            <v>13099000</v>
          </cell>
        </row>
        <row r="60">
          <cell r="F60">
            <v>10600000</v>
          </cell>
        </row>
        <row r="61">
          <cell r="F61">
            <v>12139000</v>
          </cell>
        </row>
        <row r="62">
          <cell r="F62">
            <v>10000000</v>
          </cell>
        </row>
        <row r="63">
          <cell r="F63">
            <v>0</v>
          </cell>
        </row>
        <row r="64">
          <cell r="F64">
            <v>0</v>
          </cell>
        </row>
        <row r="65">
          <cell r="F65">
            <v>0</v>
          </cell>
        </row>
        <row r="67">
          <cell r="F67">
            <v>7260000</v>
          </cell>
        </row>
        <row r="68">
          <cell r="F68">
            <v>2000000</v>
          </cell>
        </row>
        <row r="69">
          <cell r="F69">
            <v>48000000</v>
          </cell>
        </row>
        <row r="70">
          <cell r="F70">
            <v>48500000</v>
          </cell>
        </row>
        <row r="71">
          <cell r="F71">
            <v>0</v>
          </cell>
        </row>
        <row r="72">
          <cell r="F72">
            <v>219495290.21</v>
          </cell>
        </row>
        <row r="73">
          <cell r="F73">
            <v>2937755961.26</v>
          </cell>
        </row>
        <row r="75">
          <cell r="F75">
            <v>0</v>
          </cell>
        </row>
        <row r="76">
          <cell r="F76">
            <v>4000000</v>
          </cell>
        </row>
        <row r="77">
          <cell r="F77">
            <v>0</v>
          </cell>
        </row>
        <row r="78">
          <cell r="F78">
            <v>0</v>
          </cell>
        </row>
        <row r="80">
          <cell r="F80">
            <v>116561523.2038</v>
          </cell>
        </row>
        <row r="82">
          <cell r="F82">
            <v>62879003.5</v>
          </cell>
        </row>
        <row r="83">
          <cell r="F83">
            <v>6500000</v>
          </cell>
        </row>
        <row r="84">
          <cell r="F84">
            <v>0</v>
          </cell>
        </row>
        <row r="86">
          <cell r="F86">
            <v>5045621.89</v>
          </cell>
        </row>
        <row r="87">
          <cell r="F87">
            <v>0</v>
          </cell>
        </row>
        <row r="88">
          <cell r="F88">
            <v>100000000</v>
          </cell>
        </row>
        <row r="89">
          <cell r="F89">
            <v>35133000</v>
          </cell>
        </row>
        <row r="90">
          <cell r="F90">
            <v>63330000</v>
          </cell>
        </row>
        <row r="91">
          <cell r="F91">
            <v>450000</v>
          </cell>
        </row>
        <row r="92">
          <cell r="F92">
            <v>250000</v>
          </cell>
        </row>
        <row r="93">
          <cell r="F93">
            <v>0</v>
          </cell>
        </row>
        <row r="94">
          <cell r="F94">
            <v>2200000</v>
          </cell>
        </row>
        <row r="96">
          <cell r="F96">
            <v>0</v>
          </cell>
        </row>
        <row r="98">
          <cell r="F98">
            <v>16000000</v>
          </cell>
        </row>
        <row r="99">
          <cell r="F99">
            <v>1000000</v>
          </cell>
        </row>
        <row r="100">
          <cell r="F100">
            <v>0</v>
          </cell>
        </row>
        <row r="104">
          <cell r="F104">
            <v>59264700</v>
          </cell>
        </row>
        <row r="105">
          <cell r="F105">
            <v>5017500</v>
          </cell>
        </row>
        <row r="106">
          <cell r="F106">
            <v>9519996.5</v>
          </cell>
        </row>
        <row r="107">
          <cell r="F107">
            <v>19225000</v>
          </cell>
        </row>
        <row r="109">
          <cell r="F109">
            <v>5000000</v>
          </cell>
        </row>
        <row r="110">
          <cell r="F110">
            <v>0</v>
          </cell>
        </row>
        <row r="112">
          <cell r="F112">
            <v>64500000</v>
          </cell>
        </row>
        <row r="113">
          <cell r="F113">
            <v>102105000</v>
          </cell>
        </row>
        <row r="114">
          <cell r="F114">
            <v>7000000</v>
          </cell>
        </row>
        <row r="115">
          <cell r="F115">
            <v>6000000</v>
          </cell>
        </row>
        <row r="116">
          <cell r="F116">
            <v>0</v>
          </cell>
        </row>
        <row r="117">
          <cell r="F117">
            <v>65553756.26</v>
          </cell>
        </row>
        <row r="118">
          <cell r="F118">
            <v>1700000</v>
          </cell>
        </row>
        <row r="120">
          <cell r="F120">
            <v>14965000</v>
          </cell>
        </row>
        <row r="121">
          <cell r="F121">
            <v>21265000</v>
          </cell>
        </row>
        <row r="123">
          <cell r="F123">
            <v>11716107.94</v>
          </cell>
        </row>
        <row r="124">
          <cell r="F124">
            <v>5636100</v>
          </cell>
        </row>
        <row r="125">
          <cell r="F125">
            <v>16004800</v>
          </cell>
        </row>
        <row r="126">
          <cell r="F126">
            <v>8887500</v>
          </cell>
        </row>
        <row r="127">
          <cell r="F127">
            <v>14461480</v>
          </cell>
        </row>
        <row r="128">
          <cell r="F128">
            <v>0</v>
          </cell>
        </row>
        <row r="129">
          <cell r="F129">
            <v>1320000</v>
          </cell>
        </row>
        <row r="144">
          <cell r="F144">
            <v>5000000</v>
          </cell>
        </row>
        <row r="145">
          <cell r="F145">
            <v>441000000</v>
          </cell>
        </row>
        <row r="149">
          <cell r="F149">
            <v>27000000</v>
          </cell>
        </row>
        <row r="150">
          <cell r="F150">
            <v>61630000</v>
          </cell>
        </row>
        <row r="151">
          <cell r="F151">
            <v>2000000</v>
          </cell>
        </row>
        <row r="152">
          <cell r="F152">
            <v>3895000</v>
          </cell>
        </row>
        <row r="153">
          <cell r="F153">
            <v>47554769.2</v>
          </cell>
        </row>
        <row r="154">
          <cell r="F154">
            <v>10000000</v>
          </cell>
        </row>
        <row r="155">
          <cell r="F155">
            <v>60712200</v>
          </cell>
        </row>
        <row r="157">
          <cell r="F157">
            <v>0</v>
          </cell>
        </row>
        <row r="158">
          <cell r="F158">
            <v>0</v>
          </cell>
        </row>
        <row r="159">
          <cell r="F159">
            <v>0</v>
          </cell>
        </row>
        <row r="160">
          <cell r="F160">
            <v>155000000</v>
          </cell>
        </row>
        <row r="161">
          <cell r="F161">
            <v>0</v>
          </cell>
        </row>
        <row r="163">
          <cell r="F163">
            <v>244000000</v>
          </cell>
        </row>
        <row r="164">
          <cell r="F164">
            <v>0</v>
          </cell>
        </row>
        <row r="165">
          <cell r="F165">
            <v>0</v>
          </cell>
        </row>
        <row r="167">
          <cell r="F167">
            <v>0</v>
          </cell>
        </row>
        <row r="168">
          <cell r="F168">
            <v>0</v>
          </cell>
        </row>
        <row r="172">
          <cell r="F172">
            <v>0</v>
          </cell>
        </row>
        <row r="173">
          <cell r="F173">
            <v>0</v>
          </cell>
        </row>
        <row r="174">
          <cell r="F174">
            <v>0</v>
          </cell>
        </row>
        <row r="175">
          <cell r="F175">
            <v>0</v>
          </cell>
        </row>
        <row r="176">
          <cell r="F176">
            <v>0</v>
          </cell>
        </row>
        <row r="177">
          <cell r="F177">
            <v>0</v>
          </cell>
        </row>
        <row r="178">
          <cell r="F178">
            <v>0</v>
          </cell>
        </row>
        <row r="180">
          <cell r="F180">
            <v>0</v>
          </cell>
        </row>
        <row r="181">
          <cell r="F181">
            <v>0</v>
          </cell>
        </row>
        <row r="183">
          <cell r="F183">
            <v>96950828.2</v>
          </cell>
        </row>
        <row r="184">
          <cell r="F184">
            <v>0</v>
          </cell>
        </row>
        <row r="185">
          <cell r="F185">
            <v>0</v>
          </cell>
        </row>
        <row r="186">
          <cell r="F186">
            <v>0</v>
          </cell>
        </row>
        <row r="187">
          <cell r="F187">
            <v>0</v>
          </cell>
        </row>
        <row r="188">
          <cell r="F188">
            <v>82219325</v>
          </cell>
        </row>
        <row r="190">
          <cell r="F190">
            <v>0</v>
          </cell>
        </row>
        <row r="191">
          <cell r="F191">
            <v>0</v>
          </cell>
        </row>
        <row r="192">
          <cell r="F192">
            <v>0</v>
          </cell>
        </row>
        <row r="193">
          <cell r="F193">
            <v>0</v>
          </cell>
        </row>
        <row r="195">
          <cell r="F195">
            <v>0</v>
          </cell>
        </row>
        <row r="197">
          <cell r="F197">
            <v>309000000</v>
          </cell>
        </row>
        <row r="198">
          <cell r="F198">
            <v>0</v>
          </cell>
        </row>
        <row r="202">
          <cell r="F202">
            <v>0</v>
          </cell>
        </row>
        <row r="203">
          <cell r="F203">
            <v>0</v>
          </cell>
        </row>
        <row r="204">
          <cell r="F204">
            <v>0</v>
          </cell>
        </row>
        <row r="205">
          <cell r="F205">
            <v>0</v>
          </cell>
        </row>
        <row r="206">
          <cell r="F206">
            <v>0</v>
          </cell>
        </row>
        <row r="207">
          <cell r="F207">
            <v>0</v>
          </cell>
        </row>
        <row r="209">
          <cell r="F209">
            <v>0</v>
          </cell>
        </row>
        <row r="211">
          <cell r="F211">
            <v>0</v>
          </cell>
        </row>
        <row r="212">
          <cell r="F212">
            <v>0</v>
          </cell>
        </row>
        <row r="213">
          <cell r="F213">
            <v>0</v>
          </cell>
        </row>
        <row r="214">
          <cell r="F214">
            <v>0</v>
          </cell>
        </row>
        <row r="218">
          <cell r="F218">
            <v>180000000</v>
          </cell>
        </row>
        <row r="219">
          <cell r="F219">
            <v>236400000</v>
          </cell>
        </row>
        <row r="224">
          <cell r="F224">
            <v>0</v>
          </cell>
        </row>
        <row r="227">
          <cell r="F227">
            <v>0</v>
          </cell>
        </row>
        <row r="228">
          <cell r="F228">
            <v>0</v>
          </cell>
        </row>
      </sheetData>
      <sheetData sheetId="4">
        <row r="16">
          <cell r="F16">
            <v>569679600</v>
          </cell>
        </row>
        <row r="17">
          <cell r="F17">
            <v>0</v>
          </cell>
        </row>
        <row r="18">
          <cell r="F18">
            <v>0</v>
          </cell>
        </row>
        <row r="19">
          <cell r="F19">
            <v>13875000</v>
          </cell>
        </row>
        <row r="21">
          <cell r="F21">
            <v>5945500</v>
          </cell>
        </row>
        <row r="22">
          <cell r="F22">
            <v>2795200</v>
          </cell>
        </row>
        <row r="23">
          <cell r="F23">
            <v>14027100</v>
          </cell>
        </row>
        <row r="24">
          <cell r="F24">
            <v>0</v>
          </cell>
        </row>
        <row r="26">
          <cell r="F26">
            <v>205972540.5</v>
          </cell>
        </row>
        <row r="27">
          <cell r="F27">
            <v>92887740</v>
          </cell>
        </row>
        <row r="28">
          <cell r="F28">
            <v>84228920.22918019</v>
          </cell>
        </row>
        <row r="29">
          <cell r="F29">
            <v>75017474.9</v>
          </cell>
        </row>
        <row r="30">
          <cell r="F30">
            <v>30557304</v>
          </cell>
        </row>
        <row r="32">
          <cell r="F32">
            <v>93495064.99450001</v>
          </cell>
        </row>
        <row r="33">
          <cell r="F33">
            <v>5053787.297</v>
          </cell>
        </row>
        <row r="35">
          <cell r="F35">
            <v>51447554.683460005</v>
          </cell>
        </row>
        <row r="36">
          <cell r="F36">
            <v>15161361.890999999</v>
          </cell>
        </row>
        <row r="37">
          <cell r="F37">
            <v>30322723.781999998</v>
          </cell>
        </row>
        <row r="39">
          <cell r="F39">
            <v>50537872.970000006</v>
          </cell>
        </row>
        <row r="42">
          <cell r="F42">
            <v>0</v>
          </cell>
        </row>
        <row r="43">
          <cell r="F43">
            <v>0</v>
          </cell>
        </row>
        <row r="47">
          <cell r="F47">
            <v>0</v>
          </cell>
        </row>
        <row r="48">
          <cell r="F48">
            <v>0</v>
          </cell>
        </row>
        <row r="49">
          <cell r="F49">
            <v>0</v>
          </cell>
        </row>
        <row r="50">
          <cell r="F50">
            <v>0</v>
          </cell>
        </row>
        <row r="51">
          <cell r="F51">
            <v>0</v>
          </cell>
        </row>
        <row r="53">
          <cell r="F53">
            <v>0</v>
          </cell>
        </row>
        <row r="54">
          <cell r="F54">
            <v>0</v>
          </cell>
        </row>
        <row r="55">
          <cell r="F55">
            <v>0</v>
          </cell>
        </row>
        <row r="56">
          <cell r="F56">
            <v>0</v>
          </cell>
        </row>
        <row r="57">
          <cell r="F57">
            <v>0</v>
          </cell>
        </row>
        <row r="59">
          <cell r="F59">
            <v>0</v>
          </cell>
        </row>
        <row r="60">
          <cell r="F60">
            <v>0</v>
          </cell>
        </row>
        <row r="61">
          <cell r="F61">
            <v>16040000</v>
          </cell>
        </row>
        <row r="62">
          <cell r="F62">
            <v>0</v>
          </cell>
        </row>
        <row r="63">
          <cell r="F63">
            <v>0</v>
          </cell>
        </row>
        <row r="64">
          <cell r="F64">
            <v>0</v>
          </cell>
        </row>
        <row r="65">
          <cell r="F65">
            <v>0</v>
          </cell>
        </row>
        <row r="67">
          <cell r="F67">
            <v>0</v>
          </cell>
        </row>
        <row r="68">
          <cell r="F68">
            <v>0</v>
          </cell>
        </row>
        <row r="69">
          <cell r="F69">
            <v>20000000</v>
          </cell>
        </row>
        <row r="70">
          <cell r="F70">
            <v>0</v>
          </cell>
        </row>
        <row r="71">
          <cell r="F71">
            <v>0</v>
          </cell>
        </row>
        <row r="72">
          <cell r="F72">
            <v>8500000</v>
          </cell>
        </row>
        <row r="73">
          <cell r="F73">
            <v>403700000</v>
          </cell>
        </row>
        <row r="75">
          <cell r="F75">
            <v>0</v>
          </cell>
        </row>
        <row r="76">
          <cell r="F76">
            <v>0</v>
          </cell>
        </row>
        <row r="77">
          <cell r="F77">
            <v>0</v>
          </cell>
        </row>
        <row r="78">
          <cell r="F78">
            <v>0</v>
          </cell>
        </row>
        <row r="80">
          <cell r="F80">
            <v>55727723.782000005</v>
          </cell>
        </row>
        <row r="82">
          <cell r="F82">
            <v>7000000</v>
          </cell>
        </row>
        <row r="83">
          <cell r="F83">
            <v>0</v>
          </cell>
        </row>
        <row r="84">
          <cell r="F84">
            <v>0</v>
          </cell>
        </row>
        <row r="86">
          <cell r="F86">
            <v>0</v>
          </cell>
        </row>
        <row r="87">
          <cell r="F87">
            <v>0</v>
          </cell>
        </row>
        <row r="88">
          <cell r="F88">
            <v>0</v>
          </cell>
        </row>
        <row r="89">
          <cell r="F89">
            <v>60000000</v>
          </cell>
        </row>
        <row r="90">
          <cell r="F90">
            <v>35500000</v>
          </cell>
        </row>
        <row r="91">
          <cell r="F91">
            <v>0</v>
          </cell>
        </row>
        <row r="92">
          <cell r="F92">
            <v>0</v>
          </cell>
        </row>
        <row r="93">
          <cell r="F93">
            <v>1617000</v>
          </cell>
        </row>
        <row r="94">
          <cell r="F94">
            <v>0</v>
          </cell>
        </row>
        <row r="96">
          <cell r="F96">
            <v>0</v>
          </cell>
        </row>
        <row r="98">
          <cell r="F98">
            <v>0</v>
          </cell>
        </row>
        <row r="99">
          <cell r="F99">
            <v>0</v>
          </cell>
        </row>
        <row r="103">
          <cell r="F103">
            <v>50000000</v>
          </cell>
        </row>
        <row r="104">
          <cell r="F104">
            <v>900000</v>
          </cell>
        </row>
        <row r="105">
          <cell r="F105">
            <v>24751099.990000002</v>
          </cell>
        </row>
        <row r="106">
          <cell r="F106">
            <v>0</v>
          </cell>
        </row>
        <row r="108">
          <cell r="F108">
            <v>0</v>
          </cell>
        </row>
        <row r="109">
          <cell r="F109">
            <v>0</v>
          </cell>
        </row>
        <row r="111">
          <cell r="F111">
            <v>36000000</v>
          </cell>
        </row>
        <row r="112">
          <cell r="F112">
            <v>240000000</v>
          </cell>
        </row>
        <row r="113">
          <cell r="F113">
            <v>15000000</v>
          </cell>
        </row>
        <row r="114">
          <cell r="F114">
            <v>1136500</v>
          </cell>
        </row>
        <row r="115">
          <cell r="F115">
            <v>1100000</v>
          </cell>
        </row>
        <row r="116">
          <cell r="F116">
            <v>12000000</v>
          </cell>
        </row>
        <row r="117">
          <cell r="F117">
            <v>3000000</v>
          </cell>
        </row>
        <row r="119">
          <cell r="F119">
            <v>9300000</v>
          </cell>
        </row>
        <row r="120">
          <cell r="F120">
            <v>16409000.01</v>
          </cell>
        </row>
        <row r="122">
          <cell r="F122">
            <v>4872000</v>
          </cell>
        </row>
        <row r="123">
          <cell r="F123">
            <v>1706600</v>
          </cell>
        </row>
        <row r="124">
          <cell r="F124">
            <v>6934600</v>
          </cell>
        </row>
        <row r="125">
          <cell r="F125">
            <v>2000000</v>
          </cell>
        </row>
        <row r="126">
          <cell r="F126">
            <v>4000000</v>
          </cell>
        </row>
        <row r="127">
          <cell r="F127">
            <v>0</v>
          </cell>
        </row>
        <row r="128">
          <cell r="F128">
            <v>0</v>
          </cell>
        </row>
        <row r="132">
          <cell r="F132">
            <v>0</v>
          </cell>
        </row>
        <row r="147">
          <cell r="F147">
            <v>90000000</v>
          </cell>
        </row>
        <row r="148">
          <cell r="F148">
            <v>20000000</v>
          </cell>
        </row>
        <row r="149">
          <cell r="F149">
            <v>7580990</v>
          </cell>
        </row>
        <row r="150">
          <cell r="F150">
            <v>15665300</v>
          </cell>
        </row>
        <row r="151">
          <cell r="F151">
            <v>42500000</v>
          </cell>
        </row>
        <row r="152">
          <cell r="F152">
            <v>874800</v>
          </cell>
        </row>
        <row r="153">
          <cell r="F153">
            <v>1410000</v>
          </cell>
        </row>
        <row r="154">
          <cell r="F154">
            <v>20946500</v>
          </cell>
        </row>
        <row r="156">
          <cell r="F156">
            <v>92899408.39</v>
          </cell>
        </row>
        <row r="157">
          <cell r="F157">
            <v>260162326.8</v>
          </cell>
        </row>
        <row r="158">
          <cell r="F158">
            <v>0</v>
          </cell>
        </row>
        <row r="159">
          <cell r="F159">
            <v>486706480</v>
          </cell>
        </row>
        <row r="160">
          <cell r="F160">
            <v>120000000</v>
          </cell>
        </row>
        <row r="162">
          <cell r="F162">
            <v>0</v>
          </cell>
        </row>
        <row r="163">
          <cell r="F163">
            <v>0</v>
          </cell>
        </row>
        <row r="164">
          <cell r="F164">
            <v>0</v>
          </cell>
        </row>
        <row r="166">
          <cell r="F166">
            <v>0</v>
          </cell>
        </row>
        <row r="167">
          <cell r="F167">
            <v>0</v>
          </cell>
        </row>
        <row r="171">
          <cell r="F171">
            <v>0</v>
          </cell>
        </row>
        <row r="172">
          <cell r="F172">
            <v>0</v>
          </cell>
        </row>
        <row r="173">
          <cell r="F173">
            <v>0</v>
          </cell>
        </row>
        <row r="174">
          <cell r="F174">
            <v>0</v>
          </cell>
        </row>
        <row r="175">
          <cell r="F175">
            <v>0</v>
          </cell>
        </row>
        <row r="176">
          <cell r="F176">
            <v>0</v>
          </cell>
        </row>
        <row r="177">
          <cell r="F177">
            <v>0</v>
          </cell>
        </row>
        <row r="179">
          <cell r="F179">
            <v>0</v>
          </cell>
        </row>
        <row r="180">
          <cell r="F180">
            <v>0</v>
          </cell>
        </row>
        <row r="182">
          <cell r="F182">
            <v>22160857.56</v>
          </cell>
        </row>
        <row r="187">
          <cell r="F187">
            <v>15108450</v>
          </cell>
        </row>
        <row r="189">
          <cell r="F189">
            <v>0</v>
          </cell>
        </row>
        <row r="190">
          <cell r="F190">
            <v>0</v>
          </cell>
        </row>
        <row r="191">
          <cell r="F191">
            <v>0</v>
          </cell>
        </row>
        <row r="192">
          <cell r="F192">
            <v>0</v>
          </cell>
        </row>
        <row r="194">
          <cell r="F194">
            <v>0</v>
          </cell>
        </row>
        <row r="196">
          <cell r="F196">
            <v>1000000</v>
          </cell>
        </row>
        <row r="197">
          <cell r="F197">
            <v>0</v>
          </cell>
        </row>
        <row r="201">
          <cell r="F201">
            <v>0</v>
          </cell>
        </row>
        <row r="202">
          <cell r="F202">
            <v>0</v>
          </cell>
        </row>
        <row r="203">
          <cell r="F203">
            <v>204946287.76</v>
          </cell>
        </row>
        <row r="204">
          <cell r="F204">
            <v>0</v>
          </cell>
        </row>
        <row r="205">
          <cell r="F205">
            <v>0</v>
          </cell>
        </row>
        <row r="206">
          <cell r="F206">
            <v>0</v>
          </cell>
        </row>
        <row r="208">
          <cell r="F208">
            <v>0</v>
          </cell>
        </row>
        <row r="210">
          <cell r="F210">
            <v>1494745956.8400002</v>
          </cell>
        </row>
        <row r="211">
          <cell r="F211">
            <v>0</v>
          </cell>
        </row>
        <row r="212">
          <cell r="F212">
            <v>0</v>
          </cell>
        </row>
        <row r="213">
          <cell r="F213">
            <v>0</v>
          </cell>
        </row>
        <row r="217">
          <cell r="F217">
            <v>0</v>
          </cell>
        </row>
        <row r="222">
          <cell r="F222">
            <v>0</v>
          </cell>
        </row>
        <row r="225">
          <cell r="F225">
            <v>0</v>
          </cell>
        </row>
        <row r="226">
          <cell r="F226">
            <v>133694150.1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IMACION"/>
      <sheetName val="JUSTIFICACION"/>
    </sheetNames>
    <sheetDataSet>
      <sheetData sheetId="0">
        <row r="114">
          <cell r="G114">
            <v>188354040</v>
          </cell>
        </row>
        <row r="120">
          <cell r="G120">
            <v>276750000</v>
          </cell>
        </row>
      </sheetData>
      <sheetData sheetId="1">
        <row r="24">
          <cell r="H24">
            <v>4450000000</v>
          </cell>
        </row>
        <row r="32">
          <cell r="H32">
            <v>0</v>
          </cell>
        </row>
        <row r="42">
          <cell r="H42">
            <v>115000000</v>
          </cell>
        </row>
        <row r="53">
          <cell r="H53">
            <v>1200000</v>
          </cell>
        </row>
        <row r="62">
          <cell r="H62">
            <v>800000000</v>
          </cell>
        </row>
        <row r="73">
          <cell r="H73">
            <v>20000000</v>
          </cell>
        </row>
        <row r="83">
          <cell r="H83">
            <v>1500000</v>
          </cell>
        </row>
        <row r="94">
          <cell r="H94">
            <v>3500000000</v>
          </cell>
        </row>
        <row r="106">
          <cell r="H106">
            <v>325000000</v>
          </cell>
        </row>
        <row r="115">
          <cell r="H115">
            <v>70000000</v>
          </cell>
        </row>
        <row r="126">
          <cell r="H126">
            <v>2250000000</v>
          </cell>
        </row>
        <row r="136">
          <cell r="H136">
            <v>176000000</v>
          </cell>
        </row>
        <row r="146">
          <cell r="H146">
            <v>0</v>
          </cell>
        </row>
        <row r="155">
          <cell r="H155">
            <v>1700000</v>
          </cell>
        </row>
        <row r="165">
          <cell r="H165">
            <v>250000000</v>
          </cell>
        </row>
        <row r="168">
          <cell r="G168">
            <v>450000000</v>
          </cell>
        </row>
        <row r="185">
          <cell r="H185">
            <v>36500000</v>
          </cell>
        </row>
        <row r="196">
          <cell r="H196">
            <v>0</v>
          </cell>
        </row>
        <row r="207">
          <cell r="H207">
            <v>2565000000</v>
          </cell>
        </row>
        <row r="216">
          <cell r="H216">
            <v>336000000</v>
          </cell>
        </row>
        <row r="226">
          <cell r="H226">
            <v>148000000</v>
          </cell>
        </row>
        <row r="237">
          <cell r="H237">
            <v>25000000</v>
          </cell>
        </row>
        <row r="246">
          <cell r="H246">
            <v>12000000</v>
          </cell>
        </row>
        <row r="257">
          <cell r="H257">
            <v>96000000</v>
          </cell>
        </row>
        <row r="267">
          <cell r="H267">
            <v>20000000</v>
          </cell>
        </row>
        <row r="278">
          <cell r="H278">
            <v>425000000</v>
          </cell>
        </row>
        <row r="289">
          <cell r="H289">
            <v>145000000</v>
          </cell>
        </row>
        <row r="292">
          <cell r="G292">
            <v>100000000</v>
          </cell>
        </row>
        <row r="312">
          <cell r="H312">
            <v>85000000</v>
          </cell>
        </row>
        <row r="335">
          <cell r="H335">
            <v>400000000</v>
          </cell>
        </row>
        <row r="344">
          <cell r="H344">
            <v>20000000</v>
          </cell>
        </row>
        <row r="354">
          <cell r="H354">
            <v>38205593</v>
          </cell>
        </row>
        <row r="364">
          <cell r="H364">
            <v>500000000</v>
          </cell>
        </row>
        <row r="375">
          <cell r="H375">
            <v>2100000</v>
          </cell>
        </row>
        <row r="386">
          <cell r="H386">
            <v>315000000</v>
          </cell>
        </row>
        <row r="397">
          <cell r="H397">
            <v>3000000</v>
          </cell>
        </row>
        <row r="410">
          <cell r="H410">
            <v>520000000</v>
          </cell>
        </row>
        <row r="420">
          <cell r="H420">
            <v>14634295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PECIF."/>
      <sheetName val="OTROS CALC."/>
    </sheetNames>
    <sheetDataSet>
      <sheetData sheetId="1">
        <row r="10">
          <cell r="B10">
            <v>6422103003.360001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STIMACION"/>
      <sheetName val="JUSTIFICACION"/>
    </sheetNames>
    <sheetDataSet>
      <sheetData sheetId="0">
        <row r="117">
          <cell r="H117">
            <v>51706480</v>
          </cell>
        </row>
        <row r="123">
          <cell r="H123">
            <v>0</v>
          </cell>
        </row>
      </sheetData>
      <sheetData sheetId="1">
        <row r="24">
          <cell r="H24">
            <v>5915000000</v>
          </cell>
        </row>
        <row r="32">
          <cell r="H32">
            <v>0</v>
          </cell>
        </row>
        <row r="42">
          <cell r="H42">
            <v>120000000</v>
          </cell>
        </row>
        <row r="53">
          <cell r="H53">
            <v>5000000</v>
          </cell>
        </row>
        <row r="62">
          <cell r="H62">
            <v>747000000</v>
          </cell>
        </row>
        <row r="73">
          <cell r="H73">
            <v>40000000</v>
          </cell>
        </row>
        <row r="83">
          <cell r="H83">
            <v>1200000</v>
          </cell>
        </row>
        <row r="94">
          <cell r="H94">
            <v>4525000000</v>
          </cell>
        </row>
        <row r="106">
          <cell r="H106">
            <v>475000000</v>
          </cell>
        </row>
        <row r="115">
          <cell r="H115">
            <v>84000000</v>
          </cell>
        </row>
        <row r="126">
          <cell r="H126">
            <v>2665000000</v>
          </cell>
        </row>
        <row r="136">
          <cell r="H136">
            <v>277360000</v>
          </cell>
        </row>
        <row r="146">
          <cell r="H146">
            <v>0</v>
          </cell>
        </row>
        <row r="155">
          <cell r="H155">
            <v>800000</v>
          </cell>
        </row>
        <row r="165">
          <cell r="H165">
            <v>650000000</v>
          </cell>
        </row>
        <row r="168">
          <cell r="G168">
            <v>543600000</v>
          </cell>
        </row>
        <row r="185">
          <cell r="H185">
            <v>60000000</v>
          </cell>
        </row>
        <row r="196">
          <cell r="H196">
            <v>0</v>
          </cell>
        </row>
        <row r="207">
          <cell r="H207">
            <v>3080000000</v>
          </cell>
        </row>
        <row r="216">
          <cell r="H216">
            <v>456500000</v>
          </cell>
        </row>
        <row r="226">
          <cell r="H226">
            <v>239500000</v>
          </cell>
        </row>
        <row r="237">
          <cell r="H237">
            <v>28500000</v>
          </cell>
        </row>
        <row r="246">
          <cell r="H246">
            <v>10000000</v>
          </cell>
        </row>
        <row r="257">
          <cell r="H257">
            <v>268750000</v>
          </cell>
        </row>
        <row r="267">
          <cell r="H267">
            <v>12000000</v>
          </cell>
        </row>
        <row r="278">
          <cell r="H278">
            <v>600000000</v>
          </cell>
        </row>
        <row r="289">
          <cell r="H289">
            <v>221850000</v>
          </cell>
        </row>
        <row r="292">
          <cell r="G292">
            <v>110000000</v>
          </cell>
        </row>
        <row r="312">
          <cell r="H312">
            <v>138000000</v>
          </cell>
        </row>
        <row r="335">
          <cell r="H335">
            <v>615000000</v>
          </cell>
        </row>
        <row r="344">
          <cell r="H344">
            <v>60000000</v>
          </cell>
        </row>
        <row r="354">
          <cell r="H354">
            <v>57214376</v>
          </cell>
        </row>
        <row r="364">
          <cell r="H364">
            <v>0</v>
          </cell>
        </row>
        <row r="375">
          <cell r="H375">
            <v>4000000</v>
          </cell>
        </row>
        <row r="386">
          <cell r="H386">
            <v>325000000</v>
          </cell>
        </row>
        <row r="397">
          <cell r="H397">
            <v>6500000</v>
          </cell>
        </row>
        <row r="410">
          <cell r="H410">
            <v>590000000</v>
          </cell>
        </row>
        <row r="419">
          <cell r="H419">
            <v>89964000</v>
          </cell>
        </row>
        <row r="430">
          <cell r="H430">
            <v>12388270</v>
          </cell>
        </row>
        <row r="438">
          <cell r="H438">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lasific. Económica de Ingresos"/>
      <sheetName val="Detalle General de Egresos"/>
      <sheetName val="ProgramaI"/>
      <sheetName val="Programa II"/>
      <sheetName val="Programa III"/>
      <sheetName val="Egresos Programa I General"/>
      <sheetName val="Egresos Programa II General"/>
      <sheetName val="Egresos Programa III General"/>
      <sheetName val="INGRESOS LIBRES DETALLE Nº17"/>
      <sheetName val="RELACION INGRESO GASTO DET.15"/>
      <sheetName val="Origen y Aplicación"/>
      <sheetName val="INGRESOS FIN ESPECIFICO DET.13"/>
      <sheetName val="RELACION ING-GASTO SERV"/>
      <sheetName val="DEUDA INTERNA"/>
    </sheetNames>
    <sheetDataSet>
      <sheetData sheetId="0">
        <row r="16">
          <cell r="A16" t="str">
            <v>1.1.2.1.01.00.0.0.000</v>
          </cell>
          <cell r="C16">
            <v>5915000000</v>
          </cell>
        </row>
        <row r="17">
          <cell r="A17" t="str">
            <v>1.1.2.2.02.00.0.0.000</v>
          </cell>
          <cell r="C17">
            <v>0</v>
          </cell>
        </row>
        <row r="23">
          <cell r="A23" t="str">
            <v>1.1.3.2.01.02.0.0.001</v>
          </cell>
          <cell r="C23">
            <v>120000000</v>
          </cell>
        </row>
        <row r="24">
          <cell r="C24">
            <v>5000000</v>
          </cell>
        </row>
        <row r="25">
          <cell r="A25" t="str">
            <v>1.1.3.2.01.04.0.0.000</v>
          </cell>
        </row>
        <row r="26">
          <cell r="A26" t="str">
            <v>1.1.3.2.01.05.0.0.000</v>
          </cell>
          <cell r="C26">
            <v>747000000</v>
          </cell>
        </row>
        <row r="29">
          <cell r="A29" t="str">
            <v>1.1.3.2.02.09.0.0.000</v>
          </cell>
        </row>
        <row r="33">
          <cell r="A33" t="str">
            <v>1.1.3.3.01.01.0.0.000</v>
          </cell>
          <cell r="C33">
            <v>1200000</v>
          </cell>
        </row>
        <row r="34">
          <cell r="A34" t="str">
            <v>1.1.3.3.01.02.0.0.000</v>
          </cell>
          <cell r="C34">
            <v>4525000000</v>
          </cell>
        </row>
        <row r="40">
          <cell r="A40" t="str">
            <v>1.1.9.1.01.00.0.0.000</v>
          </cell>
          <cell r="C40">
            <v>475000000</v>
          </cell>
        </row>
        <row r="41">
          <cell r="A41" t="str">
            <v>1.1.9.1.02.00.0.0.000</v>
          </cell>
          <cell r="C41">
            <v>84000000</v>
          </cell>
        </row>
        <row r="50">
          <cell r="A50" t="str">
            <v>1.3.1.1.05.00.0.0.000</v>
          </cell>
          <cell r="C50">
            <v>2665000000</v>
          </cell>
        </row>
        <row r="56">
          <cell r="A56" t="str">
            <v>1.3.1.2.04.01.1.0.000</v>
          </cell>
          <cell r="C56">
            <v>277360000</v>
          </cell>
        </row>
        <row r="57">
          <cell r="A57" t="str">
            <v>1.3.1.2.04.01.2.0.000</v>
          </cell>
          <cell r="C57">
            <v>0</v>
          </cell>
        </row>
        <row r="58">
          <cell r="A58" t="str">
            <v>1.3.1.2.04.09.0.0.000</v>
          </cell>
          <cell r="C58">
            <v>800000</v>
          </cell>
        </row>
        <row r="61">
          <cell r="A61" t="str">
            <v>1.3.1.2.05.01.1.0.000</v>
          </cell>
          <cell r="C61">
            <v>650000000</v>
          </cell>
        </row>
        <row r="62">
          <cell r="C62">
            <v>543600000</v>
          </cell>
        </row>
        <row r="63">
          <cell r="C63">
            <v>60000000</v>
          </cell>
        </row>
        <row r="64">
          <cell r="A64" t="str">
            <v>1.3.1.2.05.02.1.0.000</v>
          </cell>
        </row>
        <row r="67">
          <cell r="A67" t="str">
            <v>1.3.1.2.05.04.1.0.000</v>
          </cell>
          <cell r="C67">
            <v>3080000000</v>
          </cell>
        </row>
        <row r="68">
          <cell r="A68" t="str">
            <v>1.3.1.2.05.04.2.0.000</v>
          </cell>
          <cell r="C68">
            <v>456500000</v>
          </cell>
        </row>
        <row r="69">
          <cell r="A69" t="str">
            <v>1.3.1.2.05.04.4.0.000</v>
          </cell>
          <cell r="C69">
            <v>239500000</v>
          </cell>
        </row>
        <row r="70">
          <cell r="A70" t="str">
            <v>1.3.1.2.05.04.5.0.000</v>
          </cell>
          <cell r="C70">
            <v>28500000</v>
          </cell>
        </row>
        <row r="72">
          <cell r="A72" t="str">
            <v>1.3.1.2.09.09.0.0.000</v>
          </cell>
          <cell r="C72">
            <v>10000000</v>
          </cell>
        </row>
        <row r="77">
          <cell r="A77" t="str">
            <v>1.3.1.3.01.01.1.0.000</v>
          </cell>
          <cell r="C77">
            <v>268750000</v>
          </cell>
        </row>
        <row r="87">
          <cell r="A87" t="str">
            <v>1.3.1.3.02.03.1.0.000</v>
          </cell>
          <cell r="C87">
            <v>12000000</v>
          </cell>
        </row>
        <row r="94">
          <cell r="A94" t="str">
            <v>1.3.2.3.01.06.0.0.000</v>
          </cell>
          <cell r="C94">
            <v>600000000</v>
          </cell>
        </row>
        <row r="101">
          <cell r="A101" t="str">
            <v>1.3.3.1.01.01.0.0.000</v>
          </cell>
          <cell r="C101">
            <v>221850000</v>
          </cell>
        </row>
        <row r="103">
          <cell r="A103" t="str">
            <v>1.3.3.1.02.01.0.0.000</v>
          </cell>
          <cell r="C103">
            <v>110000000</v>
          </cell>
        </row>
        <row r="104">
          <cell r="A104" t="str">
            <v>1.3.3.1.09.00.0.0.000</v>
          </cell>
          <cell r="C104">
            <v>138000000</v>
          </cell>
        </row>
        <row r="109">
          <cell r="A109" t="str">
            <v>1.3.4.1.00.00.0.0.000</v>
          </cell>
          <cell r="C109">
            <v>615000000</v>
          </cell>
        </row>
        <row r="116">
          <cell r="A116" t="str">
            <v>1.4.1.2.01.00.0.0.000</v>
          </cell>
          <cell r="C116">
            <v>60000000</v>
          </cell>
        </row>
        <row r="117">
          <cell r="A117" t="str">
            <v>1.4.1.2.02,00.0.0.000</v>
          </cell>
          <cell r="B117" t="str">
            <v>Programas comites cantonales de la Persona Joven</v>
          </cell>
          <cell r="C117">
            <v>6500000</v>
          </cell>
        </row>
        <row r="119">
          <cell r="A119" t="str">
            <v>1.4.1.3.01.00.0.0.000</v>
          </cell>
          <cell r="C119">
            <v>57214376</v>
          </cell>
        </row>
        <row r="127">
          <cell r="A127" t="str">
            <v>2.1.2.1.01.00.0.0.000</v>
          </cell>
          <cell r="C127">
            <v>0</v>
          </cell>
        </row>
        <row r="132">
          <cell r="A132" t="str">
            <v>2.2.1.1.00.00.0.0.000</v>
          </cell>
          <cell r="C132">
            <v>4000000</v>
          </cell>
        </row>
        <row r="139">
          <cell r="A139" t="str">
            <v>2.4.1.1.01.00.0.0.000</v>
          </cell>
          <cell r="C139">
            <v>325000000</v>
          </cell>
        </row>
        <row r="140">
          <cell r="A140" t="str">
            <v>2.4.1.1.02.00.0.0.000</v>
          </cell>
          <cell r="B140" t="str">
            <v>Ley 8316 Fondo de Alcantarillados</v>
          </cell>
          <cell r="C140">
            <v>590000000</v>
          </cell>
        </row>
        <row r="143">
          <cell r="A143" t="str">
            <v>2.4.1.2.01.00.0.0.001</v>
          </cell>
          <cell r="B143" t="str">
            <v>Fondo de Desarrollo Social y Asignaciones Familiares</v>
          </cell>
          <cell r="C143">
            <v>89964000</v>
          </cell>
        </row>
        <row r="147">
          <cell r="A147" t="str">
            <v>2.4.1.3.01.00.0.0.001</v>
          </cell>
          <cell r="C147">
            <v>12388270</v>
          </cell>
        </row>
        <row r="153">
          <cell r="A153" t="str">
            <v>2,4.3,1,00,00,0,0,001</v>
          </cell>
          <cell r="B153" t="str">
            <v>Aporte de Cooperación Alemana</v>
          </cell>
          <cell r="C153">
            <v>51706480</v>
          </cell>
        </row>
        <row r="162">
          <cell r="A162" t="str">
            <v>3.3.1.0.00.00.0.0.000</v>
          </cell>
          <cell r="B162" t="str">
            <v>Superavit Libre</v>
          </cell>
          <cell r="C162">
            <v>0</v>
          </cell>
        </row>
        <row r="167">
          <cell r="D167">
            <v>23085833126</v>
          </cell>
        </row>
      </sheetData>
      <sheetData sheetId="2">
        <row r="8">
          <cell r="E8">
            <v>4393652373.828072</v>
          </cell>
        </row>
        <row r="10">
          <cell r="E10">
            <v>1355124280.055</v>
          </cell>
        </row>
        <row r="12">
          <cell r="E12">
            <v>113181481.30000001</v>
          </cell>
        </row>
        <row r="16">
          <cell r="E16">
            <v>165252457.95</v>
          </cell>
        </row>
        <row r="18">
          <cell r="E18">
            <v>2020248056.2832835</v>
          </cell>
        </row>
        <row r="22">
          <cell r="B22" t="str">
            <v>Organo Normalización Técnica M.de Hacienda </v>
          </cell>
        </row>
        <row r="24">
          <cell r="B24" t="str">
            <v>Aporte Junta Admva.Registro Nac. Ley 7509y 7729</v>
          </cell>
        </row>
        <row r="25">
          <cell r="B25" t="str">
            <v>CONAGEBIO (10% de la Ley 7788)</v>
          </cell>
          <cell r="E25">
            <v>8400000</v>
          </cell>
        </row>
        <row r="26">
          <cell r="B26" t="str">
            <v>Fondo para Parques Nacionales</v>
          </cell>
          <cell r="E26">
            <v>52920000</v>
          </cell>
        </row>
        <row r="28">
          <cell r="B28" t="str">
            <v>Aporte a IFAM, Ley Nº 7509 </v>
          </cell>
        </row>
        <row r="29">
          <cell r="B29" t="str">
            <v>Juntas de Educación, Ley 7509 y 7729</v>
          </cell>
        </row>
        <row r="30">
          <cell r="B30" t="str">
            <v>Consejo Nac. De Rehab. y Educ. Esp. </v>
          </cell>
          <cell r="E30">
            <v>115429165.63</v>
          </cell>
        </row>
        <row r="32">
          <cell r="B32" t="str">
            <v>Comité Cantonal Deportes y Recreación </v>
          </cell>
          <cell r="E32">
            <v>691023799.38</v>
          </cell>
        </row>
        <row r="33">
          <cell r="B33" t="str">
            <v>FEDOMA</v>
          </cell>
          <cell r="E33">
            <v>0</v>
          </cell>
        </row>
        <row r="46">
          <cell r="B46" t="str">
            <v>Reintegros o devoluciones</v>
          </cell>
          <cell r="E46">
            <v>15000000</v>
          </cell>
        </row>
      </sheetData>
      <sheetData sheetId="3">
        <row r="8">
          <cell r="E8">
            <v>3230659280.9414625</v>
          </cell>
        </row>
        <row r="10">
          <cell r="E10">
            <v>3997610356.0638003</v>
          </cell>
        </row>
        <row r="12">
          <cell r="E12">
            <v>439141940.7</v>
          </cell>
        </row>
        <row r="14">
          <cell r="E14">
            <v>446000000</v>
          </cell>
        </row>
        <row r="16">
          <cell r="E16">
            <v>611791969.2</v>
          </cell>
        </row>
        <row r="18">
          <cell r="E18">
            <v>488170153.2</v>
          </cell>
        </row>
        <row r="20">
          <cell r="E20">
            <v>0</v>
          </cell>
        </row>
        <row r="31">
          <cell r="E31">
            <v>416400000</v>
          </cell>
        </row>
        <row r="33">
          <cell r="E33">
            <v>0</v>
          </cell>
        </row>
      </sheetData>
      <sheetData sheetId="4">
        <row r="8">
          <cell r="E8">
            <v>1341004745.2471404</v>
          </cell>
        </row>
        <row r="10">
          <cell r="E10">
            <v>608084723.7820001</v>
          </cell>
        </row>
        <row r="12">
          <cell r="E12">
            <v>429109800</v>
          </cell>
        </row>
        <row r="14">
          <cell r="E14">
            <v>0</v>
          </cell>
        </row>
        <row r="16">
          <cell r="E16">
            <v>1158745805.19</v>
          </cell>
        </row>
        <row r="18">
          <cell r="E18">
            <v>38269307.56</v>
          </cell>
        </row>
        <row r="27">
          <cell r="E27">
            <v>1699692244.6000001</v>
          </cell>
        </row>
        <row r="29">
          <cell r="B29" t="str">
            <v>Transferencias de Capital al Gobierno Central</v>
          </cell>
        </row>
        <row r="33">
          <cell r="B33" t="str">
            <v>IFAM Ley 7509</v>
          </cell>
        </row>
        <row r="36">
          <cell r="B36" t="str">
            <v>Fondo de Desarrollo Municipal Ley 7509</v>
          </cell>
        </row>
        <row r="43">
          <cell r="E43">
            <v>133694150.1</v>
          </cell>
        </row>
      </sheetData>
      <sheetData sheetId="5">
        <row r="8">
          <cell r="E8">
            <v>5894296085.017788</v>
          </cell>
        </row>
        <row r="10">
          <cell r="E10">
            <v>280037141.438567</v>
          </cell>
        </row>
        <row r="12">
          <cell r="E12">
            <v>162252457.95</v>
          </cell>
        </row>
      </sheetData>
      <sheetData sheetId="6">
        <row r="11">
          <cell r="B11" t="str">
            <v>Aseo de Vías y Sitios Públicos</v>
          </cell>
          <cell r="C11">
            <v>517682202.2244215</v>
          </cell>
        </row>
        <row r="13">
          <cell r="B13" t="str">
            <v>Recolección de Basuras</v>
          </cell>
          <cell r="C13">
            <v>2758000000.004821</v>
          </cell>
        </row>
        <row r="15">
          <cell r="B15" t="str">
            <v>Parques Obras de Ornato</v>
          </cell>
          <cell r="C15">
            <v>248520465.76608348</v>
          </cell>
        </row>
        <row r="17">
          <cell r="C17">
            <v>2165500000.0000763</v>
          </cell>
        </row>
        <row r="19">
          <cell r="B19" t="str">
            <v>Mercados, Plazas y Ferias</v>
          </cell>
          <cell r="C19">
            <v>303137299.9972783</v>
          </cell>
        </row>
        <row r="21">
          <cell r="B21" t="str">
            <v>Educativos, Culturales y Deportivos</v>
          </cell>
        </row>
        <row r="23">
          <cell r="B23" t="str">
            <v>Servicios Sociales Complementarios</v>
          </cell>
        </row>
        <row r="25">
          <cell r="B25" t="str">
            <v>Estacionamientos y Terminales</v>
          </cell>
          <cell r="C25">
            <v>262871793.5364608</v>
          </cell>
        </row>
        <row r="27">
          <cell r="B27" t="str">
            <v>Alcantarillados Sanitarios</v>
          </cell>
          <cell r="C27">
            <v>764999999.9962989</v>
          </cell>
        </row>
        <row r="29">
          <cell r="B29" t="str">
            <v>Reparaciones Menores de Maquinaria y Equipo</v>
          </cell>
        </row>
        <row r="31">
          <cell r="B31" t="str">
            <v>Seguridad y Vigilancia en la Comunidad</v>
          </cell>
        </row>
        <row r="33">
          <cell r="B33" t="str">
            <v>Protección del Medio Ambiente</v>
          </cell>
        </row>
        <row r="35">
          <cell r="C35">
            <v>0</v>
          </cell>
        </row>
        <row r="37">
          <cell r="B37" t="str">
            <v>Atención Emergencias Cantonales</v>
          </cell>
        </row>
        <row r="39">
          <cell r="B39" t="str">
            <v>Por incumplimiento de Deberes de los Propietarios BI</v>
          </cell>
          <cell r="C39">
            <v>118035918.39623415</v>
          </cell>
        </row>
        <row r="41">
          <cell r="B41" t="str">
            <v>Alcantarillado Pluvial</v>
          </cell>
          <cell r="C41">
            <v>795240000.0016067</v>
          </cell>
        </row>
        <row r="43">
          <cell r="B43" t="str">
            <v>Aporte en Especie para Servicios Y Proyectos Comunitarios</v>
          </cell>
        </row>
      </sheetData>
      <sheetData sheetId="7">
        <row r="12">
          <cell r="B12" t="str">
            <v> CONSTRUCCION DE LA PRIMERA ETAPA DEL CENTRO DE CUIDADOS PALEATIVAS DE SAN RAFAEL</v>
          </cell>
          <cell r="C12">
            <v>15000000</v>
          </cell>
        </row>
        <row r="13">
          <cell r="B13" t="str">
            <v>CONSTRUCCION DE SALON MULTIUSO DE URBANIZACION LA PAZ</v>
          </cell>
          <cell r="C13">
            <v>25000000</v>
          </cell>
        </row>
        <row r="14">
          <cell r="B14" t="str">
            <v>MEJORAS EN EL SALON MULTIUSOS DE LA URBANIZACION SACRAMENTO</v>
          </cell>
          <cell r="C14">
            <v>15000000</v>
          </cell>
        </row>
        <row r="15">
          <cell r="B15" t="str">
            <v>MEJORAS EN EL EBAIS DE RIO SEGUNDO</v>
          </cell>
          <cell r="C15">
            <v>15000000</v>
          </cell>
        </row>
        <row r="16">
          <cell r="B16" t="str">
            <v> MEJORAS EN LA ESCUELA DAVID GONZALEZ ALFARO</v>
          </cell>
          <cell r="C16">
            <v>15000000</v>
          </cell>
        </row>
        <row r="17">
          <cell r="B17" t="str">
            <v> MEJORAS INFRESTRUCTURA ESCUELA AEROPUERTO</v>
          </cell>
          <cell r="C17">
            <v>7899408.39</v>
          </cell>
        </row>
        <row r="21">
          <cell r="C21">
            <v>734160536.3203948</v>
          </cell>
        </row>
        <row r="22">
          <cell r="C22">
            <v>0</v>
          </cell>
        </row>
        <row r="24">
          <cell r="B24" t="str">
            <v>REHBILITACION DE LA RED VIAL CANTONAL</v>
          </cell>
          <cell r="C24">
            <v>0</v>
          </cell>
        </row>
        <row r="25">
          <cell r="B25" t="str">
            <v>COSTRUCCION DE RAMPAS PEATONALES</v>
          </cell>
          <cell r="C25">
            <v>0</v>
          </cell>
        </row>
        <row r="26">
          <cell r="B26" t="str">
            <v>CONSTRUCCION DE BOULEVAR COSTADO SUR CANCHA DE FUTBOL DE SAN RAFAEL</v>
          </cell>
          <cell r="C26">
            <v>10000000</v>
          </cell>
        </row>
        <row r="30">
          <cell r="B30" t="str">
            <v>MACROMEDICION</v>
          </cell>
          <cell r="C30">
            <v>50000000</v>
          </cell>
        </row>
        <row r="31">
          <cell r="B31" t="str">
            <v>REHABILITACION POZOS DULCE NOMBRE BOSQUES EL REY</v>
          </cell>
          <cell r="C31">
            <v>11000000</v>
          </cell>
        </row>
        <row r="32">
          <cell r="B32" t="str">
            <v>CAMBIO DE REDES DE DISTRIBUCION DESAMPARADOS CALLELIMON-LA GARITA TACACORI</v>
          </cell>
          <cell r="C32">
            <v>80000000</v>
          </cell>
        </row>
        <row r="33">
          <cell r="B33" t="str">
            <v> MEJORA PLUVIALES CONECTOR PEATONAL EN CALLE RODRIGUEZ</v>
          </cell>
          <cell r="C33">
            <v>12500000</v>
          </cell>
        </row>
        <row r="34">
          <cell r="B34" t="str">
            <v>LEY 8316 MACROMEDICION</v>
          </cell>
          <cell r="C34">
            <v>104000000</v>
          </cell>
        </row>
        <row r="35">
          <cell r="B35" t="str">
            <v> MEJORAS SISTEMA PLUVIAL CALLE PEDREGAL</v>
          </cell>
          <cell r="C35">
            <v>12500000</v>
          </cell>
        </row>
        <row r="36">
          <cell r="C36">
            <v>0</v>
          </cell>
        </row>
        <row r="37">
          <cell r="B37" t="str">
            <v>INSTALACION DE PANELES SOLARES EN EL LICEO SAN RAFAEL DE ALAJUELA</v>
          </cell>
          <cell r="C37">
            <v>15000000</v>
          </cell>
        </row>
        <row r="38">
          <cell r="B38" t="str">
            <v>OPTIMIZACION  SOSTENIBLE DE LA GESTION DE AGUAS RESIDUALES PARA LOS CIUDADANOS Y EL MEDIO AMBIENTE DE ALAJUELA</v>
          </cell>
          <cell r="C38">
            <v>51706480</v>
          </cell>
        </row>
        <row r="39">
          <cell r="B39" t="str">
            <v>Estudio Infraestructura pluvial distrito Turrúcares</v>
          </cell>
          <cell r="C39">
            <v>0</v>
          </cell>
        </row>
        <row r="40">
          <cell r="B40" t="str">
            <v>Cortes Pluviales del Este</v>
          </cell>
          <cell r="C40">
            <v>0</v>
          </cell>
        </row>
        <row r="41">
          <cell r="B41" t="str">
            <v>ENERGIZACIÓN DE POZOS EN URB. LA GIRALDA RIO SEGUNDO Y LOS LLANOS</v>
          </cell>
          <cell r="C41">
            <v>150000000</v>
          </cell>
        </row>
        <row r="42">
          <cell r="C42">
            <v>0</v>
          </cell>
        </row>
        <row r="43">
          <cell r="C43">
            <v>0</v>
          </cell>
        </row>
        <row r="48">
          <cell r="C48">
            <v>1291191691.9641306</v>
          </cell>
        </row>
        <row r="49">
          <cell r="C49">
            <v>119649548.3046148</v>
          </cell>
        </row>
        <row r="50">
          <cell r="B50" t="str">
            <v>PLAN ESTRATEGICO INFORMATICO</v>
          </cell>
          <cell r="C50">
            <v>60000000</v>
          </cell>
        </row>
        <row r="51">
          <cell r="B51" t="str">
            <v>IMPLEMENTACION DEL PLAN MUNICIPAL PARA GESTION INTEGRAL DE RESIDUOS SOLIDOS</v>
          </cell>
          <cell r="C51">
            <v>14000000</v>
          </cell>
        </row>
        <row r="52">
          <cell r="B52" t="str">
            <v>ALAJUELA CIUDAD SEGURA</v>
          </cell>
        </row>
        <row r="53">
          <cell r="B53" t="str">
            <v> EQUIPAMIENTO SALON MULTIUSOS URB.LAS MELISAS</v>
          </cell>
          <cell r="C53">
            <v>5000000</v>
          </cell>
        </row>
        <row r="54">
          <cell r="B54" t="str">
            <v>CONSTRUCCION SKATE PARK BARRIO CORAZON DE JESUS</v>
          </cell>
          <cell r="C54">
            <v>15000000</v>
          </cell>
        </row>
        <row r="55">
          <cell r="B55" t="str">
            <v>EQUIPAMIENTO ESCUELA JULIO FERNANDEZ RODRIGUEZ, SAN RAFAEL </v>
          </cell>
          <cell r="C55">
            <v>13000000</v>
          </cell>
        </row>
        <row r="56">
          <cell r="B56" t="str">
            <v>EQUIPAMENTO DEL CTP DE SAN RAFAEL</v>
          </cell>
          <cell r="C56">
            <v>10000000</v>
          </cell>
        </row>
        <row r="57">
          <cell r="B57" t="str">
            <v>EQUIPAMENTO URBANO EN BARIIO LA CALIFORNIA</v>
          </cell>
          <cell r="C57">
            <v>5000000</v>
          </cell>
        </row>
        <row r="58">
          <cell r="B58" t="str">
            <v>EMBELLECIMIENTO AREAS VERDES URBANIZACION EL FUTURO</v>
          </cell>
          <cell r="C58">
            <v>30000000</v>
          </cell>
        </row>
        <row r="59">
          <cell r="B59" t="str">
            <v> MEJORAS PARQUE URB. LAS AZUCENAS  CANOAS GUADALUPE </v>
          </cell>
          <cell r="C59">
            <v>30000000</v>
          </cell>
        </row>
        <row r="60">
          <cell r="B60" t="str">
            <v>INSTALACION DE JUEGOS INFANTILES BARRIO LOS ANGELES DE SAN RAFAEL</v>
          </cell>
          <cell r="C60">
            <v>5000000</v>
          </cell>
        </row>
        <row r="61">
          <cell r="B61" t="str">
            <v> EQUIPAMIENTO PARQUE INFANTIL URBANIZACION LA PERLA</v>
          </cell>
          <cell r="C61">
            <v>5000000</v>
          </cell>
        </row>
        <row r="62">
          <cell r="B62" t="str">
            <v>MEJORAS EN EL PARQUE VERDE Y CONSTRUCCION  DE RAMPAS SKATE</v>
          </cell>
          <cell r="C62">
            <v>30000000</v>
          </cell>
        </row>
        <row r="63">
          <cell r="B63" t="str">
            <v>EQUIPAMIENTO ESCUELA ERMIDA BLANCO</v>
          </cell>
          <cell r="C63">
            <v>3444390</v>
          </cell>
        </row>
      </sheetData>
      <sheetData sheetId="8">
        <row r="12">
          <cell r="E12">
            <v>106832202.22</v>
          </cell>
        </row>
        <row r="14">
          <cell r="E14">
            <v>32970465.77</v>
          </cell>
        </row>
        <row r="16">
          <cell r="E16">
            <v>41993300</v>
          </cell>
        </row>
        <row r="17">
          <cell r="E17">
            <v>278567747.34000003</v>
          </cell>
        </row>
        <row r="18">
          <cell r="E18">
            <v>483286550.44</v>
          </cell>
        </row>
        <row r="19">
          <cell r="E19">
            <v>20996793.54</v>
          </cell>
        </row>
        <row r="21">
          <cell r="E21">
            <v>40590936.33</v>
          </cell>
        </row>
        <row r="22">
          <cell r="E22">
            <v>519728149.59999996</v>
          </cell>
        </row>
        <row r="23">
          <cell r="E23">
            <v>134108166.6</v>
          </cell>
        </row>
        <row r="25">
          <cell r="E25">
            <v>31467209.99</v>
          </cell>
        </row>
        <row r="26">
          <cell r="E26">
            <v>0</v>
          </cell>
        </row>
        <row r="27">
          <cell r="E27">
            <v>0</v>
          </cell>
        </row>
        <row r="65">
          <cell r="H65">
            <v>6000000</v>
          </cell>
        </row>
        <row r="132">
          <cell r="H132">
            <v>40000000</v>
          </cell>
        </row>
        <row r="221">
          <cell r="H221">
            <v>13546472116.119999</v>
          </cell>
        </row>
      </sheetData>
      <sheetData sheetId="9">
        <row r="15">
          <cell r="I15">
            <v>591500000</v>
          </cell>
        </row>
        <row r="18">
          <cell r="I18">
            <v>177450000</v>
          </cell>
        </row>
        <row r="21">
          <cell r="I21">
            <v>59150000</v>
          </cell>
        </row>
        <row r="39">
          <cell r="I39">
            <v>0</v>
          </cell>
        </row>
        <row r="42">
          <cell r="I42">
            <v>0</v>
          </cell>
        </row>
        <row r="47">
          <cell r="I47">
            <v>0</v>
          </cell>
        </row>
        <row r="48">
          <cell r="I48">
            <v>0</v>
          </cell>
        </row>
        <row r="51">
          <cell r="I51">
            <v>0</v>
          </cell>
        </row>
        <row r="593">
          <cell r="I593">
            <v>9539361009.880001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lasific. Económica de Ingresos"/>
      <sheetName val="Detalle General de Egresos"/>
      <sheetName val="ProgramaI"/>
      <sheetName val="Programa II"/>
      <sheetName val="Programa III"/>
      <sheetName val="Egresos Programa I General"/>
      <sheetName val="Egresos Programa II General"/>
      <sheetName val="Egresos Programa III General"/>
      <sheetName val="INGRESOS LIBRES DETALLE Nº17"/>
      <sheetName val="RELACION INGRESO GASTO DET.15"/>
      <sheetName val="Origen y Aplicación"/>
      <sheetName val="INGRESOS FIN ESPECIFICO DET.13"/>
      <sheetName val="RELACION ING-GASTO SERV"/>
      <sheetName val="DEUDA INTERNA"/>
    </sheetNames>
    <sheetDataSet>
      <sheetData sheetId="0">
        <row r="174">
          <cell r="D174">
            <v>23085833126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NEXO 1"/>
      <sheetName val="ANEXO 2"/>
      <sheetName val="ANEXO 4"/>
      <sheetName val="ANEXO 5"/>
      <sheetName val="ANEXO 6"/>
      <sheetName val="ANEXO 7"/>
      <sheetName val="ANEXO 8"/>
    </sheetNames>
    <sheetDataSet>
      <sheetData sheetId="0">
        <row r="2">
          <cell r="A2" t="str">
            <v>MUNICIPALIDAD DE ALAJUELA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STIMACION"/>
      <sheetName val="JUSTIFICACION"/>
    </sheetNames>
    <sheetDataSet>
      <sheetData sheetId="0">
        <row r="10">
          <cell r="J10">
            <v>5915000000</v>
          </cell>
        </row>
        <row r="11">
          <cell r="B11" t="str">
            <v>Impuesto S/Bienes Inmuebles, Ley 7729 </v>
          </cell>
        </row>
        <row r="17">
          <cell r="B17" t="str">
            <v>Impuesto Específico sobre la Explotación de Recursos naturales y Minerales</v>
          </cell>
          <cell r="J17">
            <v>120000000</v>
          </cell>
        </row>
        <row r="18">
          <cell r="J18">
            <v>5000000</v>
          </cell>
        </row>
        <row r="20">
          <cell r="A20" t="str">
            <v>1.1.3.2.01.05.0.0.000</v>
          </cell>
          <cell r="B20" t="str">
            <v>Impuesto sobre Construcciones</v>
          </cell>
          <cell r="J20">
            <v>747000000</v>
          </cell>
        </row>
        <row r="22">
          <cell r="B22" t="str">
            <v>Impuesto Específicos sobre la Producción y Consumo de Servicios</v>
          </cell>
          <cell r="J22">
            <v>40000000</v>
          </cell>
        </row>
        <row r="23">
          <cell r="B23" t="str">
            <v>Otros impuestos específicos sobre la producción y Consumo de Servicios</v>
          </cell>
        </row>
        <row r="27">
          <cell r="A27" t="str">
            <v>1.1.3.3.01.01.0.0.000</v>
          </cell>
          <cell r="B27" t="str">
            <v>Impuesto sobre rótulos públicos</v>
          </cell>
          <cell r="J27">
            <v>1200000</v>
          </cell>
        </row>
        <row r="28">
          <cell r="A28" t="str">
            <v>1.1.3.3.01.02.0.0.000</v>
          </cell>
          <cell r="B28" t="str">
            <v>Patentes municipales</v>
          </cell>
          <cell r="J28">
            <v>4525000000</v>
          </cell>
        </row>
        <row r="32">
          <cell r="A32" t="str">
            <v>1.1.9.1.01.00.0.0.000</v>
          </cell>
          <cell r="B32" t="str">
            <v>Timbres municipales</v>
          </cell>
          <cell r="J32">
            <v>475000000</v>
          </cell>
        </row>
        <row r="33">
          <cell r="A33" t="str">
            <v>1.1.9.1.02.00.0.0.000</v>
          </cell>
          <cell r="B33" t="str">
            <v>Timbres Parq. Nac. Ley 7788 </v>
          </cell>
          <cell r="J33">
            <v>84000000</v>
          </cell>
        </row>
        <row r="38">
          <cell r="A38" t="str">
            <v>1.3.1.1.05.00.0.0.000</v>
          </cell>
          <cell r="B38" t="str">
            <v>Venta de agua</v>
          </cell>
          <cell r="J38">
            <v>2665000000</v>
          </cell>
        </row>
        <row r="43">
          <cell r="B43" t="str">
            <v>Alquiler de mercado</v>
          </cell>
          <cell r="J43">
            <v>277360000</v>
          </cell>
        </row>
        <row r="45">
          <cell r="B45" t="str">
            <v>Otros Alquileres</v>
          </cell>
          <cell r="J45">
            <v>800000</v>
          </cell>
        </row>
        <row r="48">
          <cell r="B48" t="str">
            <v>Servicio de Alcantarillado Sanitario</v>
          </cell>
          <cell r="J48">
            <v>650000000</v>
          </cell>
        </row>
        <row r="49">
          <cell r="B49" t="str">
            <v>Servicio de Alcantarillado pluvial</v>
          </cell>
          <cell r="J49">
            <v>543600000</v>
          </cell>
        </row>
        <row r="50">
          <cell r="B50" t="str">
            <v>Servicio de instalación y derivación del Agua</v>
          </cell>
        </row>
        <row r="51">
          <cell r="J51">
            <v>60000000</v>
          </cell>
        </row>
        <row r="52">
          <cell r="B52" t="str">
            <v>Estudio de Consumo y fugas</v>
          </cell>
          <cell r="H52">
            <v>0</v>
          </cell>
        </row>
        <row r="54">
          <cell r="B54" t="str">
            <v>Servicio de recolección de basura</v>
          </cell>
          <cell r="J54">
            <v>3080000000</v>
          </cell>
        </row>
        <row r="55">
          <cell r="B55" t="str">
            <v>Servicio de aseo de vías y sitios públicos</v>
          </cell>
          <cell r="J55">
            <v>456500000</v>
          </cell>
        </row>
        <row r="56">
          <cell r="B56" t="str">
            <v>Servicio de Parques y Obras de Ornato</v>
          </cell>
          <cell r="J56">
            <v>239500000</v>
          </cell>
        </row>
        <row r="57">
          <cell r="B57" t="str">
            <v>Incumplimiento deberes de los munícipes</v>
          </cell>
          <cell r="J57">
            <v>28500000</v>
          </cell>
        </row>
        <row r="59">
          <cell r="J59">
            <v>10000000</v>
          </cell>
        </row>
        <row r="60">
          <cell r="J60">
            <v>89964000</v>
          </cell>
        </row>
        <row r="64">
          <cell r="B64" t="str">
            <v>Derecho de estacionamiento y terminales</v>
          </cell>
          <cell r="J64">
            <v>268750000</v>
          </cell>
        </row>
        <row r="67">
          <cell r="B67" t="str">
            <v>Derecho plaza de ganado</v>
          </cell>
          <cell r="J67">
            <v>12000000</v>
          </cell>
        </row>
        <row r="72">
          <cell r="B72" t="str">
            <v>Intereses sobre titulos valores de Instituciones Públicas Finacieras</v>
          </cell>
          <cell r="J72">
            <v>600000000</v>
          </cell>
        </row>
        <row r="77">
          <cell r="B77" t="str">
            <v>Multas por infracc. ley de parquímetros  </v>
          </cell>
          <cell r="J77">
            <v>221850000</v>
          </cell>
        </row>
        <row r="79">
          <cell r="B79" t="str">
            <v>Multas por mora en el pago de impuestos y tasas</v>
          </cell>
          <cell r="J79">
            <v>110000000</v>
          </cell>
        </row>
        <row r="80">
          <cell r="B80" t="str">
            <v>Otras Multas</v>
          </cell>
          <cell r="J80">
            <v>138000000</v>
          </cell>
        </row>
        <row r="84">
          <cell r="B84" t="str">
            <v>Intereses por mora en tributos</v>
          </cell>
          <cell r="J84">
            <v>615000000</v>
          </cell>
        </row>
        <row r="90">
          <cell r="J90">
            <v>60000000</v>
          </cell>
        </row>
        <row r="92">
          <cell r="B92" t="str">
            <v>Aporte IFAM Lic.Nac. y Extranjeros</v>
          </cell>
          <cell r="J92">
            <v>57214376</v>
          </cell>
        </row>
        <row r="102">
          <cell r="B102" t="str">
            <v>Ruptura de Calles</v>
          </cell>
          <cell r="J102">
            <v>4000000</v>
          </cell>
        </row>
        <row r="108">
          <cell r="B108" t="str">
            <v>Aporte Gobierno Ley 8114 Red Vial Cantonal</v>
          </cell>
          <cell r="J108">
            <v>325000000</v>
          </cell>
        </row>
        <row r="109">
          <cell r="B109" t="str">
            <v>Aporte Gobierno/Alcantarillados Ley 8316 reformado por la Ley 9014</v>
          </cell>
          <cell r="J109">
            <v>590000000</v>
          </cell>
        </row>
        <row r="110">
          <cell r="B110" t="str">
            <v>Programas comités cantonales de  la  Persona  Joven Ley N°8261</v>
          </cell>
          <cell r="J110">
            <v>6500000</v>
          </cell>
        </row>
        <row r="112">
          <cell r="B112" t="str">
            <v>Aporte IFAM Cam.Vec.y Maq.Y Eq.</v>
          </cell>
          <cell r="J112">
            <v>12388270</v>
          </cell>
        </row>
        <row r="114">
          <cell r="B114" t="str">
            <v>Aporte de la cooperación Alemana</v>
          </cell>
          <cell r="J114">
            <v>51706480</v>
          </cell>
        </row>
        <row r="121">
          <cell r="I121">
            <v>20872350000</v>
          </cell>
          <cell r="J121">
            <v>23085833126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63"/>
  <sheetViews>
    <sheetView view="pageBreakPreview" zoomScale="60" zoomScaleNormal="75" zoomScalePageLayoutView="0" workbookViewId="0" topLeftCell="A70">
      <selection activeCell="C29" sqref="C29"/>
    </sheetView>
  </sheetViews>
  <sheetFormatPr defaultColWidth="11.421875" defaultRowHeight="12.75"/>
  <cols>
    <col min="1" max="1" width="26.28125" style="0" bestFit="1" customWidth="1"/>
    <col min="2" max="2" width="52.7109375" style="0" customWidth="1"/>
    <col min="3" max="3" width="23.7109375" style="0" bestFit="1" customWidth="1"/>
    <col min="4" max="4" width="24.00390625" style="0" bestFit="1" customWidth="1"/>
    <col min="5" max="5" width="9.8515625" style="0" bestFit="1" customWidth="1"/>
  </cols>
  <sheetData>
    <row r="1" spans="1:5" ht="12.75">
      <c r="A1" s="595" t="s">
        <v>0</v>
      </c>
      <c r="B1" s="596"/>
      <c r="C1" s="596"/>
      <c r="D1" s="596"/>
      <c r="E1" s="597"/>
    </row>
    <row r="2" spans="1:6" ht="12.75">
      <c r="A2" s="598" t="s">
        <v>1</v>
      </c>
      <c r="B2" s="599"/>
      <c r="C2" s="599"/>
      <c r="D2" s="599"/>
      <c r="E2" s="600"/>
      <c r="F2" s="205"/>
    </row>
    <row r="3" spans="1:6" ht="12.75">
      <c r="A3" s="598" t="s">
        <v>569</v>
      </c>
      <c r="B3" s="599"/>
      <c r="C3" s="599"/>
      <c r="D3" s="599"/>
      <c r="E3" s="601"/>
      <c r="F3" s="205"/>
    </row>
    <row r="4" spans="1:6" ht="12.75">
      <c r="A4" s="598"/>
      <c r="B4" s="602"/>
      <c r="C4" s="602"/>
      <c r="D4" s="602"/>
      <c r="E4" s="600"/>
      <c r="F4" s="205"/>
    </row>
    <row r="5" spans="1:6" ht="12.75">
      <c r="A5" s="598" t="s">
        <v>2</v>
      </c>
      <c r="B5" s="599"/>
      <c r="C5" s="599"/>
      <c r="D5" s="599"/>
      <c r="E5" s="601"/>
      <c r="F5" s="205"/>
    </row>
    <row r="6" spans="1:5" ht="13.5" thickBot="1">
      <c r="A6" s="327"/>
      <c r="B6" s="323"/>
      <c r="C6" s="323"/>
      <c r="D6" s="323"/>
      <c r="E6" s="328"/>
    </row>
    <row r="7" spans="1:5" ht="13.5" thickBot="1">
      <c r="A7" s="329" t="s">
        <v>3</v>
      </c>
      <c r="B7" s="48" t="s">
        <v>4</v>
      </c>
      <c r="C7" s="48" t="s">
        <v>5</v>
      </c>
      <c r="D7" s="48" t="s">
        <v>6</v>
      </c>
      <c r="E7" s="50" t="s">
        <v>7</v>
      </c>
    </row>
    <row r="8" spans="1:5" ht="12.75">
      <c r="A8" s="31"/>
      <c r="B8" s="32"/>
      <c r="C8" s="32"/>
      <c r="D8" s="32"/>
      <c r="E8" s="33"/>
    </row>
    <row r="9" spans="1:5" ht="12.75">
      <c r="A9" s="5" t="s">
        <v>8</v>
      </c>
      <c r="B9" s="6" t="s">
        <v>9</v>
      </c>
      <c r="C9" s="7"/>
      <c r="D9" s="8">
        <f>SUM(D11+D44+D111)</f>
        <v>16865105593</v>
      </c>
      <c r="E9" s="9">
        <f>SUM(D9*100)/$D$163</f>
        <v>90.27489675591536</v>
      </c>
    </row>
    <row r="10" spans="1:5" ht="12.75">
      <c r="A10" s="1"/>
      <c r="B10" s="2" t="s">
        <v>10</v>
      </c>
      <c r="C10" s="2"/>
      <c r="D10" s="2"/>
      <c r="E10" s="4"/>
    </row>
    <row r="11" spans="1:5" ht="12.75">
      <c r="A11" s="5" t="s">
        <v>11</v>
      </c>
      <c r="B11" s="6" t="s">
        <v>12</v>
      </c>
      <c r="C11" s="7"/>
      <c r="D11" s="8">
        <f>SUM(D13+D37+D19)</f>
        <v>9282700000</v>
      </c>
      <c r="E11" s="9">
        <f>SUM(D11*100)/$D$163</f>
        <v>49.688084044012875</v>
      </c>
    </row>
    <row r="12" spans="1:5" ht="12.75">
      <c r="A12" s="1"/>
      <c r="B12" s="2"/>
      <c r="C12" s="2"/>
      <c r="D12" s="2"/>
      <c r="E12" s="4"/>
    </row>
    <row r="13" spans="1:5" ht="12.75">
      <c r="A13" s="5" t="s">
        <v>13</v>
      </c>
      <c r="B13" s="7" t="s">
        <v>14</v>
      </c>
      <c r="C13" s="7"/>
      <c r="D13" s="8">
        <f>+C15</f>
        <v>4450000000</v>
      </c>
      <c r="E13" s="9">
        <f>SUM(D13*100)/$D$163</f>
        <v>23.819791008635125</v>
      </c>
    </row>
    <row r="14" spans="1:5" ht="12.75">
      <c r="A14" s="1"/>
      <c r="B14" s="2"/>
      <c r="C14" s="2"/>
      <c r="D14" s="2"/>
      <c r="E14" s="4"/>
    </row>
    <row r="15" spans="1:5" s="195" customFormat="1" ht="12" customHeight="1">
      <c r="A15" s="10" t="s">
        <v>15</v>
      </c>
      <c r="B15" s="11" t="s">
        <v>16</v>
      </c>
      <c r="C15" s="12">
        <f>+C16+C17</f>
        <v>4450000000</v>
      </c>
      <c r="D15" s="13"/>
      <c r="E15" s="14">
        <f>SUM(C15*100)/$D$163</f>
        <v>23.819791008635125</v>
      </c>
    </row>
    <row r="16" spans="1:5" s="206" customFormat="1" ht="12.75">
      <c r="A16" s="15" t="s">
        <v>17</v>
      </c>
      <c r="B16" s="16" t="s">
        <v>18</v>
      </c>
      <c r="C16" s="17">
        <f>+'[2]JUSTIFICACION'!$H$24</f>
        <v>4450000000</v>
      </c>
      <c r="D16" s="16"/>
      <c r="E16" s="18">
        <f>SUM(C16*100)/$D$163</f>
        <v>23.819791008635125</v>
      </c>
    </row>
    <row r="17" spans="1:5" s="206" customFormat="1" ht="12.75" hidden="1">
      <c r="A17" s="15" t="s">
        <v>19</v>
      </c>
      <c r="B17" s="16" t="s">
        <v>20</v>
      </c>
      <c r="C17" s="17">
        <f>+'[2]JUSTIFICACION'!$H$32</f>
        <v>0</v>
      </c>
      <c r="D17" s="16"/>
      <c r="E17" s="18">
        <f>SUM(C17*100)/$D$163</f>
        <v>0</v>
      </c>
    </row>
    <row r="18" spans="1:5" ht="12.75">
      <c r="A18" s="1"/>
      <c r="B18" s="2"/>
      <c r="C18" s="2"/>
      <c r="D18" s="2"/>
      <c r="E18" s="4"/>
    </row>
    <row r="19" spans="1:5" ht="12.75">
      <c r="A19" s="5" t="s">
        <v>21</v>
      </c>
      <c r="B19" s="7" t="s">
        <v>22</v>
      </c>
      <c r="C19" s="7"/>
      <c r="D19" s="8">
        <f>+C21+C31</f>
        <v>4437700000</v>
      </c>
      <c r="E19" s="9">
        <f>SUM(D19*100)/$D$163</f>
        <v>23.753952035734855</v>
      </c>
    </row>
    <row r="20" spans="1:5" ht="12.75">
      <c r="A20" s="1"/>
      <c r="B20" s="2"/>
      <c r="C20" s="2"/>
      <c r="D20" s="2"/>
      <c r="E20" s="4"/>
    </row>
    <row r="21" spans="1:5" ht="35.25" customHeight="1">
      <c r="A21" s="10" t="s">
        <v>23</v>
      </c>
      <c r="B21" s="11" t="s">
        <v>24</v>
      </c>
      <c r="C21" s="19">
        <f>+C22+C28</f>
        <v>936200000</v>
      </c>
      <c r="D21" s="2"/>
      <c r="E21" s="14">
        <f aca="true" t="shared" si="0" ref="E21:E26">SUM(C21*100)/$D$163</f>
        <v>5.011255807254877</v>
      </c>
    </row>
    <row r="22" spans="1:5" ht="25.5">
      <c r="A22" s="10" t="s">
        <v>25</v>
      </c>
      <c r="B22" s="11" t="s">
        <v>26</v>
      </c>
      <c r="C22" s="19">
        <f>+C23+C24+C26</f>
        <v>916200000</v>
      </c>
      <c r="D22" s="2"/>
      <c r="E22" s="14">
        <f t="shared" si="0"/>
        <v>4.9042005667666295</v>
      </c>
    </row>
    <row r="23" spans="1:5" ht="25.5">
      <c r="A23" s="10" t="s">
        <v>27</v>
      </c>
      <c r="B23" s="20" t="s">
        <v>28</v>
      </c>
      <c r="C23" s="21">
        <f>+'[2]JUSTIFICACION'!$H$42</f>
        <v>115000000</v>
      </c>
      <c r="D23" s="2"/>
      <c r="E23" s="22">
        <f t="shared" si="0"/>
        <v>0.6155676328074247</v>
      </c>
    </row>
    <row r="24" spans="1:5" ht="10.5" customHeight="1">
      <c r="A24" s="10" t="s">
        <v>29</v>
      </c>
      <c r="B24" s="20" t="s">
        <v>30</v>
      </c>
      <c r="C24" s="21">
        <f>+C25</f>
        <v>1200000</v>
      </c>
      <c r="D24" s="2"/>
      <c r="E24" s="22">
        <f t="shared" si="0"/>
        <v>0.0064233144292948656</v>
      </c>
    </row>
    <row r="25" spans="1:5" s="206" customFormat="1" ht="12.75">
      <c r="A25" s="15" t="s">
        <v>29</v>
      </c>
      <c r="B25" s="16" t="s">
        <v>31</v>
      </c>
      <c r="C25" s="17">
        <f>+'[2]JUSTIFICACION'!$H$53</f>
        <v>1200000</v>
      </c>
      <c r="D25" s="16"/>
      <c r="E25" s="18">
        <f t="shared" si="0"/>
        <v>0.0064233144292948656</v>
      </c>
    </row>
    <row r="26" spans="1:5" ht="12.75">
      <c r="A26" s="10" t="s">
        <v>32</v>
      </c>
      <c r="B26" s="2" t="s">
        <v>33</v>
      </c>
      <c r="C26" s="21">
        <f>+'[2]JUSTIFICACION'!$H$62</f>
        <v>800000000</v>
      </c>
      <c r="D26" s="2"/>
      <c r="E26" s="22">
        <f t="shared" si="0"/>
        <v>4.28220961952991</v>
      </c>
    </row>
    <row r="27" spans="1:5" ht="12.75">
      <c r="A27" s="1"/>
      <c r="B27" s="2"/>
      <c r="C27" s="2"/>
      <c r="D27" s="2"/>
      <c r="E27" s="4"/>
    </row>
    <row r="28" spans="1:5" ht="25.5">
      <c r="A28" s="10" t="s">
        <v>34</v>
      </c>
      <c r="B28" s="11" t="s">
        <v>35</v>
      </c>
      <c r="C28" s="12">
        <f>+C29</f>
        <v>20000000</v>
      </c>
      <c r="D28" s="2"/>
      <c r="E28" s="14">
        <f>SUM(C28*100)/$D$163</f>
        <v>0.10705524048824776</v>
      </c>
    </row>
    <row r="29" spans="1:5" ht="25.5">
      <c r="A29" s="10" t="s">
        <v>36</v>
      </c>
      <c r="B29" s="20" t="s">
        <v>37</v>
      </c>
      <c r="C29" s="21">
        <f>+'[2]JUSTIFICACION'!$H$73</f>
        <v>20000000</v>
      </c>
      <c r="D29" s="2"/>
      <c r="E29" s="22">
        <f>SUM(C29*100)/$D$163</f>
        <v>0.10705524048824776</v>
      </c>
    </row>
    <row r="30" spans="1:5" ht="12.75">
      <c r="A30" s="10"/>
      <c r="B30" s="20"/>
      <c r="C30" s="21"/>
      <c r="D30" s="2"/>
      <c r="E30" s="22"/>
    </row>
    <row r="31" spans="1:5" ht="35.25" customHeight="1">
      <c r="A31" s="10" t="s">
        <v>38</v>
      </c>
      <c r="B31" s="11" t="s">
        <v>39</v>
      </c>
      <c r="C31" s="19">
        <f>+C32</f>
        <v>3501500000</v>
      </c>
      <c r="D31" s="2"/>
      <c r="E31" s="14">
        <f>SUM(C31*100)/$D$163</f>
        <v>18.742696228479975</v>
      </c>
    </row>
    <row r="32" spans="1:5" ht="35.25" customHeight="1">
      <c r="A32" s="10" t="s">
        <v>40</v>
      </c>
      <c r="B32" s="11" t="s">
        <v>455</v>
      </c>
      <c r="C32" s="19">
        <f>+C33+C34</f>
        <v>3501500000</v>
      </c>
      <c r="D32" s="2"/>
      <c r="E32" s="14">
        <f>SUM(C32*100)/$D$163</f>
        <v>18.742696228479975</v>
      </c>
    </row>
    <row r="33" spans="1:5" s="206" customFormat="1" ht="12.75">
      <c r="A33" s="15" t="s">
        <v>41</v>
      </c>
      <c r="B33" s="23" t="s">
        <v>42</v>
      </c>
      <c r="C33" s="17">
        <f>+'[2]JUSTIFICACION'!$H$83</f>
        <v>1500000</v>
      </c>
      <c r="D33" s="16"/>
      <c r="E33" s="18">
        <f>SUM(C33*100)/$D$163</f>
        <v>0.008029143036618582</v>
      </c>
    </row>
    <row r="34" spans="1:5" s="206" customFormat="1" ht="12.75">
      <c r="A34" s="15" t="s">
        <v>43</v>
      </c>
      <c r="B34" s="16" t="s">
        <v>44</v>
      </c>
      <c r="C34" s="17">
        <f>+'[2]JUSTIFICACION'!$H$94</f>
        <v>3500000000</v>
      </c>
      <c r="D34" s="16"/>
      <c r="E34" s="18">
        <f>SUM(C34*100)/$D$163</f>
        <v>18.73466708544336</v>
      </c>
    </row>
    <row r="35" spans="1:5" ht="12.75">
      <c r="A35" s="1"/>
      <c r="B35" s="2"/>
      <c r="C35" s="2"/>
      <c r="D35" s="2"/>
      <c r="E35" s="4"/>
    </row>
    <row r="36" spans="1:5" ht="12.75">
      <c r="A36" s="1"/>
      <c r="B36" s="2"/>
      <c r="C36" s="2"/>
      <c r="D36" s="2"/>
      <c r="E36" s="4"/>
    </row>
    <row r="37" spans="1:5" ht="12.75">
      <c r="A37" s="5" t="s">
        <v>45</v>
      </c>
      <c r="B37" s="7" t="s">
        <v>46</v>
      </c>
      <c r="C37" s="7"/>
      <c r="D37" s="8">
        <f>+C39</f>
        <v>395000000</v>
      </c>
      <c r="E37" s="9">
        <f>SUM(D37*100)/$D$163</f>
        <v>2.1143409996428932</v>
      </c>
    </row>
    <row r="38" spans="1:5" ht="12.75">
      <c r="A38" s="1"/>
      <c r="B38" s="2"/>
      <c r="C38" s="2"/>
      <c r="D38" s="2"/>
      <c r="E38" s="4"/>
    </row>
    <row r="39" spans="1:5" s="195" customFormat="1" ht="12.75">
      <c r="A39" s="10" t="s">
        <v>47</v>
      </c>
      <c r="B39" s="13" t="s">
        <v>48</v>
      </c>
      <c r="C39" s="12">
        <f>SUM(C40:C41)</f>
        <v>395000000</v>
      </c>
      <c r="D39" s="13"/>
      <c r="E39" s="14">
        <f>SUM(C39*100)/$D$163</f>
        <v>2.1143409996428932</v>
      </c>
    </row>
    <row r="40" spans="1:5" s="206" customFormat="1" ht="12.75">
      <c r="A40" s="10" t="s">
        <v>49</v>
      </c>
      <c r="B40" s="16" t="s">
        <v>50</v>
      </c>
      <c r="C40" s="17">
        <f>+'[2]JUSTIFICACION'!$H$106</f>
        <v>325000000</v>
      </c>
      <c r="D40" s="16"/>
      <c r="E40" s="18">
        <f>SUM(C40*100)/$D$163</f>
        <v>1.739647657934026</v>
      </c>
    </row>
    <row r="41" spans="1:5" s="206" customFormat="1" ht="12.75">
      <c r="A41" s="10" t="s">
        <v>51</v>
      </c>
      <c r="B41" s="16" t="s">
        <v>52</v>
      </c>
      <c r="C41" s="17">
        <f>+'[2]JUSTIFICACION'!$H$115</f>
        <v>70000000</v>
      </c>
      <c r="D41" s="16"/>
      <c r="E41" s="18">
        <f>SUM(C41*100)/$D$163</f>
        <v>0.37469334170886714</v>
      </c>
    </row>
    <row r="42" spans="1:5" ht="12.75">
      <c r="A42" s="1"/>
      <c r="B42" s="2"/>
      <c r="C42" s="2"/>
      <c r="D42" s="2"/>
      <c r="E42" s="4"/>
    </row>
    <row r="43" spans="1:5" ht="12.75">
      <c r="A43" s="1"/>
      <c r="B43" s="2"/>
      <c r="C43" s="2"/>
      <c r="D43" s="2"/>
      <c r="E43" s="4"/>
    </row>
    <row r="44" spans="1:5" ht="12.75">
      <c r="A44" s="5" t="s">
        <v>53</v>
      </c>
      <c r="B44" s="6" t="s">
        <v>54</v>
      </c>
      <c r="C44" s="7"/>
      <c r="D44" s="8">
        <f>+D46+D89+D96+D107</f>
        <v>7521200000</v>
      </c>
      <c r="E44" s="9">
        <f>SUM(D44*100)/$D$163</f>
        <v>40.25919373801045</v>
      </c>
    </row>
    <row r="45" spans="1:5" ht="12.75">
      <c r="A45" s="1"/>
      <c r="B45" s="2"/>
      <c r="C45" s="2"/>
      <c r="D45" s="2"/>
      <c r="E45" s="4"/>
    </row>
    <row r="46" spans="1:5" ht="12.75">
      <c r="A46" s="5" t="s">
        <v>55</v>
      </c>
      <c r="B46" s="7" t="s">
        <v>56</v>
      </c>
      <c r="C46" s="7"/>
      <c r="D46" s="8">
        <f>+D48+D52+D74</f>
        <v>6366200000</v>
      </c>
      <c r="E46" s="9">
        <f>SUM(D46*100)/$D$163</f>
        <v>34.07675359981415</v>
      </c>
    </row>
    <row r="47" spans="1:5" ht="12.75">
      <c r="A47" s="1"/>
      <c r="B47" s="2"/>
      <c r="C47" s="2"/>
      <c r="D47" s="2"/>
      <c r="E47" s="4"/>
    </row>
    <row r="48" spans="1:5" ht="12.75">
      <c r="A48" s="5" t="s">
        <v>57</v>
      </c>
      <c r="B48" s="7" t="s">
        <v>58</v>
      </c>
      <c r="C48" s="7"/>
      <c r="D48" s="8">
        <f>SUM(C50)</f>
        <v>2250000000</v>
      </c>
      <c r="E48" s="9">
        <f>SUM(D48*100)/$D$163</f>
        <v>12.043714554927874</v>
      </c>
    </row>
    <row r="49" spans="1:5" ht="12.75">
      <c r="A49" s="1"/>
      <c r="B49" s="2"/>
      <c r="C49" s="2"/>
      <c r="D49" s="2"/>
      <c r="E49" s="4"/>
    </row>
    <row r="50" spans="1:5" ht="12.75">
      <c r="A50" s="10" t="s">
        <v>59</v>
      </c>
      <c r="B50" s="13" t="s">
        <v>60</v>
      </c>
      <c r="C50" s="12">
        <f>+'[2]JUSTIFICACION'!$H$126</f>
        <v>2250000000</v>
      </c>
      <c r="D50" s="2"/>
      <c r="E50" s="14">
        <f>SUM(C50*100)/$D$163</f>
        <v>12.043714554927874</v>
      </c>
    </row>
    <row r="51" spans="1:5" ht="12.75">
      <c r="A51" s="1"/>
      <c r="B51" s="2"/>
      <c r="C51" s="2"/>
      <c r="D51" s="2"/>
      <c r="E51" s="4"/>
    </row>
    <row r="52" spans="1:5" ht="12.75">
      <c r="A52" s="5" t="s">
        <v>61</v>
      </c>
      <c r="B52" s="7" t="s">
        <v>62</v>
      </c>
      <c r="C52" s="7"/>
      <c r="D52" s="8">
        <f>+C54+C59+C71</f>
        <v>4000200000</v>
      </c>
      <c r="E52" s="9">
        <f>SUM(D52*100)/$D$163</f>
        <v>21.412118650054435</v>
      </c>
    </row>
    <row r="53" spans="1:5" ht="12.75">
      <c r="A53" s="1"/>
      <c r="B53" s="2"/>
      <c r="C53" s="2"/>
      <c r="D53" s="2"/>
      <c r="E53" s="4"/>
    </row>
    <row r="54" spans="1:5" s="195" customFormat="1" ht="12.75">
      <c r="A54" s="10" t="s">
        <v>63</v>
      </c>
      <c r="B54" s="13" t="s">
        <v>64</v>
      </c>
      <c r="C54" s="19">
        <f>+C55+C58</f>
        <v>177700000</v>
      </c>
      <c r="D54" s="13"/>
      <c r="E54" s="14">
        <f aca="true" t="shared" si="1" ref="E54:E72">SUM(C54*100)/$D$163</f>
        <v>0.9511858117380814</v>
      </c>
    </row>
    <row r="55" spans="1:5" s="207" customFormat="1" ht="12.75">
      <c r="A55" s="10" t="s">
        <v>65</v>
      </c>
      <c r="B55" s="24" t="s">
        <v>66</v>
      </c>
      <c r="C55" s="25">
        <f>+C56+C57</f>
        <v>176000000</v>
      </c>
      <c r="D55" s="24"/>
      <c r="E55" s="26">
        <f t="shared" si="1"/>
        <v>0.9420861162965803</v>
      </c>
    </row>
    <row r="56" spans="1:5" s="206" customFormat="1" ht="12.75">
      <c r="A56" s="15" t="s">
        <v>67</v>
      </c>
      <c r="B56" s="16" t="s">
        <v>68</v>
      </c>
      <c r="C56" s="17">
        <f>+'[2]JUSTIFICACION'!$H$136</f>
        <v>176000000</v>
      </c>
      <c r="D56" s="16"/>
      <c r="E56" s="18">
        <f t="shared" si="1"/>
        <v>0.9420861162965803</v>
      </c>
    </row>
    <row r="57" spans="1:5" s="206" customFormat="1" ht="12.75" hidden="1">
      <c r="A57" s="15" t="s">
        <v>69</v>
      </c>
      <c r="B57" s="16" t="s">
        <v>70</v>
      </c>
      <c r="C57" s="17">
        <f>+'[2]JUSTIFICACION'!$H$146</f>
        <v>0</v>
      </c>
      <c r="D57" s="16"/>
      <c r="E57" s="18">
        <f t="shared" si="1"/>
        <v>0</v>
      </c>
    </row>
    <row r="58" spans="1:5" s="207" customFormat="1" ht="12.75">
      <c r="A58" s="10" t="s">
        <v>71</v>
      </c>
      <c r="B58" s="24" t="s">
        <v>72</v>
      </c>
      <c r="C58" s="27">
        <f>+'[2]JUSTIFICACION'!$H$155</f>
        <v>1700000</v>
      </c>
      <c r="D58" s="24"/>
      <c r="E58" s="26">
        <f t="shared" si="1"/>
        <v>0.00909969544150106</v>
      </c>
    </row>
    <row r="59" spans="1:5" s="195" customFormat="1" ht="12.75">
      <c r="A59" s="10" t="s">
        <v>73</v>
      </c>
      <c r="B59" s="13" t="s">
        <v>74</v>
      </c>
      <c r="C59" s="12">
        <f>+C60+C63+C66</f>
        <v>3810500000</v>
      </c>
      <c r="D59" s="13"/>
      <c r="E59" s="14">
        <f t="shared" si="1"/>
        <v>20.396699694023404</v>
      </c>
    </row>
    <row r="60" spans="1:5" s="207" customFormat="1" ht="12.75">
      <c r="A60" s="10" t="s">
        <v>75</v>
      </c>
      <c r="B60" s="24" t="s">
        <v>76</v>
      </c>
      <c r="C60" s="27">
        <f>SUM(C61:C62)</f>
        <v>700000000</v>
      </c>
      <c r="D60" s="24"/>
      <c r="E60" s="26">
        <f t="shared" si="1"/>
        <v>3.7469334170886714</v>
      </c>
    </row>
    <row r="61" spans="1:5" s="206" customFormat="1" ht="12.75">
      <c r="A61" s="28" t="s">
        <v>77</v>
      </c>
      <c r="B61" s="16" t="s">
        <v>78</v>
      </c>
      <c r="C61" s="17">
        <f>+'[2]JUSTIFICACION'!$H$165</f>
        <v>250000000</v>
      </c>
      <c r="D61" s="16"/>
      <c r="E61" s="18">
        <f t="shared" si="1"/>
        <v>1.338190506103097</v>
      </c>
    </row>
    <row r="62" spans="1:5" s="206" customFormat="1" ht="12.75">
      <c r="A62" s="28" t="s">
        <v>514</v>
      </c>
      <c r="B62" s="16" t="s">
        <v>515</v>
      </c>
      <c r="C62" s="17">
        <f>+'[2]JUSTIFICACION'!$G$168</f>
        <v>450000000</v>
      </c>
      <c r="D62" s="16"/>
      <c r="E62" s="18"/>
    </row>
    <row r="63" spans="1:5" ht="11.25" customHeight="1">
      <c r="A63" s="10" t="s">
        <v>79</v>
      </c>
      <c r="B63" s="2" t="s">
        <v>80</v>
      </c>
      <c r="C63" s="21">
        <f>SUM(C64:C65)</f>
        <v>36500000</v>
      </c>
      <c r="D63" s="2"/>
      <c r="E63" s="22">
        <f t="shared" si="1"/>
        <v>0.19537581389105216</v>
      </c>
    </row>
    <row r="64" spans="1:5" s="206" customFormat="1" ht="12.75">
      <c r="A64" s="28" t="s">
        <v>81</v>
      </c>
      <c r="B64" s="16" t="s">
        <v>82</v>
      </c>
      <c r="C64" s="17">
        <f>+'[2]JUSTIFICACION'!$H$185</f>
        <v>36500000</v>
      </c>
      <c r="D64" s="16"/>
      <c r="E64" s="22">
        <f t="shared" si="1"/>
        <v>0.19537581389105216</v>
      </c>
    </row>
    <row r="65" spans="1:5" s="206" customFormat="1" ht="12.75" hidden="1">
      <c r="A65" s="28" t="s">
        <v>83</v>
      </c>
      <c r="B65" s="16" t="s">
        <v>84</v>
      </c>
      <c r="C65" s="17">
        <f>+'[2]JUSTIFICACION'!$H$196</f>
        <v>0</v>
      </c>
      <c r="D65" s="16"/>
      <c r="E65" s="22">
        <f t="shared" si="1"/>
        <v>0</v>
      </c>
    </row>
    <row r="66" spans="1:5" ht="12.75">
      <c r="A66" s="10" t="s">
        <v>85</v>
      </c>
      <c r="B66" s="29" t="s">
        <v>86</v>
      </c>
      <c r="C66" s="27">
        <f>SUM(C67:C70)</f>
        <v>3074000000</v>
      </c>
      <c r="D66" s="2"/>
      <c r="E66" s="26">
        <f t="shared" si="1"/>
        <v>16.45439046304368</v>
      </c>
    </row>
    <row r="67" spans="1:5" s="206" customFormat="1" ht="12.75">
      <c r="A67" s="28" t="s">
        <v>87</v>
      </c>
      <c r="B67" s="16" t="s">
        <v>88</v>
      </c>
      <c r="C67" s="17">
        <f>+'[2]JUSTIFICACION'!$H$207</f>
        <v>2565000000</v>
      </c>
      <c r="D67" s="16"/>
      <c r="E67" s="18">
        <f t="shared" si="1"/>
        <v>13.729834592617776</v>
      </c>
    </row>
    <row r="68" spans="1:5" s="206" customFormat="1" ht="12.75">
      <c r="A68" s="28" t="s">
        <v>89</v>
      </c>
      <c r="B68" s="16" t="s">
        <v>90</v>
      </c>
      <c r="C68" s="17">
        <f>+'[2]JUSTIFICACION'!$H$216</f>
        <v>336000000</v>
      </c>
      <c r="D68" s="16"/>
      <c r="E68" s="18">
        <f t="shared" si="1"/>
        <v>1.7985280402025623</v>
      </c>
    </row>
    <row r="69" spans="1:5" s="206" customFormat="1" ht="12.75">
      <c r="A69" s="28" t="s">
        <v>91</v>
      </c>
      <c r="B69" s="23" t="s">
        <v>92</v>
      </c>
      <c r="C69" s="17">
        <f>+'[2]JUSTIFICACION'!$H$226</f>
        <v>148000000</v>
      </c>
      <c r="D69" s="16"/>
      <c r="E69" s="18">
        <f t="shared" si="1"/>
        <v>0.7922087796130334</v>
      </c>
    </row>
    <row r="70" spans="1:5" ht="12.75">
      <c r="A70" s="28" t="s">
        <v>93</v>
      </c>
      <c r="B70" s="23" t="s">
        <v>94</v>
      </c>
      <c r="C70" s="17">
        <f>+'[2]JUSTIFICACION'!$H$237</f>
        <v>25000000</v>
      </c>
      <c r="D70" s="2"/>
      <c r="E70" s="22">
        <f>SUM(C70*100)/$D$163</f>
        <v>0.1338190506103097</v>
      </c>
    </row>
    <row r="71" spans="1:5" s="206" customFormat="1" ht="12.75">
      <c r="A71" s="10" t="s">
        <v>95</v>
      </c>
      <c r="B71" s="30" t="s">
        <v>96</v>
      </c>
      <c r="C71" s="12">
        <f>+C72</f>
        <v>12000000</v>
      </c>
      <c r="D71" s="16"/>
      <c r="E71" s="14">
        <f t="shared" si="1"/>
        <v>0.06423314429294866</v>
      </c>
    </row>
    <row r="72" spans="1:5" ht="12.75">
      <c r="A72" s="10" t="s">
        <v>97</v>
      </c>
      <c r="B72" s="2" t="s">
        <v>98</v>
      </c>
      <c r="C72" s="21">
        <f>+'[2]JUSTIFICACION'!$H$246</f>
        <v>12000000</v>
      </c>
      <c r="D72" s="2"/>
      <c r="E72" s="22">
        <f t="shared" si="1"/>
        <v>0.06423314429294866</v>
      </c>
    </row>
    <row r="73" spans="1:5" ht="12.75">
      <c r="A73" s="1"/>
      <c r="B73" s="2"/>
      <c r="C73" s="2"/>
      <c r="D73" s="2"/>
      <c r="E73" s="4"/>
    </row>
    <row r="74" spans="1:5" ht="12.75">
      <c r="A74" s="5" t="s">
        <v>100</v>
      </c>
      <c r="B74" s="7" t="s">
        <v>101</v>
      </c>
      <c r="C74" s="7"/>
      <c r="D74" s="8">
        <f>+C75+C78</f>
        <v>116000000</v>
      </c>
      <c r="E74" s="9">
        <f>SUM(D74*100)/$D$163</f>
        <v>0.620920394831837</v>
      </c>
    </row>
    <row r="75" spans="1:5" ht="24.75" customHeight="1">
      <c r="A75" s="10" t="s">
        <v>102</v>
      </c>
      <c r="B75" s="11" t="s">
        <v>103</v>
      </c>
      <c r="C75" s="12">
        <f>+C76</f>
        <v>96000000</v>
      </c>
      <c r="D75" s="2"/>
      <c r="E75" s="4"/>
    </row>
    <row r="76" spans="1:5" ht="25.5">
      <c r="A76" s="10" t="s">
        <v>104</v>
      </c>
      <c r="B76" s="37" t="s">
        <v>105</v>
      </c>
      <c r="C76" s="21">
        <f>+C77</f>
        <v>96000000</v>
      </c>
      <c r="D76" s="2"/>
      <c r="E76" s="26">
        <f>SUM(C76*100)/$D$163</f>
        <v>0.5138651543435893</v>
      </c>
    </row>
    <row r="77" spans="1:5" s="206" customFormat="1" ht="12.75">
      <c r="A77" s="28" t="s">
        <v>106</v>
      </c>
      <c r="B77" s="16" t="s">
        <v>107</v>
      </c>
      <c r="C77" s="17">
        <f>+'[2]JUSTIFICACION'!$H$257</f>
        <v>96000000</v>
      </c>
      <c r="D77" s="16"/>
      <c r="E77" s="18">
        <f>SUM(C77*100)/$D$163</f>
        <v>0.5138651543435893</v>
      </c>
    </row>
    <row r="78" spans="1:5" ht="27.75" customHeight="1" thickBot="1">
      <c r="A78" s="57" t="s">
        <v>108</v>
      </c>
      <c r="B78" s="330" t="s">
        <v>109</v>
      </c>
      <c r="C78" s="331">
        <f>+C86</f>
        <v>20000000</v>
      </c>
      <c r="D78" s="323"/>
      <c r="E78" s="332">
        <f>SUM(C78*100)/$D$163</f>
        <v>0.10705524048824776</v>
      </c>
    </row>
    <row r="79" spans="1:5" ht="12.75">
      <c r="A79" s="31"/>
      <c r="B79" s="32"/>
      <c r="C79" s="32"/>
      <c r="D79" s="32"/>
      <c r="E79" s="33"/>
    </row>
    <row r="80" spans="1:6" ht="12.75">
      <c r="A80" s="598" t="s">
        <v>0</v>
      </c>
      <c r="B80" s="599"/>
      <c r="C80" s="599"/>
      <c r="D80" s="599"/>
      <c r="E80" s="600"/>
      <c r="F80" s="205"/>
    </row>
    <row r="81" spans="1:6" ht="12.75">
      <c r="A81" s="598" t="s">
        <v>1</v>
      </c>
      <c r="B81" s="599"/>
      <c r="C81" s="599"/>
      <c r="D81" s="599"/>
      <c r="E81" s="600"/>
      <c r="F81" s="205"/>
    </row>
    <row r="82" spans="1:6" ht="12.75">
      <c r="A82" s="598" t="s">
        <v>570</v>
      </c>
      <c r="B82" s="599"/>
      <c r="C82" s="599"/>
      <c r="D82" s="599"/>
      <c r="E82" s="600"/>
      <c r="F82" s="205"/>
    </row>
    <row r="83" spans="1:6" ht="12.75">
      <c r="A83" s="598" t="s">
        <v>99</v>
      </c>
      <c r="B83" s="602"/>
      <c r="C83" s="602"/>
      <c r="D83" s="602"/>
      <c r="E83" s="600"/>
      <c r="F83" s="205"/>
    </row>
    <row r="84" spans="1:5" ht="12.75">
      <c r="A84" s="10"/>
      <c r="B84" s="13"/>
      <c r="C84" s="13"/>
      <c r="D84" s="13"/>
      <c r="E84" s="3"/>
    </row>
    <row r="85" spans="1:5" ht="13.5" thickBot="1">
      <c r="A85" s="34" t="s">
        <v>3</v>
      </c>
      <c r="B85" s="35" t="s">
        <v>4</v>
      </c>
      <c r="C85" s="35" t="s">
        <v>5</v>
      </c>
      <c r="D85" s="35" t="s">
        <v>6</v>
      </c>
      <c r="E85" s="36" t="s">
        <v>7</v>
      </c>
    </row>
    <row r="86" spans="1:5" s="206" customFormat="1" ht="29.25" customHeight="1" thickTop="1">
      <c r="A86" s="10" t="s">
        <v>110</v>
      </c>
      <c r="B86" s="37" t="s">
        <v>111</v>
      </c>
      <c r="C86" s="27">
        <f>+C87</f>
        <v>20000000</v>
      </c>
      <c r="D86" s="16"/>
      <c r="E86" s="22">
        <f>SUM(C86*100)/$D$163</f>
        <v>0.10705524048824776</v>
      </c>
    </row>
    <row r="87" spans="1:5" s="206" customFormat="1" ht="12.75">
      <c r="A87" s="28" t="s">
        <v>112</v>
      </c>
      <c r="B87" s="16" t="s">
        <v>113</v>
      </c>
      <c r="C87" s="17">
        <f>+'[2]JUSTIFICACION'!$H$267</f>
        <v>20000000</v>
      </c>
      <c r="D87" s="16"/>
      <c r="E87" s="18">
        <f>SUM(C87*100)/$D$163</f>
        <v>0.10705524048824776</v>
      </c>
    </row>
    <row r="88" spans="1:5" s="206" customFormat="1" ht="12.75">
      <c r="A88" s="28"/>
      <c r="B88" s="16"/>
      <c r="C88" s="17"/>
      <c r="D88" s="16"/>
      <c r="E88" s="18"/>
    </row>
    <row r="89" spans="1:5" ht="12.75">
      <c r="A89" s="5" t="s">
        <v>114</v>
      </c>
      <c r="B89" s="7" t="s">
        <v>115</v>
      </c>
      <c r="C89" s="7"/>
      <c r="D89" s="8">
        <f>+D91</f>
        <v>425000000</v>
      </c>
      <c r="E89" s="9">
        <f>SUM(D89*100)/$D$163</f>
        <v>2.274923860375265</v>
      </c>
    </row>
    <row r="90" spans="1:5" ht="12.75">
      <c r="A90" s="1"/>
      <c r="B90" s="2"/>
      <c r="C90" s="2"/>
      <c r="D90" s="2"/>
      <c r="E90" s="4"/>
    </row>
    <row r="91" spans="1:5" ht="11.25" customHeight="1">
      <c r="A91" s="5" t="s">
        <v>116</v>
      </c>
      <c r="B91" s="7" t="s">
        <v>117</v>
      </c>
      <c r="C91" s="7"/>
      <c r="D91" s="8">
        <f>+C93</f>
        <v>425000000</v>
      </c>
      <c r="E91" s="9">
        <f>SUM(D91*100)/$D$163</f>
        <v>2.274923860375265</v>
      </c>
    </row>
    <row r="92" spans="1:5" ht="12.75">
      <c r="A92" s="10"/>
      <c r="B92" s="37"/>
      <c r="C92" s="21"/>
      <c r="D92" s="2"/>
      <c r="E92" s="4"/>
    </row>
    <row r="93" spans="1:5" ht="12.75">
      <c r="A93" s="10" t="s">
        <v>118</v>
      </c>
      <c r="B93" s="37" t="s">
        <v>119</v>
      </c>
      <c r="C93" s="21">
        <f>+C94</f>
        <v>425000000</v>
      </c>
      <c r="D93" s="2"/>
      <c r="E93" s="22">
        <f>SUM(C93*100)/$D$163</f>
        <v>2.274923860375265</v>
      </c>
    </row>
    <row r="94" spans="1:5" ht="25.5">
      <c r="A94" s="10" t="s">
        <v>120</v>
      </c>
      <c r="B94" s="37" t="s">
        <v>121</v>
      </c>
      <c r="C94" s="21">
        <f>+'[2]JUSTIFICACION'!$H$278</f>
        <v>425000000</v>
      </c>
      <c r="D94" s="2"/>
      <c r="E94" s="22">
        <f>SUM(C94*100)/$D$163</f>
        <v>2.274923860375265</v>
      </c>
    </row>
    <row r="95" spans="1:5" ht="12.75">
      <c r="A95" s="1"/>
      <c r="B95" s="2"/>
      <c r="C95" s="2"/>
      <c r="D95" s="2"/>
      <c r="E95" s="4"/>
    </row>
    <row r="96" spans="1:5" ht="12.75">
      <c r="A96" s="5" t="s">
        <v>122</v>
      </c>
      <c r="B96" s="7" t="s">
        <v>123</v>
      </c>
      <c r="C96" s="7"/>
      <c r="D96" s="8">
        <f>+D98</f>
        <v>330000000</v>
      </c>
      <c r="E96" s="9">
        <f>SUM(D96*100)/$D$163</f>
        <v>1.766411468056088</v>
      </c>
    </row>
    <row r="97" spans="1:5" ht="12.75">
      <c r="A97" s="1"/>
      <c r="B97" s="2"/>
      <c r="C97" s="2"/>
      <c r="D97" s="2"/>
      <c r="E97" s="4"/>
    </row>
    <row r="98" spans="1:5" ht="12.75">
      <c r="A98" s="5" t="s">
        <v>124</v>
      </c>
      <c r="B98" s="7" t="s">
        <v>125</v>
      </c>
      <c r="C98" s="7"/>
      <c r="D98" s="8">
        <f>+C100+C102+C104</f>
        <v>330000000</v>
      </c>
      <c r="E98" s="9">
        <f>SUM(D98*100)/$D$163</f>
        <v>1.766411468056088</v>
      </c>
    </row>
    <row r="99" spans="1:5" ht="12.75">
      <c r="A99" s="1"/>
      <c r="B99" s="2"/>
      <c r="C99" s="2"/>
      <c r="D99" s="2"/>
      <c r="E99" s="4"/>
    </row>
    <row r="100" spans="1:5" ht="12.75">
      <c r="A100" s="10" t="s">
        <v>126</v>
      </c>
      <c r="B100" s="13" t="s">
        <v>127</v>
      </c>
      <c r="C100" s="12">
        <f>+C101</f>
        <v>145000000</v>
      </c>
      <c r="D100" s="2"/>
      <c r="E100" s="14">
        <f>SUM(C100*100)/$D$163</f>
        <v>0.7761504935397963</v>
      </c>
    </row>
    <row r="101" spans="1:5" s="206" customFormat="1" ht="12.75">
      <c r="A101" s="15" t="s">
        <v>128</v>
      </c>
      <c r="B101" s="16" t="s">
        <v>129</v>
      </c>
      <c r="C101" s="17">
        <f>+'[2]JUSTIFICACION'!$H$289</f>
        <v>145000000</v>
      </c>
      <c r="D101" s="16"/>
      <c r="E101" s="18">
        <f>SUM(C101*100)/$D$163</f>
        <v>0.7761504935397963</v>
      </c>
    </row>
    <row r="102" spans="1:5" ht="12.75">
      <c r="A102" s="10" t="s">
        <v>130</v>
      </c>
      <c r="B102" s="13" t="s">
        <v>131</v>
      </c>
      <c r="C102" s="12">
        <f>+C103</f>
        <v>100000000</v>
      </c>
      <c r="D102" s="2"/>
      <c r="E102" s="14">
        <f>SUM(C102*100)/$D$163</f>
        <v>0.5352762024412387</v>
      </c>
    </row>
    <row r="103" spans="1:5" s="206" customFormat="1" ht="12.75">
      <c r="A103" s="15" t="s">
        <v>132</v>
      </c>
      <c r="B103" s="16" t="s">
        <v>133</v>
      </c>
      <c r="C103" s="17">
        <f>+'[2]JUSTIFICACION'!$G$292</f>
        <v>100000000</v>
      </c>
      <c r="D103" s="16"/>
      <c r="E103" s="18">
        <f>SUM(C103*100)/$D$163</f>
        <v>0.5352762024412387</v>
      </c>
    </row>
    <row r="104" spans="1:5" ht="12.75">
      <c r="A104" s="10" t="s">
        <v>456</v>
      </c>
      <c r="B104" s="13" t="s">
        <v>457</v>
      </c>
      <c r="C104" s="12">
        <f>SUM(C105)</f>
        <v>85000000</v>
      </c>
      <c r="D104" s="2"/>
      <c r="E104" s="14">
        <f>SUM(C104*100)/$D$163</f>
        <v>0.454984772075053</v>
      </c>
    </row>
    <row r="105" spans="1:5" s="206" customFormat="1" ht="12.75">
      <c r="A105" s="15" t="s">
        <v>458</v>
      </c>
      <c r="B105" s="16" t="s">
        <v>459</v>
      </c>
      <c r="C105" s="17">
        <f>+'[2]JUSTIFICACION'!$H$312</f>
        <v>85000000</v>
      </c>
      <c r="D105" s="16"/>
      <c r="E105" s="208"/>
    </row>
    <row r="106" spans="1:5" ht="12.75">
      <c r="A106" s="10"/>
      <c r="B106" s="13"/>
      <c r="C106" s="12"/>
      <c r="D106" s="2"/>
      <c r="E106" s="22"/>
    </row>
    <row r="107" spans="1:5" ht="12.75">
      <c r="A107" s="5" t="s">
        <v>134</v>
      </c>
      <c r="B107" s="7" t="s">
        <v>135</v>
      </c>
      <c r="C107" s="7"/>
      <c r="D107" s="8">
        <f>+C109</f>
        <v>400000000</v>
      </c>
      <c r="E107" s="9">
        <f>SUM(D107*100)/$D$163</f>
        <v>2.141104809764955</v>
      </c>
    </row>
    <row r="108" spans="1:5" ht="12.75">
      <c r="A108" s="1"/>
      <c r="B108" s="2"/>
      <c r="C108" s="21"/>
      <c r="D108" s="2"/>
      <c r="E108" s="22"/>
    </row>
    <row r="109" spans="1:5" ht="12.75">
      <c r="A109" s="10" t="s">
        <v>136</v>
      </c>
      <c r="B109" s="13" t="s">
        <v>137</v>
      </c>
      <c r="C109" s="12">
        <f>+'[2]JUSTIFICACION'!$H$335</f>
        <v>400000000</v>
      </c>
      <c r="D109" s="2"/>
      <c r="E109" s="22">
        <f>SUM(C109*100)/$D$163</f>
        <v>2.141104809764955</v>
      </c>
    </row>
    <row r="110" spans="1:5" ht="12.75">
      <c r="A110" s="1"/>
      <c r="B110" s="2"/>
      <c r="C110" s="2"/>
      <c r="D110" s="2"/>
      <c r="E110" s="4"/>
    </row>
    <row r="111" spans="1:5" ht="12.75">
      <c r="A111" s="5" t="s">
        <v>138</v>
      </c>
      <c r="B111" s="6" t="s">
        <v>139</v>
      </c>
      <c r="C111" s="7"/>
      <c r="D111" s="8">
        <f>SUM(D113)</f>
        <v>61205593</v>
      </c>
      <c r="E111" s="9">
        <f>SUM(D111*100)/$D$163</f>
        <v>0.3276189738920407</v>
      </c>
    </row>
    <row r="112" spans="1:5" ht="12.75">
      <c r="A112" s="1"/>
      <c r="B112" s="2"/>
      <c r="C112" s="2"/>
      <c r="D112" s="2"/>
      <c r="E112" s="4"/>
    </row>
    <row r="113" spans="1:5" ht="12.75">
      <c r="A113" s="5" t="s">
        <v>140</v>
      </c>
      <c r="B113" s="7" t="s">
        <v>141</v>
      </c>
      <c r="C113" s="7"/>
      <c r="D113" s="8">
        <f>+C115+C118</f>
        <v>61205593</v>
      </c>
      <c r="E113" s="9">
        <f>SUM(D113*100)/$D$163</f>
        <v>0.3276189738920407</v>
      </c>
    </row>
    <row r="114" spans="1:5" ht="12.75">
      <c r="A114" s="1"/>
      <c r="B114" s="2"/>
      <c r="C114" s="2"/>
      <c r="D114" s="2"/>
      <c r="E114" s="4"/>
    </row>
    <row r="115" spans="1:5" ht="27.75" customHeight="1">
      <c r="A115" s="10" t="s">
        <v>142</v>
      </c>
      <c r="B115" s="11" t="s">
        <v>143</v>
      </c>
      <c r="C115" s="12">
        <f>SUM(C116:C117)</f>
        <v>23000000</v>
      </c>
      <c r="D115" s="2"/>
      <c r="E115" s="14">
        <f>SUM(C115*100)/$D$163</f>
        <v>0.12311352656148493</v>
      </c>
    </row>
    <row r="116" spans="1:5" s="206" customFormat="1" ht="14.25" customHeight="1">
      <c r="A116" s="28" t="s">
        <v>144</v>
      </c>
      <c r="B116" s="16" t="s">
        <v>145</v>
      </c>
      <c r="C116" s="17">
        <f>+'[2]JUSTIFICACION'!$H$344</f>
        <v>20000000</v>
      </c>
      <c r="D116" s="16" t="s">
        <v>146</v>
      </c>
      <c r="E116" s="18">
        <f>SUM(C116*100)/$D$163</f>
        <v>0.10705524048824776</v>
      </c>
    </row>
    <row r="117" spans="1:5" s="206" customFormat="1" ht="12.75">
      <c r="A117" s="28" t="s">
        <v>516</v>
      </c>
      <c r="B117" s="42" t="s">
        <v>461</v>
      </c>
      <c r="C117" s="43">
        <f>+'[2]JUSTIFICACION'!$H$397</f>
        <v>3000000</v>
      </c>
      <c r="D117" s="16"/>
      <c r="E117" s="18"/>
    </row>
    <row r="118" spans="1:5" ht="25.5">
      <c r="A118" s="10" t="s">
        <v>147</v>
      </c>
      <c r="B118" s="11" t="s">
        <v>460</v>
      </c>
      <c r="C118" s="12">
        <f>+C119</f>
        <v>38205593</v>
      </c>
      <c r="D118" s="2"/>
      <c r="E118" s="14">
        <f>SUM(C118*100)/$D$163</f>
        <v>0.20450544733055576</v>
      </c>
    </row>
    <row r="119" spans="1:5" ht="12.75">
      <c r="A119" s="28" t="s">
        <v>148</v>
      </c>
      <c r="B119" s="2" t="s">
        <v>149</v>
      </c>
      <c r="C119" s="21">
        <f>+'[2]JUSTIFICACION'!$H$354</f>
        <v>38205593</v>
      </c>
      <c r="D119" s="2"/>
      <c r="E119" s="22">
        <f>SUM(C119*100)/$D$163</f>
        <v>0.20450544733055576</v>
      </c>
    </row>
    <row r="120" spans="1:5" ht="12.75">
      <c r="A120" s="1"/>
      <c r="B120" s="2"/>
      <c r="C120" s="2"/>
      <c r="D120" s="2"/>
      <c r="E120" s="4"/>
    </row>
    <row r="121" spans="1:5" ht="12.75">
      <c r="A121" s="5" t="s">
        <v>150</v>
      </c>
      <c r="B121" s="6" t="s">
        <v>151</v>
      </c>
      <c r="C121" s="7"/>
      <c r="D121" s="8">
        <f>+D141+D131+D123</f>
        <v>1540088335</v>
      </c>
      <c r="E121" s="9">
        <f>SUM(D121*100)/$D$163</f>
        <v>8.243726353828505</v>
      </c>
    </row>
    <row r="122" spans="1:5" ht="12.75">
      <c r="A122" s="1"/>
      <c r="B122" s="2"/>
      <c r="C122" s="21"/>
      <c r="D122" s="2"/>
      <c r="E122" s="4"/>
    </row>
    <row r="123" spans="1:5" ht="12.75">
      <c r="A123" s="5" t="s">
        <v>152</v>
      </c>
      <c r="B123" s="7" t="s">
        <v>153</v>
      </c>
      <c r="C123" s="7"/>
      <c r="D123" s="8">
        <f>+D125</f>
        <v>500000000</v>
      </c>
      <c r="E123" s="9">
        <f>SUM(D123*100)/$D$163</f>
        <v>2.676381012206194</v>
      </c>
    </row>
    <row r="124" spans="1:5" ht="12.75">
      <c r="A124" s="1"/>
      <c r="B124" s="2"/>
      <c r="C124" s="2"/>
      <c r="D124" s="2"/>
      <c r="E124" s="4"/>
    </row>
    <row r="125" spans="1:5" ht="12.75">
      <c r="A125" s="5" t="s">
        <v>154</v>
      </c>
      <c r="B125" s="7" t="s">
        <v>155</v>
      </c>
      <c r="C125" s="7"/>
      <c r="D125" s="8">
        <f>+C126</f>
        <v>500000000</v>
      </c>
      <c r="E125" s="9">
        <f>SUM(D125*100)/$D$163</f>
        <v>2.676381012206194</v>
      </c>
    </row>
    <row r="126" spans="1:5" s="195" customFormat="1" ht="10.5" customHeight="1">
      <c r="A126" s="10" t="s">
        <v>156</v>
      </c>
      <c r="B126" s="13" t="s">
        <v>157</v>
      </c>
      <c r="C126" s="12">
        <f>+C127</f>
        <v>500000000</v>
      </c>
      <c r="D126" s="13"/>
      <c r="E126" s="14">
        <f>SUM(C126*100)/$D$163</f>
        <v>2.676381012206194</v>
      </c>
    </row>
    <row r="127" spans="1:5" s="206" customFormat="1" ht="12.75">
      <c r="A127" s="15" t="s">
        <v>158</v>
      </c>
      <c r="B127" s="16" t="s">
        <v>159</v>
      </c>
      <c r="C127" s="17">
        <f>+'[2]JUSTIFICACION'!$H$364</f>
        <v>500000000</v>
      </c>
      <c r="D127" s="16"/>
      <c r="E127" s="18">
        <f>SUM(C127*100)/$D$163</f>
        <v>2.676381012206194</v>
      </c>
    </row>
    <row r="128" spans="1:5" s="206" customFormat="1" ht="12.75">
      <c r="A128" s="15"/>
      <c r="B128" s="16"/>
      <c r="C128" s="17"/>
      <c r="D128" s="16"/>
      <c r="E128" s="18"/>
    </row>
    <row r="129" spans="1:5" ht="29.25" customHeight="1">
      <c r="A129" s="5" t="s">
        <v>160</v>
      </c>
      <c r="B129" s="38" t="s">
        <v>161</v>
      </c>
      <c r="C129" s="7"/>
      <c r="D129" s="8">
        <f>+D131</f>
        <v>2100000</v>
      </c>
      <c r="E129" s="9">
        <f>SUM(D129*100)/$D$163</f>
        <v>0.011240800251266015</v>
      </c>
    </row>
    <row r="130" spans="1:5" s="206" customFormat="1" ht="12.75">
      <c r="A130" s="15"/>
      <c r="B130" s="16"/>
      <c r="C130" s="17"/>
      <c r="D130" s="16"/>
      <c r="E130" s="18"/>
    </row>
    <row r="131" spans="1:5" ht="10.5" customHeight="1">
      <c r="A131" s="5" t="s">
        <v>162</v>
      </c>
      <c r="B131" s="39" t="s">
        <v>163</v>
      </c>
      <c r="C131" s="40" t="s">
        <v>146</v>
      </c>
      <c r="D131" s="8">
        <f>SUM(C132)</f>
        <v>2100000</v>
      </c>
      <c r="E131" s="9">
        <f>SUM(D131*100)/$D$163</f>
        <v>0.011240800251266015</v>
      </c>
    </row>
    <row r="132" spans="1:5" s="206" customFormat="1" ht="12.75">
      <c r="A132" s="28" t="s">
        <v>164</v>
      </c>
      <c r="B132" s="16" t="s">
        <v>165</v>
      </c>
      <c r="C132" s="17">
        <f>+'[2]JUSTIFICACION'!$H$375</f>
        <v>2100000</v>
      </c>
      <c r="D132" s="16"/>
      <c r="E132" s="18">
        <f>SUM(C132*100)/$D$163</f>
        <v>0.011240800251266015</v>
      </c>
    </row>
    <row r="133" spans="1:5" ht="12.75">
      <c r="A133" s="1"/>
      <c r="B133" s="2"/>
      <c r="C133" s="2"/>
      <c r="D133" s="2"/>
      <c r="E133" s="4"/>
    </row>
    <row r="134" spans="1:5" ht="21" customHeight="1">
      <c r="A134" s="1"/>
      <c r="B134" s="2"/>
      <c r="C134" s="2"/>
      <c r="D134" s="2"/>
      <c r="E134" s="4"/>
    </row>
    <row r="135" spans="1:6" ht="12.75">
      <c r="A135" s="598" t="s">
        <v>0</v>
      </c>
      <c r="B135" s="599"/>
      <c r="C135" s="599"/>
      <c r="D135" s="599"/>
      <c r="E135" s="600"/>
      <c r="F135" s="205"/>
    </row>
    <row r="136" spans="1:6" ht="12.75">
      <c r="A136" s="598" t="s">
        <v>1</v>
      </c>
      <c r="B136" s="599"/>
      <c r="C136" s="599"/>
      <c r="D136" s="599"/>
      <c r="E136" s="600"/>
      <c r="F136" s="205"/>
    </row>
    <row r="137" spans="1:6" ht="12.75">
      <c r="A137" s="598" t="s">
        <v>570</v>
      </c>
      <c r="B137" s="599"/>
      <c r="C137" s="599"/>
      <c r="D137" s="599"/>
      <c r="E137" s="600"/>
      <c r="F137" s="205"/>
    </row>
    <row r="138" spans="1:6" ht="12.75">
      <c r="A138" s="598" t="s">
        <v>99</v>
      </c>
      <c r="B138" s="602"/>
      <c r="C138" s="602"/>
      <c r="D138" s="602"/>
      <c r="E138" s="600"/>
      <c r="F138" s="205"/>
    </row>
    <row r="139" spans="1:5" ht="14.25" customHeight="1">
      <c r="A139" s="10"/>
      <c r="B139" s="13"/>
      <c r="C139" s="13"/>
      <c r="D139" s="13"/>
      <c r="E139" s="4"/>
    </row>
    <row r="140" spans="1:5" ht="11.25" customHeight="1">
      <c r="A140" s="133" t="s">
        <v>3</v>
      </c>
      <c r="B140" s="134" t="s">
        <v>4</v>
      </c>
      <c r="C140" s="134" t="s">
        <v>5</v>
      </c>
      <c r="D140" s="134" t="s">
        <v>6</v>
      </c>
      <c r="E140" s="274" t="s">
        <v>7</v>
      </c>
    </row>
    <row r="141" spans="1:5" ht="12.75">
      <c r="A141" s="5" t="s">
        <v>166</v>
      </c>
      <c r="B141" s="6" t="s">
        <v>167</v>
      </c>
      <c r="C141" s="7"/>
      <c r="D141" s="8">
        <f>SUM(D143)+D153</f>
        <v>1037988335</v>
      </c>
      <c r="E141" s="9">
        <f>SUM(D141*100)/$D$163</f>
        <v>5.556104541371044</v>
      </c>
    </row>
    <row r="142" spans="1:5" ht="12.75">
      <c r="A142" s="1"/>
      <c r="B142" s="2"/>
      <c r="C142" s="2"/>
      <c r="D142" s="2"/>
      <c r="E142" s="4"/>
    </row>
    <row r="143" spans="1:5" ht="12.75">
      <c r="A143" s="5" t="s">
        <v>571</v>
      </c>
      <c r="B143" s="7" t="s">
        <v>168</v>
      </c>
      <c r="C143" s="7"/>
      <c r="D143" s="8">
        <f>SUM(C145+C149)</f>
        <v>849634295</v>
      </c>
      <c r="E143" s="9">
        <f>SUM(D143*100)/$D$163</f>
        <v>4.547890188914392</v>
      </c>
    </row>
    <row r="144" spans="1:5" ht="12.75">
      <c r="A144" s="1"/>
      <c r="B144" s="2"/>
      <c r="C144" s="2"/>
      <c r="D144" s="2"/>
      <c r="E144" s="4"/>
    </row>
    <row r="145" spans="1:5" s="195" customFormat="1" ht="12.75">
      <c r="A145" s="10" t="s">
        <v>169</v>
      </c>
      <c r="B145" s="13" t="s">
        <v>170</v>
      </c>
      <c r="C145" s="41">
        <f>SUM(C146:C147)</f>
        <v>835000000</v>
      </c>
      <c r="D145" s="13"/>
      <c r="E145" s="14">
        <f>SUM(C145*100)/$D$163</f>
        <v>4.469556290384344</v>
      </c>
    </row>
    <row r="146" spans="1:5" s="206" customFormat="1" ht="12.75">
      <c r="A146" s="28" t="s">
        <v>171</v>
      </c>
      <c r="B146" s="42" t="s">
        <v>172</v>
      </c>
      <c r="C146" s="43">
        <f>+'[2]JUSTIFICACION'!$H$386</f>
        <v>315000000</v>
      </c>
      <c r="D146" s="44"/>
      <c r="E146" s="45">
        <f>SUM(C146*100)/$D$163</f>
        <v>1.6861200376899022</v>
      </c>
    </row>
    <row r="147" spans="1:5" s="206" customFormat="1" ht="12.75">
      <c r="A147" s="28" t="s">
        <v>517</v>
      </c>
      <c r="B147" s="42" t="s">
        <v>462</v>
      </c>
      <c r="C147" s="43">
        <f>+'[2]JUSTIFICACION'!$H$410</f>
        <v>520000000</v>
      </c>
      <c r="D147" s="44"/>
      <c r="E147" s="45"/>
    </row>
    <row r="148" spans="1:5" ht="12.75">
      <c r="A148" s="1"/>
      <c r="B148" s="2"/>
      <c r="C148" s="2"/>
      <c r="D148" s="2"/>
      <c r="E148" s="4"/>
    </row>
    <row r="149" spans="1:5" s="195" customFormat="1" ht="25.5">
      <c r="A149" s="10" t="s">
        <v>173</v>
      </c>
      <c r="B149" s="11" t="s">
        <v>174</v>
      </c>
      <c r="C149" s="41">
        <f>+C150</f>
        <v>14634295</v>
      </c>
      <c r="D149" s="13"/>
      <c r="E149" s="14">
        <f>SUM(C149*100)/$D$163</f>
        <v>0.07833389853004809</v>
      </c>
    </row>
    <row r="150" spans="1:5" s="206" customFormat="1" ht="12.75">
      <c r="A150" s="28" t="s">
        <v>175</v>
      </c>
      <c r="B150" s="16" t="s">
        <v>176</v>
      </c>
      <c r="C150" s="17">
        <f>+'[2]JUSTIFICACION'!$H$420</f>
        <v>14634295</v>
      </c>
      <c r="D150" s="16"/>
      <c r="E150" s="18">
        <f>SUM(C150*100)/$D$163</f>
        <v>0.07833389853004809</v>
      </c>
    </row>
    <row r="151" spans="1:5" ht="12.75">
      <c r="A151" s="1"/>
      <c r="B151" s="16" t="s">
        <v>177</v>
      </c>
      <c r="C151" s="2"/>
      <c r="D151" s="2"/>
      <c r="E151" s="4"/>
    </row>
    <row r="152" spans="1:5" ht="12.75">
      <c r="A152" s="1"/>
      <c r="B152" s="16"/>
      <c r="C152" s="2"/>
      <c r="D152" s="2"/>
      <c r="E152" s="4"/>
    </row>
    <row r="153" spans="1:5" ht="12.75">
      <c r="A153" s="5" t="s">
        <v>572</v>
      </c>
      <c r="B153" s="7" t="s">
        <v>573</v>
      </c>
      <c r="C153" s="7"/>
      <c r="D153" s="8">
        <f>+C154</f>
        <v>188354040</v>
      </c>
      <c r="E153" s="9"/>
    </row>
    <row r="154" spans="1:5" ht="12.75">
      <c r="A154" s="344" t="s">
        <v>574</v>
      </c>
      <c r="B154" s="16" t="s">
        <v>575</v>
      </c>
      <c r="C154" s="17">
        <f>+'[2]ESTIMACION'!$G$114</f>
        <v>188354040</v>
      </c>
      <c r="D154" s="2"/>
      <c r="E154" s="4"/>
    </row>
    <row r="155" spans="1:5" ht="12.75">
      <c r="A155" s="344"/>
      <c r="B155" s="345"/>
      <c r="C155" s="2"/>
      <c r="D155" s="2"/>
      <c r="E155" s="4"/>
    </row>
    <row r="156" spans="1:5" ht="12.75">
      <c r="A156" s="5" t="s">
        <v>576</v>
      </c>
      <c r="B156" s="7" t="s">
        <v>577</v>
      </c>
      <c r="C156" s="7"/>
      <c r="D156" s="8">
        <f>+D158</f>
        <v>276750000</v>
      </c>
      <c r="E156" s="9"/>
    </row>
    <row r="157" spans="1:5" ht="12.75">
      <c r="A157" s="1"/>
      <c r="B157" s="2"/>
      <c r="C157" s="2"/>
      <c r="D157" s="2"/>
      <c r="E157" s="4"/>
    </row>
    <row r="158" spans="1:5" ht="12.75">
      <c r="A158" s="5" t="s">
        <v>578</v>
      </c>
      <c r="B158" s="6" t="s">
        <v>579</v>
      </c>
      <c r="C158" s="7"/>
      <c r="D158" s="8">
        <f>+C159</f>
        <v>276750000</v>
      </c>
      <c r="E158" s="9"/>
    </row>
    <row r="159" spans="1:5" ht="12.75">
      <c r="A159" s="5" t="s">
        <v>580</v>
      </c>
      <c r="B159" s="7" t="s">
        <v>581</v>
      </c>
      <c r="C159" s="8">
        <f>+C160</f>
        <v>276750000</v>
      </c>
      <c r="D159" s="8"/>
      <c r="E159" s="9"/>
    </row>
    <row r="160" spans="1:5" ht="12.75">
      <c r="A160" s="344" t="s">
        <v>582</v>
      </c>
      <c r="B160" s="16" t="s">
        <v>583</v>
      </c>
      <c r="C160" s="17">
        <f>+'[2]ESTIMACION'!$G$120</f>
        <v>276750000</v>
      </c>
      <c r="D160" s="2"/>
      <c r="E160" s="4"/>
    </row>
    <row r="161" spans="1:5" ht="12.75">
      <c r="A161" s="1"/>
      <c r="B161" s="16"/>
      <c r="C161" s="2"/>
      <c r="D161" s="2"/>
      <c r="E161" s="4"/>
    </row>
    <row r="162" spans="1:5" ht="13.5" thickBot="1">
      <c r="A162" s="327"/>
      <c r="B162" s="323"/>
      <c r="C162" s="323"/>
      <c r="D162" s="323"/>
      <c r="E162" s="328"/>
    </row>
    <row r="163" spans="1:5" ht="13.5" thickBot="1">
      <c r="A163" s="333"/>
      <c r="B163" s="334" t="s">
        <v>178</v>
      </c>
      <c r="C163" s="334"/>
      <c r="D163" s="335">
        <f>SUM(D9+D121+D156)</f>
        <v>18681943928</v>
      </c>
      <c r="E163" s="46">
        <f>SUM(D163*100)/$D$163</f>
        <v>100</v>
      </c>
    </row>
  </sheetData>
  <sheetProtection/>
  <mergeCells count="13">
    <mergeCell ref="A138:E138"/>
    <mergeCell ref="A81:E81"/>
    <mergeCell ref="A82:E82"/>
    <mergeCell ref="A83:E83"/>
    <mergeCell ref="A135:E135"/>
    <mergeCell ref="A136:E136"/>
    <mergeCell ref="A137:E137"/>
    <mergeCell ref="A1:E1"/>
    <mergeCell ref="A2:E2"/>
    <mergeCell ref="A3:E3"/>
    <mergeCell ref="A4:E4"/>
    <mergeCell ref="A5:E5"/>
    <mergeCell ref="A80:E80"/>
  </mergeCells>
  <printOptions horizontalCentered="1" verticalCentered="1"/>
  <pageMargins left="0.75" right="0.75" top="1" bottom="1" header="0" footer="0"/>
  <pageSetup horizontalDpi="300" verticalDpi="300" orientation="portrait" scale="55" r:id="rId1"/>
  <rowBreaks count="1" manualBreakCount="1">
    <brk id="78" max="255" man="1"/>
  </rowBreaks>
</worksheet>
</file>

<file path=xl/worksheets/sheet10.xml><?xml version="1.0" encoding="utf-8"?>
<worksheet xmlns="http://schemas.openxmlformats.org/spreadsheetml/2006/main" xmlns:r="http://schemas.openxmlformats.org/officeDocument/2006/relationships">
  <dimension ref="A2:H26"/>
  <sheetViews>
    <sheetView showGridLines="0" zoomScalePageLayoutView="0" workbookViewId="0" topLeftCell="A1">
      <selection activeCell="A25" sqref="A25"/>
    </sheetView>
  </sheetViews>
  <sheetFormatPr defaultColWidth="11.421875" defaultRowHeight="12.75"/>
  <cols>
    <col min="1" max="1" width="4.7109375" style="0" customWidth="1"/>
    <col min="2" max="2" width="16.140625" style="0" customWidth="1"/>
    <col min="3" max="3" width="16.57421875" style="0" customWidth="1"/>
    <col min="4" max="4" width="21.00390625" style="0" customWidth="1"/>
    <col min="5" max="5" width="15.421875" style="0" customWidth="1"/>
    <col min="6" max="6" width="16.8515625" style="0" customWidth="1"/>
    <col min="7" max="7" width="18.28125" style="0" customWidth="1"/>
    <col min="8" max="8" width="12.7109375" style="0" bestFit="1" customWidth="1"/>
  </cols>
  <sheetData>
    <row r="2" spans="2:7" ht="15.75">
      <c r="B2" s="675" t="str">
        <f>'[7]ANEXO 1'!A2</f>
        <v>MUNICIPALIDAD DE ALAJUELA</v>
      </c>
      <c r="C2" s="675"/>
      <c r="D2" s="675"/>
      <c r="E2" s="675"/>
      <c r="F2" s="675"/>
      <c r="G2" s="675"/>
    </row>
    <row r="3" spans="2:7" ht="15.75">
      <c r="B3" s="675" t="s">
        <v>880</v>
      </c>
      <c r="C3" s="675"/>
      <c r="D3" s="675"/>
      <c r="E3" s="675"/>
      <c r="F3" s="675"/>
      <c r="G3" s="675"/>
    </row>
    <row r="4" spans="2:7" ht="15.75">
      <c r="B4" s="675" t="s">
        <v>879</v>
      </c>
      <c r="C4" s="675"/>
      <c r="D4" s="675"/>
      <c r="E4" s="675"/>
      <c r="F4" s="675"/>
      <c r="G4" s="675"/>
    </row>
    <row r="5" spans="1:7" ht="12.75">
      <c r="A5" s="195"/>
      <c r="B5" s="195"/>
      <c r="C5" s="195"/>
      <c r="D5" s="195"/>
      <c r="E5" s="195"/>
      <c r="F5" s="195"/>
      <c r="G5" s="195"/>
    </row>
    <row r="6" ht="12.75">
      <c r="A6" s="195"/>
    </row>
    <row r="7" ht="13.5" thickBot="1"/>
    <row r="8" spans="2:7" ht="19.5" customHeight="1">
      <c r="B8" s="544" t="s">
        <v>878</v>
      </c>
      <c r="C8" s="543"/>
      <c r="D8" s="543"/>
      <c r="E8" s="32"/>
      <c r="F8" s="32"/>
      <c r="G8" s="542">
        <v>20872350000</v>
      </c>
    </row>
    <row r="9" spans="2:7" ht="16.5" customHeight="1">
      <c r="B9" s="541" t="s">
        <v>877</v>
      </c>
      <c r="C9" s="514"/>
      <c r="D9" s="514"/>
      <c r="E9" s="2"/>
      <c r="F9" s="2"/>
      <c r="G9" s="540">
        <f>+'[6]Clasific. Económica de Ingresos'!$D$174</f>
        <v>23085833126</v>
      </c>
    </row>
    <row r="10" spans="2:7" ht="15.75" customHeight="1" thickBot="1">
      <c r="B10" s="539" t="s">
        <v>876</v>
      </c>
      <c r="C10" s="538"/>
      <c r="D10" s="538"/>
      <c r="E10" s="323"/>
      <c r="F10" s="323"/>
      <c r="G10" s="537">
        <f>(G9-G8)/G8</f>
        <v>0.1060485822631376</v>
      </c>
    </row>
    <row r="11" spans="2:7" ht="15.75" customHeight="1">
      <c r="B11" s="536" t="s">
        <v>875</v>
      </c>
      <c r="C11" s="535"/>
      <c r="D11" s="535"/>
      <c r="E11" s="534">
        <v>0.1036</v>
      </c>
      <c r="F11" s="533"/>
      <c r="G11" s="532"/>
    </row>
    <row r="12" spans="2:7" ht="12.75">
      <c r="B12" s="531" t="s">
        <v>874</v>
      </c>
      <c r="C12" s="530" t="s">
        <v>873</v>
      </c>
      <c r="D12" s="528" t="s">
        <v>872</v>
      </c>
      <c r="E12" s="529" t="s">
        <v>871</v>
      </c>
      <c r="F12" s="528" t="s">
        <v>870</v>
      </c>
      <c r="G12" s="527" t="s">
        <v>869</v>
      </c>
    </row>
    <row r="13" spans="2:7" ht="12.75">
      <c r="B13" s="526" t="s">
        <v>868</v>
      </c>
      <c r="C13" s="524" t="s">
        <v>867</v>
      </c>
      <c r="D13" s="524" t="s">
        <v>866</v>
      </c>
      <c r="E13" s="525" t="s">
        <v>865</v>
      </c>
      <c r="F13" s="524"/>
      <c r="G13" s="523"/>
    </row>
    <row r="14" spans="2:7" ht="12.75">
      <c r="B14" s="521">
        <v>11</v>
      </c>
      <c r="C14" s="520">
        <v>204344.27</v>
      </c>
      <c r="D14" s="518">
        <f>+C14*(1+$E$11)</f>
        <v>225514.33637199996</v>
      </c>
      <c r="E14" s="519">
        <v>76</v>
      </c>
      <c r="F14" s="518">
        <f>+B14*D14*6.33333333333333</f>
        <v>15710832.100582656</v>
      </c>
      <c r="G14" s="517">
        <f>+B14*D14*E14</f>
        <v>188529985.20699197</v>
      </c>
    </row>
    <row r="15" spans="2:8" ht="12.75">
      <c r="B15" s="521">
        <v>11</v>
      </c>
      <c r="C15" s="520">
        <v>102172.15</v>
      </c>
      <c r="D15" s="518">
        <f>+C15*(1+$E$11)</f>
        <v>112757.18473999998</v>
      </c>
      <c r="E15" s="519">
        <v>76</v>
      </c>
      <c r="F15" s="518">
        <f>+B15*D15*6.33333333333333</f>
        <v>7855417.203553328</v>
      </c>
      <c r="G15" s="517">
        <f>+B15*D15*E15</f>
        <v>94265006.44263998</v>
      </c>
      <c r="H15" s="522"/>
    </row>
    <row r="16" spans="2:7" ht="12.75">
      <c r="B16" s="521">
        <v>14</v>
      </c>
      <c r="C16" s="520">
        <v>102172.15</v>
      </c>
      <c r="D16" s="518">
        <f>+C16*(1+$E$11)</f>
        <v>112757.18473999998</v>
      </c>
      <c r="E16" s="519">
        <v>76</v>
      </c>
      <c r="F16" s="518">
        <f>+B16*D16*6.33333333333333</f>
        <v>9997803.713613328</v>
      </c>
      <c r="G16" s="517">
        <f>+B16*D16*E16</f>
        <v>119973644.56335999</v>
      </c>
    </row>
    <row r="17" spans="2:7" ht="12.75">
      <c r="B17" s="521">
        <v>14</v>
      </c>
      <c r="C17" s="520">
        <v>51086.05</v>
      </c>
      <c r="D17" s="518">
        <f>+C17*(1+$E$11)</f>
        <v>56378.56478</v>
      </c>
      <c r="E17" s="519">
        <v>76</v>
      </c>
      <c r="F17" s="518">
        <f>+B17*D17*6.33333333333333</f>
        <v>4998899.410493331</v>
      </c>
      <c r="G17" s="517">
        <f>+B17*D17*E17</f>
        <v>59986792.925919995</v>
      </c>
    </row>
    <row r="18" spans="2:7" ht="12.75">
      <c r="B18" s="516"/>
      <c r="C18" s="515"/>
      <c r="D18" s="513"/>
      <c r="E18" s="514"/>
      <c r="F18" s="513"/>
      <c r="G18" s="512"/>
    </row>
    <row r="19" spans="2:7" ht="17.25" customHeight="1">
      <c r="B19" s="511" t="s">
        <v>864</v>
      </c>
      <c r="C19" s="510"/>
      <c r="D19" s="509"/>
      <c r="E19" s="509"/>
      <c r="F19" s="509"/>
      <c r="G19" s="508">
        <v>0</v>
      </c>
    </row>
    <row r="20" spans="2:7" ht="19.5" customHeight="1" thickBot="1">
      <c r="B20" s="507" t="s">
        <v>6</v>
      </c>
      <c r="C20" s="506"/>
      <c r="D20" s="506"/>
      <c r="E20" s="506"/>
      <c r="F20" s="505">
        <f>SUM(F14:F18)</f>
        <v>38562952.42824264</v>
      </c>
      <c r="G20" s="504">
        <f>SUM(G14:G18)+G19</f>
        <v>462755429.13891196</v>
      </c>
    </row>
    <row r="21" spans="2:7" ht="12.75">
      <c r="B21" s="104"/>
      <c r="C21" s="104"/>
      <c r="D21" s="104"/>
      <c r="E21" s="104"/>
      <c r="F21" s="104"/>
      <c r="G21" s="104"/>
    </row>
    <row r="22" ht="12.75">
      <c r="B22" t="s">
        <v>863</v>
      </c>
    </row>
    <row r="24" s="195" customFormat="1" ht="12.75">
      <c r="A24" s="326" t="s">
        <v>862</v>
      </c>
    </row>
    <row r="25" s="195" customFormat="1" ht="18" customHeight="1">
      <c r="A25" s="326" t="s">
        <v>657</v>
      </c>
    </row>
    <row r="26" s="195" customFormat="1" ht="12.75">
      <c r="A26" s="326"/>
    </row>
  </sheetData>
  <sheetProtection/>
  <mergeCells count="3">
    <mergeCell ref="B2:G2"/>
    <mergeCell ref="B3:G3"/>
    <mergeCell ref="B4:G4"/>
  </mergeCells>
  <printOptions horizontalCentered="1" verticalCentered="1"/>
  <pageMargins left="0.75" right="0.75" top="1" bottom="1" header="0" footer="0"/>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J280"/>
  <sheetViews>
    <sheetView zoomScalePageLayoutView="0" workbookViewId="0" topLeftCell="A252">
      <selection activeCell="A1" sqref="A1:IV16384"/>
    </sheetView>
  </sheetViews>
  <sheetFormatPr defaultColWidth="11.421875" defaultRowHeight="12.75"/>
  <cols>
    <col min="1" max="1" width="29.140625" style="0" customWidth="1"/>
    <col min="2" max="2" width="38.140625" style="0" bestFit="1" customWidth="1"/>
    <col min="3" max="3" width="14.8515625" style="0" bestFit="1" customWidth="1"/>
    <col min="7" max="7" width="23.8515625" style="202" bestFit="1" customWidth="1"/>
    <col min="8" max="8" width="27.140625" style="0" customWidth="1"/>
    <col min="9" max="9" width="23.421875" style="0" customWidth="1"/>
    <col min="10" max="10" width="18.421875" style="0" customWidth="1"/>
  </cols>
  <sheetData>
    <row r="1" spans="1:9" ht="18">
      <c r="A1" s="682" t="s">
        <v>0</v>
      </c>
      <c r="B1" s="682"/>
      <c r="C1" s="682"/>
      <c r="D1" s="682"/>
      <c r="E1" s="682"/>
      <c r="F1" s="682"/>
      <c r="G1" s="682"/>
      <c r="H1" s="682"/>
      <c r="I1" s="546"/>
    </row>
    <row r="2" spans="1:9" ht="18">
      <c r="A2" s="682" t="s">
        <v>1</v>
      </c>
      <c r="B2" s="682"/>
      <c r="C2" s="682"/>
      <c r="D2" s="682"/>
      <c r="E2" s="682"/>
      <c r="F2" s="682"/>
      <c r="G2" s="682"/>
      <c r="H2" s="682"/>
      <c r="I2" s="546"/>
    </row>
    <row r="3" spans="1:9" ht="18">
      <c r="A3" s="682" t="s">
        <v>638</v>
      </c>
      <c r="B3" s="682"/>
      <c r="C3" s="682"/>
      <c r="D3" s="682"/>
      <c r="E3" s="682"/>
      <c r="F3" s="682"/>
      <c r="G3" s="682"/>
      <c r="H3" s="682"/>
      <c r="I3" s="546"/>
    </row>
    <row r="4" ht="12.75">
      <c r="A4" s="547"/>
    </row>
    <row r="5" spans="1:9" ht="16.5" thickBot="1">
      <c r="A5" s="683" t="s">
        <v>881</v>
      </c>
      <c r="B5" s="683"/>
      <c r="C5" s="683"/>
      <c r="D5" s="683"/>
      <c r="E5" s="683"/>
      <c r="F5" s="683"/>
      <c r="G5" s="683"/>
      <c r="H5" s="683"/>
      <c r="I5" s="546"/>
    </row>
    <row r="6" spans="1:9" ht="59.25" customHeight="1" thickTop="1">
      <c r="A6" s="680" t="s">
        <v>882</v>
      </c>
      <c r="B6" s="677"/>
      <c r="C6" s="677"/>
      <c r="D6" s="677"/>
      <c r="E6" s="677"/>
      <c r="F6" s="677"/>
      <c r="G6" s="677"/>
      <c r="H6" s="677"/>
      <c r="I6" s="546"/>
    </row>
    <row r="7" spans="1:9" ht="45.75" customHeight="1">
      <c r="A7" s="684" t="s">
        <v>883</v>
      </c>
      <c r="B7" s="684"/>
      <c r="C7" s="684"/>
      <c r="D7" s="684"/>
      <c r="E7" s="684"/>
      <c r="F7" s="684"/>
      <c r="G7" s="684"/>
      <c r="H7" s="684"/>
      <c r="I7" s="546"/>
    </row>
    <row r="8" spans="1:9" ht="63.75" customHeight="1">
      <c r="A8" s="680" t="s">
        <v>884</v>
      </c>
      <c r="B8" s="680"/>
      <c r="C8" s="680"/>
      <c r="D8" s="680"/>
      <c r="E8" s="680"/>
      <c r="F8" s="680"/>
      <c r="G8" s="680"/>
      <c r="H8" s="680"/>
      <c r="I8" s="546"/>
    </row>
    <row r="9" spans="1:9" ht="47.25" customHeight="1">
      <c r="A9" s="681" t="s">
        <v>885</v>
      </c>
      <c r="B9" s="680"/>
      <c r="C9" s="680"/>
      <c r="D9" s="680"/>
      <c r="E9" s="680"/>
      <c r="F9" s="680"/>
      <c r="G9" s="680"/>
      <c r="H9" s="680"/>
      <c r="I9" s="546"/>
    </row>
    <row r="10" spans="1:9" ht="45" customHeight="1">
      <c r="A10" s="681" t="s">
        <v>886</v>
      </c>
      <c r="B10" s="680"/>
      <c r="C10" s="680"/>
      <c r="D10" s="680"/>
      <c r="E10" s="680"/>
      <c r="F10" s="680"/>
      <c r="G10" s="680"/>
      <c r="H10" s="680"/>
      <c r="I10" s="546"/>
    </row>
    <row r="11" spans="1:9" ht="15.75" thickBot="1">
      <c r="A11" s="549"/>
      <c r="B11" s="549"/>
      <c r="C11" s="549"/>
      <c r="D11" s="549"/>
      <c r="E11" s="549"/>
      <c r="F11" s="549"/>
      <c r="G11" s="550"/>
      <c r="H11" s="549"/>
      <c r="I11" s="546"/>
    </row>
    <row r="12" spans="1:9" ht="15.75" thickBot="1">
      <c r="A12" s="551" t="s">
        <v>17</v>
      </c>
      <c r="B12" s="676" t="str">
        <f>+'[8]ESTIMACION'!B11</f>
        <v>Impuesto S/Bienes Inmuebles, Ley 7729 </v>
      </c>
      <c r="C12" s="676"/>
      <c r="D12" s="676"/>
      <c r="E12" s="676"/>
      <c r="F12" s="676"/>
      <c r="G12" s="552">
        <f>+H17</f>
        <v>5915000000</v>
      </c>
      <c r="H12" s="553">
        <f>+G12/'[8]ESTIMACION'!I121</f>
        <v>0.2833892685778075</v>
      </c>
      <c r="I12" s="546"/>
    </row>
    <row r="13" spans="1:9" ht="14.25">
      <c r="A13" s="554"/>
      <c r="B13" s="555"/>
      <c r="C13" s="555"/>
      <c r="D13" s="555"/>
      <c r="E13" s="555"/>
      <c r="F13" s="555"/>
      <c r="G13" s="556"/>
      <c r="H13" s="555"/>
      <c r="I13" s="546"/>
    </row>
    <row r="14" spans="1:9" ht="15">
      <c r="A14" s="557" t="s">
        <v>198</v>
      </c>
      <c r="B14" s="555"/>
      <c r="C14" s="555"/>
      <c r="D14" s="555"/>
      <c r="E14" s="555"/>
      <c r="F14" s="555"/>
      <c r="G14" s="556"/>
      <c r="H14" s="555"/>
      <c r="I14" s="546"/>
    </row>
    <row r="15" spans="1:9" ht="90" customHeight="1">
      <c r="A15" s="677" t="s">
        <v>887</v>
      </c>
      <c r="B15" s="677"/>
      <c r="C15" s="677"/>
      <c r="D15" s="677"/>
      <c r="E15" s="677"/>
      <c r="F15" s="677"/>
      <c r="G15" s="677"/>
      <c r="H15" s="677"/>
      <c r="I15" s="546"/>
    </row>
    <row r="16" spans="1:9" ht="15">
      <c r="A16" s="557"/>
      <c r="B16" s="555"/>
      <c r="C16" s="555"/>
      <c r="D16" s="555"/>
      <c r="E16" s="555"/>
      <c r="F16" s="555"/>
      <c r="G16" s="556"/>
      <c r="H16" s="555"/>
      <c r="I16" s="546"/>
    </row>
    <row r="17" spans="1:9" ht="15">
      <c r="A17" s="557" t="s">
        <v>463</v>
      </c>
      <c r="B17" s="555"/>
      <c r="C17" s="555"/>
      <c r="D17" s="555"/>
      <c r="E17" s="555"/>
      <c r="F17" s="555"/>
      <c r="G17" s="556"/>
      <c r="H17" s="558">
        <f>+'[8]ESTIMACION'!J10</f>
        <v>5915000000</v>
      </c>
      <c r="I17" s="546"/>
    </row>
    <row r="18" spans="1:9" ht="15.75" thickBot="1">
      <c r="A18" s="557"/>
      <c r="B18" s="555"/>
      <c r="C18" s="555"/>
      <c r="D18" s="555"/>
      <c r="E18" s="555"/>
      <c r="F18" s="555"/>
      <c r="G18" s="556"/>
      <c r="H18" s="558"/>
      <c r="I18" s="546"/>
    </row>
    <row r="19" spans="1:9" ht="15.75" thickBot="1">
      <c r="A19" s="551" t="s">
        <v>27</v>
      </c>
      <c r="B19" s="676" t="str">
        <f>+'[8]ESTIMACION'!B17</f>
        <v>Impuesto Específico sobre la Explotación de Recursos naturales y Minerales</v>
      </c>
      <c r="C19" s="676"/>
      <c r="D19" s="676"/>
      <c r="E19" s="676"/>
      <c r="F19" s="676"/>
      <c r="G19" s="552">
        <f>+H24</f>
        <v>120000000</v>
      </c>
      <c r="H19" s="553">
        <f>+G19/'[8]ESTIMACION'!I121</f>
        <v>0.005749232836743347</v>
      </c>
      <c r="I19" s="546"/>
    </row>
    <row r="20" spans="1:9" ht="14.25">
      <c r="A20" s="555"/>
      <c r="B20" s="555"/>
      <c r="C20" s="555"/>
      <c r="D20" s="555"/>
      <c r="E20" s="555"/>
      <c r="F20" s="555"/>
      <c r="G20" s="556"/>
      <c r="H20" s="555"/>
      <c r="I20" s="546"/>
    </row>
    <row r="21" spans="1:9" ht="15">
      <c r="A21" s="557" t="s">
        <v>198</v>
      </c>
      <c r="B21" s="555"/>
      <c r="C21" s="555"/>
      <c r="D21" s="555"/>
      <c r="E21" s="555"/>
      <c r="F21" s="555"/>
      <c r="G21" s="556"/>
      <c r="H21" s="555"/>
      <c r="I21" s="546"/>
    </row>
    <row r="22" spans="1:9" ht="75" customHeight="1">
      <c r="A22" s="677" t="s">
        <v>888</v>
      </c>
      <c r="B22" s="677"/>
      <c r="C22" s="677"/>
      <c r="D22" s="677"/>
      <c r="E22" s="677"/>
      <c r="F22" s="677"/>
      <c r="G22" s="677"/>
      <c r="H22" s="677"/>
      <c r="I22" s="546"/>
    </row>
    <row r="23" spans="1:9" ht="14.25">
      <c r="A23" s="548"/>
      <c r="B23" s="548"/>
      <c r="C23" s="548"/>
      <c r="D23" s="548"/>
      <c r="E23" s="548"/>
      <c r="F23" s="548"/>
      <c r="G23" s="559"/>
      <c r="H23" s="548"/>
      <c r="I23" s="546"/>
    </row>
    <row r="24" spans="1:9" ht="15">
      <c r="A24" s="557" t="s">
        <v>463</v>
      </c>
      <c r="B24" s="548"/>
      <c r="C24" s="548"/>
      <c r="D24" s="548"/>
      <c r="E24" s="548"/>
      <c r="F24" s="548"/>
      <c r="G24" s="559"/>
      <c r="H24" s="558">
        <f>+'[8]ESTIMACION'!J17</f>
        <v>120000000</v>
      </c>
      <c r="I24" s="546"/>
    </row>
    <row r="25" spans="1:9" ht="15" thickBot="1">
      <c r="A25" s="548"/>
      <c r="B25" s="548"/>
      <c r="C25" s="548"/>
      <c r="D25" s="548"/>
      <c r="E25" s="548"/>
      <c r="F25" s="548"/>
      <c r="G25" s="559"/>
      <c r="H25" s="548"/>
      <c r="I25" s="546"/>
    </row>
    <row r="26" spans="1:9" ht="15.75" thickBot="1">
      <c r="A26" s="551" t="s">
        <v>27</v>
      </c>
      <c r="B26" s="676" t="str">
        <f>+'[8]ESTIMACION'!B22</f>
        <v>Impuesto Específicos sobre la Producción y Consumo de Servicios</v>
      </c>
      <c r="C26" s="676"/>
      <c r="D26" s="676"/>
      <c r="E26" s="676"/>
      <c r="F26" s="676"/>
      <c r="G26" s="552">
        <f>+H31</f>
        <v>5000000</v>
      </c>
      <c r="H26" s="553">
        <f>+G26/'[8]ESTIMACION'!I121</f>
        <v>0.00023955136819763946</v>
      </c>
      <c r="I26" s="546"/>
    </row>
    <row r="27" spans="1:9" ht="14.25">
      <c r="A27" s="555"/>
      <c r="B27" s="555"/>
      <c r="C27" s="555"/>
      <c r="D27" s="555"/>
      <c r="E27" s="555"/>
      <c r="F27" s="555"/>
      <c r="G27" s="556"/>
      <c r="H27" s="555"/>
      <c r="I27" s="546"/>
    </row>
    <row r="28" spans="1:9" ht="15">
      <c r="A28" s="557" t="s">
        <v>198</v>
      </c>
      <c r="B28" s="555"/>
      <c r="C28" s="555"/>
      <c r="D28" s="555"/>
      <c r="E28" s="555"/>
      <c r="F28" s="555"/>
      <c r="G28" s="556"/>
      <c r="H28" s="555"/>
      <c r="I28" s="546"/>
    </row>
    <row r="29" spans="1:9" ht="14.25">
      <c r="A29" s="677" t="s">
        <v>889</v>
      </c>
      <c r="B29" s="677"/>
      <c r="C29" s="677"/>
      <c r="D29" s="677"/>
      <c r="E29" s="677"/>
      <c r="F29" s="677"/>
      <c r="G29" s="677"/>
      <c r="H29" s="677"/>
      <c r="I29" s="546"/>
    </row>
    <row r="30" spans="1:9" ht="15">
      <c r="A30" s="557"/>
      <c r="B30" s="555"/>
      <c r="C30" s="555"/>
      <c r="D30" s="555"/>
      <c r="E30" s="555"/>
      <c r="F30" s="555"/>
      <c r="G30" s="556"/>
      <c r="H30" s="555"/>
      <c r="I30" s="546"/>
    </row>
    <row r="31" spans="1:9" ht="15">
      <c r="A31" s="557" t="s">
        <v>463</v>
      </c>
      <c r="B31" s="555"/>
      <c r="C31" s="555"/>
      <c r="D31" s="555"/>
      <c r="E31" s="555"/>
      <c r="F31" s="555"/>
      <c r="G31" s="556"/>
      <c r="H31" s="558">
        <f>+'[8]ESTIMACION'!J18</f>
        <v>5000000</v>
      </c>
      <c r="I31" s="546"/>
    </row>
    <row r="32" spans="1:9" ht="15" thickBot="1">
      <c r="A32" s="677"/>
      <c r="B32" s="677"/>
      <c r="C32" s="677"/>
      <c r="D32" s="677"/>
      <c r="E32" s="677"/>
      <c r="F32" s="677"/>
      <c r="G32" s="677"/>
      <c r="H32" s="677"/>
      <c r="I32" s="546"/>
    </row>
    <row r="33" spans="1:9" ht="15.75" thickBot="1">
      <c r="A33" s="551" t="str">
        <f>+'[8]ESTIMACION'!A20</f>
        <v>1.1.3.2.01.05.0.0.000</v>
      </c>
      <c r="B33" s="676" t="str">
        <f>+'[8]ESTIMACION'!B20</f>
        <v>Impuesto sobre Construcciones</v>
      </c>
      <c r="C33" s="676"/>
      <c r="D33" s="676"/>
      <c r="E33" s="676"/>
      <c r="F33" s="676"/>
      <c r="G33" s="552">
        <f>+H38</f>
        <v>747000000</v>
      </c>
      <c r="H33" s="553">
        <f>+G33/'[8]ESTIMACION'!I121</f>
        <v>0.03578897440872734</v>
      </c>
      <c r="I33" s="546"/>
    </row>
    <row r="34" spans="1:9" ht="14.25">
      <c r="A34" s="548"/>
      <c r="B34" s="548"/>
      <c r="C34" s="548"/>
      <c r="D34" s="548"/>
      <c r="E34" s="548"/>
      <c r="F34" s="548"/>
      <c r="G34" s="559"/>
      <c r="H34" s="548"/>
      <c r="I34" s="546"/>
    </row>
    <row r="35" spans="1:9" ht="12.75" customHeight="1">
      <c r="A35" s="557" t="s">
        <v>198</v>
      </c>
      <c r="B35" s="555"/>
      <c r="C35" s="555"/>
      <c r="D35" s="555"/>
      <c r="E35" s="555"/>
      <c r="F35" s="555"/>
      <c r="G35" s="556"/>
      <c r="H35" s="555"/>
      <c r="I35" s="546"/>
    </row>
    <row r="36" spans="1:9" ht="61.5" customHeight="1">
      <c r="A36" s="677" t="s">
        <v>890</v>
      </c>
      <c r="B36" s="677"/>
      <c r="C36" s="677"/>
      <c r="D36" s="677"/>
      <c r="E36" s="677"/>
      <c r="F36" s="677"/>
      <c r="G36" s="677"/>
      <c r="H36" s="677"/>
      <c r="I36" s="546"/>
    </row>
    <row r="37" spans="1:9" ht="15">
      <c r="A37" s="557"/>
      <c r="B37" s="555"/>
      <c r="C37" s="555"/>
      <c r="D37" s="555"/>
      <c r="E37" s="555"/>
      <c r="F37" s="555"/>
      <c r="G37" s="556"/>
      <c r="H37" s="555"/>
      <c r="I37" s="546"/>
    </row>
    <row r="38" spans="1:9" ht="15">
      <c r="A38" s="557" t="s">
        <v>463</v>
      </c>
      <c r="B38" s="555"/>
      <c r="C38" s="555"/>
      <c r="D38" s="555"/>
      <c r="E38" s="555"/>
      <c r="F38" s="555"/>
      <c r="G38" s="556"/>
      <c r="H38" s="558">
        <f>+'[8]ESTIMACION'!J20</f>
        <v>747000000</v>
      </c>
      <c r="I38" s="546"/>
    </row>
    <row r="39" spans="1:9" ht="15" thickBot="1">
      <c r="A39" s="555"/>
      <c r="B39" s="555"/>
      <c r="C39" s="555"/>
      <c r="D39" s="555"/>
      <c r="E39" s="555"/>
      <c r="F39" s="555"/>
      <c r="G39" s="556"/>
      <c r="H39" s="555"/>
      <c r="I39" s="546"/>
    </row>
    <row r="40" spans="1:9" ht="15.75" thickBot="1">
      <c r="A40" s="551" t="s">
        <v>36</v>
      </c>
      <c r="B40" s="676" t="str">
        <f>+'[8]ESTIMACION'!B23</f>
        <v>Otros impuestos específicos sobre la producción y Consumo de Servicios</v>
      </c>
      <c r="C40" s="676"/>
      <c r="D40" s="676"/>
      <c r="E40" s="676"/>
      <c r="F40" s="676"/>
      <c r="G40" s="552">
        <f>+H45</f>
        <v>40000000</v>
      </c>
      <c r="H40" s="553">
        <f>+G40/'[8]ESTIMACION'!I121</f>
        <v>0.0019164109455811157</v>
      </c>
      <c r="I40" s="546"/>
    </row>
    <row r="41" spans="1:9" ht="14.25">
      <c r="A41" s="555"/>
      <c r="B41" s="555"/>
      <c r="C41" s="555"/>
      <c r="D41" s="555"/>
      <c r="E41" s="555"/>
      <c r="F41" s="555"/>
      <c r="G41" s="556"/>
      <c r="H41" s="555"/>
      <c r="I41" s="546"/>
    </row>
    <row r="42" spans="1:9" ht="15">
      <c r="A42" s="557" t="s">
        <v>198</v>
      </c>
      <c r="B42" s="555"/>
      <c r="C42" s="555"/>
      <c r="D42" s="555"/>
      <c r="E42" s="555"/>
      <c r="F42" s="555"/>
      <c r="G42" s="556"/>
      <c r="H42" s="555"/>
      <c r="I42" s="546"/>
    </row>
    <row r="43" spans="1:9" ht="62.25" customHeight="1">
      <c r="A43" s="677" t="s">
        <v>891</v>
      </c>
      <c r="B43" s="677"/>
      <c r="C43" s="677"/>
      <c r="D43" s="677"/>
      <c r="E43" s="677"/>
      <c r="F43" s="677"/>
      <c r="G43" s="677"/>
      <c r="H43" s="677"/>
      <c r="I43" s="546"/>
    </row>
    <row r="44" spans="1:8" ht="14.25">
      <c r="A44" s="555"/>
      <c r="B44" s="555"/>
      <c r="C44" s="555"/>
      <c r="D44" s="555"/>
      <c r="E44" s="555"/>
      <c r="F44" s="555"/>
      <c r="G44" s="556"/>
      <c r="H44" s="555"/>
    </row>
    <row r="45" spans="1:9" ht="15">
      <c r="A45" s="557" t="s">
        <v>463</v>
      </c>
      <c r="B45" s="555"/>
      <c r="C45" s="555"/>
      <c r="D45" s="555"/>
      <c r="E45" s="555"/>
      <c r="F45" s="555"/>
      <c r="G45" s="556"/>
      <c r="H45" s="558">
        <f>+'[8]ESTIMACION'!J22</f>
        <v>40000000</v>
      </c>
      <c r="I45" s="546"/>
    </row>
    <row r="46" spans="1:9" ht="15.75" thickBot="1">
      <c r="A46" s="560"/>
      <c r="B46" s="561"/>
      <c r="C46" s="561"/>
      <c r="D46" s="561"/>
      <c r="E46" s="561"/>
      <c r="F46" s="561"/>
      <c r="G46" s="562"/>
      <c r="H46" s="563"/>
      <c r="I46" s="546"/>
    </row>
    <row r="47" spans="1:9" ht="15.75" thickBot="1">
      <c r="A47" s="551" t="str">
        <f>+'[8]ESTIMACION'!A27</f>
        <v>1.1.3.3.01.01.0.0.000</v>
      </c>
      <c r="B47" s="676" t="str">
        <f>+'[8]ESTIMACION'!B27</f>
        <v>Impuesto sobre rótulos públicos</v>
      </c>
      <c r="C47" s="676"/>
      <c r="D47" s="676"/>
      <c r="E47" s="676"/>
      <c r="F47" s="676"/>
      <c r="G47" s="552">
        <f>+H52</f>
        <v>1200000</v>
      </c>
      <c r="H47" s="553">
        <f>+G47/'[8]ESTIMACION'!I121</f>
        <v>5.749232836743347E-05</v>
      </c>
      <c r="I47" s="546"/>
    </row>
    <row r="48" spans="1:9" ht="14.25">
      <c r="A48" s="555"/>
      <c r="B48" s="555"/>
      <c r="C48" s="555"/>
      <c r="D48" s="555"/>
      <c r="E48" s="555"/>
      <c r="F48" s="555"/>
      <c r="G48" s="556"/>
      <c r="H48" s="555"/>
      <c r="I48" s="546"/>
    </row>
    <row r="49" spans="1:9" ht="15">
      <c r="A49" s="557" t="s">
        <v>198</v>
      </c>
      <c r="B49" s="555"/>
      <c r="C49" s="555"/>
      <c r="D49" s="555"/>
      <c r="E49" s="555"/>
      <c r="F49" s="555"/>
      <c r="G49" s="556"/>
      <c r="H49" s="555"/>
      <c r="I49" s="546"/>
    </row>
    <row r="50" spans="1:9" ht="60" customHeight="1">
      <c r="A50" s="677" t="s">
        <v>892</v>
      </c>
      <c r="B50" s="677"/>
      <c r="C50" s="677"/>
      <c r="D50" s="677"/>
      <c r="E50" s="677"/>
      <c r="F50" s="677"/>
      <c r="G50" s="677"/>
      <c r="H50" s="677"/>
      <c r="I50" s="546"/>
    </row>
    <row r="51" spans="1:9" ht="15">
      <c r="A51" s="557"/>
      <c r="B51" s="555"/>
      <c r="C51" s="555"/>
      <c r="D51" s="555"/>
      <c r="E51" s="555"/>
      <c r="F51" s="555"/>
      <c r="G51" s="556"/>
      <c r="H51" s="555"/>
      <c r="I51" s="546"/>
    </row>
    <row r="52" spans="1:9" ht="15">
      <c r="A52" s="557" t="s">
        <v>463</v>
      </c>
      <c r="B52" s="555"/>
      <c r="C52" s="555"/>
      <c r="D52" s="555"/>
      <c r="E52" s="555"/>
      <c r="F52" s="555"/>
      <c r="G52" s="556"/>
      <c r="H52" s="558">
        <f>+'[8]ESTIMACION'!J27</f>
        <v>1200000</v>
      </c>
      <c r="I52" s="546"/>
    </row>
    <row r="53" spans="1:9" ht="15.75" thickBot="1">
      <c r="A53" s="560"/>
      <c r="B53" s="561"/>
      <c r="C53" s="561"/>
      <c r="D53" s="561"/>
      <c r="E53" s="561"/>
      <c r="F53" s="561"/>
      <c r="G53" s="562"/>
      <c r="H53" s="563"/>
      <c r="I53" s="546"/>
    </row>
    <row r="54" spans="1:9" ht="15.75" thickBot="1">
      <c r="A54" s="551" t="str">
        <f>+'[8]ESTIMACION'!A28</f>
        <v>1.1.3.3.01.02.0.0.000</v>
      </c>
      <c r="B54" s="676" t="str">
        <f>+'[8]ESTIMACION'!B28</f>
        <v>Patentes municipales</v>
      </c>
      <c r="C54" s="676"/>
      <c r="D54" s="676"/>
      <c r="E54" s="676"/>
      <c r="F54" s="676"/>
      <c r="G54" s="552">
        <f>+H59</f>
        <v>4525000000</v>
      </c>
      <c r="H54" s="553">
        <f>+G54/'[8]ESTIMACION'!I121</f>
        <v>0.21679398821886373</v>
      </c>
      <c r="I54" s="546"/>
    </row>
    <row r="55" spans="1:9" ht="14.25">
      <c r="A55" s="555"/>
      <c r="B55" s="555"/>
      <c r="C55" s="555"/>
      <c r="D55" s="555"/>
      <c r="E55" s="555"/>
      <c r="F55" s="555"/>
      <c r="G55" s="556"/>
      <c r="H55" s="555"/>
      <c r="I55" s="546"/>
    </row>
    <row r="56" spans="1:9" ht="15">
      <c r="A56" s="557" t="s">
        <v>198</v>
      </c>
      <c r="B56" s="555"/>
      <c r="C56" s="555"/>
      <c r="D56" s="555"/>
      <c r="E56" s="555"/>
      <c r="F56" s="555"/>
      <c r="G56" s="556"/>
      <c r="H56" s="555"/>
      <c r="I56" s="546"/>
    </row>
    <row r="57" spans="1:9" ht="102" customHeight="1">
      <c r="A57" s="677" t="s">
        <v>893</v>
      </c>
      <c r="B57" s="677"/>
      <c r="C57" s="677"/>
      <c r="D57" s="677"/>
      <c r="E57" s="677"/>
      <c r="F57" s="677"/>
      <c r="G57" s="677"/>
      <c r="H57" s="677"/>
      <c r="I57" s="546"/>
    </row>
    <row r="58" spans="1:9" ht="15">
      <c r="A58" s="557"/>
      <c r="B58" s="555"/>
      <c r="C58" s="555"/>
      <c r="D58" s="555"/>
      <c r="E58" s="555"/>
      <c r="F58" s="555"/>
      <c r="G58" s="556"/>
      <c r="H58" s="555"/>
      <c r="I58" s="546"/>
    </row>
    <row r="59" spans="1:10" ht="15">
      <c r="A59" s="557" t="s">
        <v>463</v>
      </c>
      <c r="B59" s="555"/>
      <c r="C59" s="555"/>
      <c r="D59" s="555"/>
      <c r="E59" s="555"/>
      <c r="F59" s="555"/>
      <c r="G59" s="556"/>
      <c r="H59" s="558">
        <f>+'[8]ESTIMACION'!J28</f>
        <v>4525000000</v>
      </c>
      <c r="I59" s="546"/>
      <c r="J59" s="564"/>
    </row>
    <row r="60" spans="1:9" ht="15" thickBot="1">
      <c r="A60" s="555"/>
      <c r="B60" s="555"/>
      <c r="C60" s="555"/>
      <c r="D60" s="555"/>
      <c r="E60" s="555"/>
      <c r="F60" s="555"/>
      <c r="G60" s="556"/>
      <c r="H60" s="555"/>
      <c r="I60" s="546"/>
    </row>
    <row r="61" spans="1:9" ht="15.75" thickBot="1">
      <c r="A61" s="551" t="str">
        <f>+'[8]ESTIMACION'!A32</f>
        <v>1.1.9.1.01.00.0.0.000</v>
      </c>
      <c r="B61" s="676" t="str">
        <f>+'[8]ESTIMACION'!B32</f>
        <v>Timbres municipales</v>
      </c>
      <c r="C61" s="676"/>
      <c r="D61" s="676"/>
      <c r="E61" s="676"/>
      <c r="F61" s="676"/>
      <c r="G61" s="552">
        <f>+H66</f>
        <v>475000000</v>
      </c>
      <c r="H61" s="553">
        <f>+G61/'[8]ESTIMACION'!I121</f>
        <v>0.02275737997877575</v>
      </c>
      <c r="I61" s="546"/>
    </row>
    <row r="62" spans="1:9" ht="14.25">
      <c r="A62" s="555"/>
      <c r="B62" s="555"/>
      <c r="C62" s="555"/>
      <c r="D62" s="555"/>
      <c r="E62" s="555"/>
      <c r="F62" s="555"/>
      <c r="G62" s="556"/>
      <c r="H62" s="555"/>
      <c r="I62" s="546"/>
    </row>
    <row r="63" spans="1:9" ht="15">
      <c r="A63" s="557" t="s">
        <v>198</v>
      </c>
      <c r="B63" s="555"/>
      <c r="C63" s="555"/>
      <c r="D63" s="555"/>
      <c r="E63" s="555"/>
      <c r="F63" s="555"/>
      <c r="G63" s="556"/>
      <c r="H63" s="555"/>
      <c r="I63" s="546"/>
    </row>
    <row r="64" spans="1:9" ht="62.25" customHeight="1">
      <c r="A64" s="677" t="s">
        <v>894</v>
      </c>
      <c r="B64" s="677"/>
      <c r="C64" s="677"/>
      <c r="D64" s="677"/>
      <c r="E64" s="677"/>
      <c r="F64" s="677"/>
      <c r="G64" s="677"/>
      <c r="H64" s="677"/>
      <c r="I64" s="546"/>
    </row>
    <row r="65" spans="1:9" ht="15">
      <c r="A65" s="557"/>
      <c r="B65" s="555"/>
      <c r="C65" s="555"/>
      <c r="D65" s="555"/>
      <c r="E65" s="555"/>
      <c r="F65" s="555"/>
      <c r="G65" s="556"/>
      <c r="H65" s="555"/>
      <c r="I65" s="546"/>
    </row>
    <row r="66" spans="1:9" ht="15">
      <c r="A66" s="557" t="s">
        <v>463</v>
      </c>
      <c r="B66" s="555"/>
      <c r="C66" s="555"/>
      <c r="D66" s="555"/>
      <c r="E66" s="555"/>
      <c r="F66" s="555"/>
      <c r="G66" s="556"/>
      <c r="H66" s="558">
        <f>+'[8]ESTIMACION'!J32</f>
        <v>475000000</v>
      </c>
      <c r="I66" s="546"/>
    </row>
    <row r="67" spans="1:9" ht="15" thickBot="1">
      <c r="A67" s="555"/>
      <c r="B67" s="555"/>
      <c r="C67" s="555"/>
      <c r="D67" s="555"/>
      <c r="E67" s="555"/>
      <c r="F67" s="555"/>
      <c r="G67" s="556"/>
      <c r="H67" s="555"/>
      <c r="I67" s="546"/>
    </row>
    <row r="68" spans="1:9" ht="15.75" thickBot="1">
      <c r="A68" s="551" t="str">
        <f>+'[8]ESTIMACION'!A33</f>
        <v>1.1.9.1.02.00.0.0.000</v>
      </c>
      <c r="B68" s="676" t="str">
        <f>+'[8]ESTIMACION'!B33</f>
        <v>Timbres Parq. Nac. Ley 7788 </v>
      </c>
      <c r="C68" s="676"/>
      <c r="D68" s="676"/>
      <c r="E68" s="676"/>
      <c r="F68" s="676"/>
      <c r="G68" s="552">
        <f>+H73</f>
        <v>84000000</v>
      </c>
      <c r="H68" s="553">
        <f>+G68/'[8]ESTIMACION'!I121</f>
        <v>0.004024462985720343</v>
      </c>
      <c r="I68" s="546"/>
    </row>
    <row r="69" spans="1:9" ht="14.25">
      <c r="A69" s="555"/>
      <c r="B69" s="555"/>
      <c r="C69" s="555"/>
      <c r="D69" s="555"/>
      <c r="E69" s="555"/>
      <c r="F69" s="555"/>
      <c r="G69" s="556"/>
      <c r="H69" s="555"/>
      <c r="I69" s="546"/>
    </row>
    <row r="70" spans="1:9" ht="15">
      <c r="A70" s="557" t="s">
        <v>198</v>
      </c>
      <c r="B70" s="555"/>
      <c r="C70" s="555"/>
      <c r="D70" s="555"/>
      <c r="E70" s="555"/>
      <c r="F70" s="555"/>
      <c r="G70" s="556"/>
      <c r="H70" s="555"/>
      <c r="I70" s="546"/>
    </row>
    <row r="71" spans="1:9" ht="30.75" customHeight="1">
      <c r="A71" s="677" t="s">
        <v>895</v>
      </c>
      <c r="B71" s="677"/>
      <c r="C71" s="677"/>
      <c r="D71" s="677"/>
      <c r="E71" s="677"/>
      <c r="F71" s="677"/>
      <c r="G71" s="677"/>
      <c r="H71" s="677"/>
      <c r="I71" s="546"/>
    </row>
    <row r="72" spans="1:9" ht="14.25">
      <c r="A72" s="548"/>
      <c r="B72" s="548"/>
      <c r="C72" s="548"/>
      <c r="D72" s="548"/>
      <c r="E72" s="548"/>
      <c r="F72" s="548"/>
      <c r="G72" s="559"/>
      <c r="H72" s="548"/>
      <c r="I72" s="546"/>
    </row>
    <row r="73" spans="1:9" ht="15">
      <c r="A73" s="557" t="s">
        <v>463</v>
      </c>
      <c r="B73" s="555"/>
      <c r="C73" s="555"/>
      <c r="D73" s="555"/>
      <c r="E73" s="555"/>
      <c r="F73" s="555"/>
      <c r="G73" s="556"/>
      <c r="H73" s="558">
        <f>'[8]ESTIMACION'!J33</f>
        <v>84000000</v>
      </c>
      <c r="I73" s="546"/>
    </row>
    <row r="74" spans="1:9" ht="15" thickBot="1">
      <c r="A74" s="555"/>
      <c r="B74" s="555"/>
      <c r="C74" s="555"/>
      <c r="D74" s="555"/>
      <c r="E74" s="555"/>
      <c r="F74" s="555"/>
      <c r="G74" s="556"/>
      <c r="H74" s="555"/>
      <c r="I74" s="546"/>
    </row>
    <row r="75" spans="1:9" ht="15.75" thickBot="1">
      <c r="A75" s="565" t="str">
        <f>+'[8]ESTIMACION'!A38</f>
        <v>1.3.1.1.05.00.0.0.000</v>
      </c>
      <c r="B75" s="676" t="str">
        <f>+'[8]ESTIMACION'!B38</f>
        <v>Venta de agua</v>
      </c>
      <c r="C75" s="676"/>
      <c r="D75" s="676"/>
      <c r="E75" s="676"/>
      <c r="F75" s="676"/>
      <c r="G75" s="552">
        <f>+H80</f>
        <v>2665000000</v>
      </c>
      <c r="H75" s="553">
        <f>+G75/'[8]ESTIMACION'!I121</f>
        <v>0.12768087924934182</v>
      </c>
      <c r="I75" s="546"/>
    </row>
    <row r="76" spans="1:9" ht="14.25">
      <c r="A76" s="555"/>
      <c r="B76" s="555"/>
      <c r="C76" s="555"/>
      <c r="D76" s="555"/>
      <c r="E76" s="555"/>
      <c r="F76" s="555"/>
      <c r="G76" s="556"/>
      <c r="H76" s="555"/>
      <c r="I76" s="546"/>
    </row>
    <row r="77" spans="1:9" ht="15">
      <c r="A77" s="557" t="s">
        <v>198</v>
      </c>
      <c r="B77" s="555"/>
      <c r="C77" s="555"/>
      <c r="D77" s="555"/>
      <c r="E77" s="555"/>
      <c r="F77" s="555"/>
      <c r="G77" s="556"/>
      <c r="H77" s="555"/>
      <c r="I77" s="546"/>
    </row>
    <row r="78" spans="1:9" ht="60.75" customHeight="1">
      <c r="A78" s="677" t="s">
        <v>896</v>
      </c>
      <c r="B78" s="677"/>
      <c r="C78" s="677"/>
      <c r="D78" s="677"/>
      <c r="E78" s="677"/>
      <c r="F78" s="677"/>
      <c r="G78" s="677"/>
      <c r="H78" s="677"/>
      <c r="I78" s="546"/>
    </row>
    <row r="79" spans="1:9" ht="15">
      <c r="A79" s="557"/>
      <c r="B79" s="555"/>
      <c r="C79" s="555"/>
      <c r="D79" s="555"/>
      <c r="E79" s="555"/>
      <c r="F79" s="555"/>
      <c r="G79" s="556"/>
      <c r="H79" s="555"/>
      <c r="I79" s="546"/>
    </row>
    <row r="80" spans="1:9" ht="15">
      <c r="A80" s="557" t="s">
        <v>463</v>
      </c>
      <c r="B80" s="555"/>
      <c r="C80" s="555"/>
      <c r="D80" s="555"/>
      <c r="E80" s="555"/>
      <c r="F80" s="555"/>
      <c r="G80" s="556"/>
      <c r="H80" s="558">
        <f>'[8]ESTIMACION'!J38</f>
        <v>2665000000</v>
      </c>
      <c r="I80" s="546"/>
    </row>
    <row r="81" spans="1:9" ht="15.75" thickBot="1">
      <c r="A81" s="557"/>
      <c r="B81" s="555"/>
      <c r="C81" s="555"/>
      <c r="D81" s="555"/>
      <c r="E81" s="555"/>
      <c r="F81" s="555"/>
      <c r="G81" s="556"/>
      <c r="H81" s="558"/>
      <c r="I81" s="546"/>
    </row>
    <row r="82" spans="1:9" ht="15.75" thickBot="1">
      <c r="A82" s="565" t="s">
        <v>67</v>
      </c>
      <c r="B82" s="676" t="str">
        <f>+'[8]ESTIMACION'!B43</f>
        <v>Alquiler de mercado</v>
      </c>
      <c r="C82" s="676"/>
      <c r="D82" s="676"/>
      <c r="E82" s="676"/>
      <c r="F82" s="676"/>
      <c r="G82" s="552">
        <f>+H87</f>
        <v>277360000</v>
      </c>
      <c r="H82" s="553">
        <f>+G82/'[8]ESTIMACION'!I121</f>
        <v>0.013288393496659456</v>
      </c>
      <c r="I82" s="546"/>
    </row>
    <row r="83" spans="1:9" ht="14.25">
      <c r="A83" s="555"/>
      <c r="B83" s="555"/>
      <c r="C83" s="555"/>
      <c r="D83" s="555"/>
      <c r="E83" s="555"/>
      <c r="F83" s="555"/>
      <c r="G83" s="556"/>
      <c r="H83" s="555"/>
      <c r="I83" s="546"/>
    </row>
    <row r="84" spans="1:9" ht="15">
      <c r="A84" s="557" t="s">
        <v>198</v>
      </c>
      <c r="B84" s="555"/>
      <c r="C84" s="555"/>
      <c r="D84" s="555"/>
      <c r="E84" s="555"/>
      <c r="F84" s="555"/>
      <c r="G84" s="556"/>
      <c r="H84" s="555"/>
      <c r="I84" s="546"/>
    </row>
    <row r="85" spans="1:9" ht="30.75" customHeight="1">
      <c r="A85" s="677" t="s">
        <v>897</v>
      </c>
      <c r="B85" s="677"/>
      <c r="C85" s="677"/>
      <c r="D85" s="677"/>
      <c r="E85" s="677"/>
      <c r="F85" s="677"/>
      <c r="G85" s="677"/>
      <c r="H85" s="677"/>
      <c r="I85" s="546"/>
    </row>
    <row r="86" spans="1:9" ht="15">
      <c r="A86" s="557"/>
      <c r="B86" s="555"/>
      <c r="C86" s="555"/>
      <c r="D86" s="555"/>
      <c r="E86" s="555"/>
      <c r="F86" s="555"/>
      <c r="G86" s="556"/>
      <c r="H86" s="555"/>
      <c r="I86" s="546"/>
    </row>
    <row r="87" spans="1:9" ht="15">
      <c r="A87" s="557" t="s">
        <v>463</v>
      </c>
      <c r="B87" s="555"/>
      <c r="C87" s="555"/>
      <c r="D87" s="555"/>
      <c r="E87" s="555"/>
      <c r="F87" s="555"/>
      <c r="G87" s="556"/>
      <c r="H87" s="558">
        <f>'[8]ESTIMACION'!J43</f>
        <v>277360000</v>
      </c>
      <c r="I87" s="546"/>
    </row>
    <row r="88" spans="1:9" ht="15.75" thickBot="1">
      <c r="A88" s="557"/>
      <c r="B88" s="555"/>
      <c r="C88" s="555"/>
      <c r="D88" s="555"/>
      <c r="E88" s="555"/>
      <c r="F88" s="555"/>
      <c r="G88" s="556"/>
      <c r="H88" s="558"/>
      <c r="I88" s="546"/>
    </row>
    <row r="89" spans="1:9" ht="15.75" thickBot="1">
      <c r="A89" s="565" t="s">
        <v>71</v>
      </c>
      <c r="B89" s="676" t="str">
        <f>+'[8]ESTIMACION'!B45</f>
        <v>Otros Alquileres</v>
      </c>
      <c r="C89" s="676"/>
      <c r="D89" s="676"/>
      <c r="E89" s="676"/>
      <c r="F89" s="676"/>
      <c r="G89" s="552">
        <f>+H94</f>
        <v>800000</v>
      </c>
      <c r="H89" s="553">
        <f>+G89/'[8]ESTIMACION'!I121</f>
        <v>3.832821891162231E-05</v>
      </c>
      <c r="I89" s="546"/>
    </row>
    <row r="90" spans="1:9" ht="14.25">
      <c r="A90" s="555"/>
      <c r="B90" s="555"/>
      <c r="C90" s="555"/>
      <c r="D90" s="555"/>
      <c r="E90" s="555"/>
      <c r="F90" s="555"/>
      <c r="G90" s="556"/>
      <c r="H90" s="555"/>
      <c r="I90" s="546"/>
    </row>
    <row r="91" spans="1:9" ht="15">
      <c r="A91" s="557" t="s">
        <v>198</v>
      </c>
      <c r="B91" s="555"/>
      <c r="C91" s="555"/>
      <c r="D91" s="555"/>
      <c r="E91" s="555"/>
      <c r="F91" s="555"/>
      <c r="G91" s="556"/>
      <c r="H91" s="555"/>
      <c r="I91" s="546"/>
    </row>
    <row r="92" spans="1:9" ht="33.75" customHeight="1">
      <c r="A92" s="677" t="s">
        <v>898</v>
      </c>
      <c r="B92" s="677"/>
      <c r="C92" s="677"/>
      <c r="D92" s="677"/>
      <c r="E92" s="677"/>
      <c r="F92" s="677"/>
      <c r="G92" s="677"/>
      <c r="H92" s="677"/>
      <c r="I92" s="546"/>
    </row>
    <row r="93" spans="1:9" ht="15">
      <c r="A93" s="557"/>
      <c r="B93" s="555"/>
      <c r="C93" s="555"/>
      <c r="D93" s="555"/>
      <c r="E93" s="555"/>
      <c r="F93" s="555"/>
      <c r="G93" s="556"/>
      <c r="H93" s="555"/>
      <c r="I93" s="546"/>
    </row>
    <row r="94" spans="1:9" ht="15">
      <c r="A94" s="557" t="s">
        <v>463</v>
      </c>
      <c r="B94" s="555"/>
      <c r="C94" s="555"/>
      <c r="D94" s="555"/>
      <c r="E94" s="555"/>
      <c r="F94" s="555"/>
      <c r="G94" s="556"/>
      <c r="H94" s="558">
        <f>'[8]ESTIMACION'!J45</f>
        <v>800000</v>
      </c>
      <c r="I94" s="546"/>
    </row>
    <row r="95" spans="1:9" ht="15" thickBot="1">
      <c r="A95" s="555"/>
      <c r="B95" s="555"/>
      <c r="C95" s="555"/>
      <c r="D95" s="555"/>
      <c r="E95" s="555"/>
      <c r="F95" s="555"/>
      <c r="G95" s="556"/>
      <c r="H95" s="555"/>
      <c r="I95" s="546"/>
    </row>
    <row r="96" spans="1:9" ht="15.75" thickBot="1">
      <c r="A96" s="565" t="s">
        <v>75</v>
      </c>
      <c r="B96" s="676" t="str">
        <f>+'[8]ESTIMACION'!B48</f>
        <v>Servicio de Alcantarillado Sanitario</v>
      </c>
      <c r="C96" s="676"/>
      <c r="D96" s="676"/>
      <c r="E96" s="676"/>
      <c r="F96" s="676"/>
      <c r="G96" s="552">
        <f>+H101</f>
        <v>650000000</v>
      </c>
      <c r="H96" s="553">
        <f>+G96/'[8]ESTIMACION'!I121</f>
        <v>0.03114167786569313</v>
      </c>
      <c r="I96" s="546"/>
    </row>
    <row r="97" spans="1:9" ht="14.25">
      <c r="A97" s="555"/>
      <c r="B97" s="555"/>
      <c r="C97" s="555"/>
      <c r="D97" s="555"/>
      <c r="E97" s="555"/>
      <c r="F97" s="555"/>
      <c r="G97" s="556"/>
      <c r="H97" s="555"/>
      <c r="I97" s="546"/>
    </row>
    <row r="98" spans="1:9" ht="15">
      <c r="A98" s="557" t="s">
        <v>198</v>
      </c>
      <c r="B98" s="555"/>
      <c r="C98" s="555"/>
      <c r="D98" s="555"/>
      <c r="E98" s="555"/>
      <c r="F98" s="555"/>
      <c r="G98" s="556"/>
      <c r="H98" s="555"/>
      <c r="I98" s="546"/>
    </row>
    <row r="99" spans="1:9" ht="45" customHeight="1">
      <c r="A99" s="677" t="s">
        <v>899</v>
      </c>
      <c r="B99" s="677"/>
      <c r="C99" s="677"/>
      <c r="D99" s="677"/>
      <c r="E99" s="677"/>
      <c r="F99" s="677"/>
      <c r="G99" s="677"/>
      <c r="H99" s="677"/>
      <c r="I99" s="546"/>
    </row>
    <row r="100" spans="1:9" ht="14.25">
      <c r="A100" s="548"/>
      <c r="B100" s="548"/>
      <c r="C100" s="548"/>
      <c r="D100" s="548"/>
      <c r="E100" s="548"/>
      <c r="F100" s="548"/>
      <c r="G100" s="559"/>
      <c r="H100" s="548"/>
      <c r="I100" s="546"/>
    </row>
    <row r="101" spans="1:9" ht="15">
      <c r="A101" s="557" t="s">
        <v>463</v>
      </c>
      <c r="B101" s="555"/>
      <c r="C101" s="555"/>
      <c r="D101" s="555"/>
      <c r="E101" s="555"/>
      <c r="F101" s="555"/>
      <c r="G101" s="556"/>
      <c r="H101" s="558">
        <f>+'[8]ESTIMACION'!J48</f>
        <v>650000000</v>
      </c>
      <c r="I101" s="546"/>
    </row>
    <row r="102" spans="1:9" ht="15.75" thickBot="1">
      <c r="A102" s="557"/>
      <c r="B102" s="555"/>
      <c r="C102" s="555"/>
      <c r="D102" s="555"/>
      <c r="E102" s="555"/>
      <c r="F102" s="555"/>
      <c r="G102" s="556"/>
      <c r="H102" s="558"/>
      <c r="I102" s="546"/>
    </row>
    <row r="103" spans="1:9" ht="15.75" thickBot="1">
      <c r="A103" s="565" t="s">
        <v>75</v>
      </c>
      <c r="B103" s="676" t="str">
        <f>+'[8]ESTIMACION'!B49</f>
        <v>Servicio de Alcantarillado pluvial</v>
      </c>
      <c r="C103" s="676"/>
      <c r="D103" s="676"/>
      <c r="E103" s="676"/>
      <c r="F103" s="676"/>
      <c r="G103" s="552">
        <f>+H108</f>
        <v>543600000</v>
      </c>
      <c r="H103" s="553"/>
      <c r="I103" s="546"/>
    </row>
    <row r="104" spans="1:9" ht="15">
      <c r="A104" s="557"/>
      <c r="B104" s="555"/>
      <c r="C104" s="555"/>
      <c r="D104" s="555"/>
      <c r="E104" s="555"/>
      <c r="F104" s="555"/>
      <c r="G104" s="556"/>
      <c r="H104" s="558"/>
      <c r="I104" s="546"/>
    </row>
    <row r="105" spans="1:9" ht="15">
      <c r="A105" s="557" t="s">
        <v>198</v>
      </c>
      <c r="B105" s="555"/>
      <c r="C105" s="555"/>
      <c r="D105" s="555"/>
      <c r="E105" s="555"/>
      <c r="F105" s="555"/>
      <c r="G105" s="556"/>
      <c r="H105" s="555"/>
      <c r="I105" s="546"/>
    </row>
    <row r="106" spans="1:9" ht="45.75" customHeight="1">
      <c r="A106" s="677" t="s">
        <v>900</v>
      </c>
      <c r="B106" s="677"/>
      <c r="C106" s="677"/>
      <c r="D106" s="677"/>
      <c r="E106" s="677"/>
      <c r="F106" s="677"/>
      <c r="G106" s="677"/>
      <c r="H106" s="677"/>
      <c r="I106" s="546"/>
    </row>
    <row r="107" spans="1:9" ht="14.25">
      <c r="A107" s="548"/>
      <c r="B107" s="548"/>
      <c r="C107" s="548"/>
      <c r="D107" s="548"/>
      <c r="E107" s="548"/>
      <c r="F107" s="548"/>
      <c r="G107" s="559"/>
      <c r="H107" s="548"/>
      <c r="I107" s="546"/>
    </row>
    <row r="108" spans="1:9" ht="15">
      <c r="A108" s="557" t="s">
        <v>463</v>
      </c>
      <c r="B108" s="555"/>
      <c r="C108" s="555"/>
      <c r="D108" s="555"/>
      <c r="E108" s="555"/>
      <c r="F108" s="555"/>
      <c r="G108" s="556"/>
      <c r="H108" s="558">
        <f>+'[8]ESTIMACION'!J49</f>
        <v>543600000</v>
      </c>
      <c r="I108" s="546"/>
    </row>
    <row r="109" spans="1:9" ht="15.75" thickBot="1">
      <c r="A109" s="557"/>
      <c r="B109" s="555"/>
      <c r="C109" s="555"/>
      <c r="D109" s="555"/>
      <c r="E109" s="555"/>
      <c r="F109" s="555"/>
      <c r="G109" s="556"/>
      <c r="H109" s="558"/>
      <c r="I109" s="546"/>
    </row>
    <row r="110" spans="1:9" ht="15.75" thickBot="1">
      <c r="A110" s="565" t="s">
        <v>79</v>
      </c>
      <c r="B110" s="676" t="str">
        <f>+'[8]ESTIMACION'!B50</f>
        <v>Servicio de instalación y derivación del Agua</v>
      </c>
      <c r="C110" s="676"/>
      <c r="D110" s="676"/>
      <c r="E110" s="676"/>
      <c r="F110" s="676"/>
      <c r="G110" s="552">
        <f>+H115</f>
        <v>60000000</v>
      </c>
      <c r="H110" s="553">
        <f>+G110/'[8]ESTIMACION'!I121</f>
        <v>0.0028746164183716737</v>
      </c>
      <c r="I110" s="546"/>
    </row>
    <row r="111" spans="1:9" ht="16.5" customHeight="1">
      <c r="A111" s="555"/>
      <c r="B111" s="555"/>
      <c r="C111" s="555"/>
      <c r="D111" s="555"/>
      <c r="E111" s="555"/>
      <c r="F111" s="555"/>
      <c r="G111" s="556"/>
      <c r="H111" s="555"/>
      <c r="I111" s="546"/>
    </row>
    <row r="112" spans="1:9" ht="15">
      <c r="A112" s="557" t="s">
        <v>198</v>
      </c>
      <c r="B112" s="555"/>
      <c r="C112" s="555"/>
      <c r="D112" s="555"/>
      <c r="E112" s="555"/>
      <c r="F112" s="555"/>
      <c r="G112" s="556"/>
      <c r="H112" s="555"/>
      <c r="I112" s="546"/>
    </row>
    <row r="113" spans="1:9" ht="31.5" customHeight="1">
      <c r="A113" s="677" t="s">
        <v>901</v>
      </c>
      <c r="B113" s="677"/>
      <c r="C113" s="677"/>
      <c r="D113" s="677"/>
      <c r="E113" s="677"/>
      <c r="F113" s="677"/>
      <c r="G113" s="677"/>
      <c r="H113" s="677"/>
      <c r="I113" s="546"/>
    </row>
    <row r="114" spans="1:9" ht="14.25">
      <c r="A114" s="548"/>
      <c r="B114" s="548"/>
      <c r="C114" s="548"/>
      <c r="D114" s="548"/>
      <c r="E114" s="548"/>
      <c r="F114" s="548"/>
      <c r="G114" s="559"/>
      <c r="H114" s="548"/>
      <c r="I114" s="546"/>
    </row>
    <row r="115" spans="1:9" ht="15">
      <c r="A115" s="557" t="s">
        <v>463</v>
      </c>
      <c r="B115" s="555"/>
      <c r="C115" s="555"/>
      <c r="D115" s="555"/>
      <c r="E115" s="555"/>
      <c r="F115" s="555"/>
      <c r="G115" s="556"/>
      <c r="H115" s="558">
        <f>'[8]ESTIMACION'!J51</f>
        <v>60000000</v>
      </c>
      <c r="I115" s="546"/>
    </row>
    <row r="116" spans="1:9" ht="15" thickBot="1">
      <c r="A116" s="555"/>
      <c r="B116" s="555"/>
      <c r="C116" s="555"/>
      <c r="D116" s="555"/>
      <c r="E116" s="555"/>
      <c r="F116" s="555"/>
      <c r="G116" s="556"/>
      <c r="H116" s="555"/>
      <c r="I116" s="546"/>
    </row>
    <row r="117" spans="1:9" ht="15.75" hidden="1" thickBot="1">
      <c r="A117" s="565" t="s">
        <v>79</v>
      </c>
      <c r="B117" s="676" t="str">
        <f>+'[8]ESTIMACION'!B52</f>
        <v>Estudio de Consumo y fugas</v>
      </c>
      <c r="C117" s="676"/>
      <c r="D117" s="676"/>
      <c r="E117" s="676"/>
      <c r="F117" s="676"/>
      <c r="G117" s="552">
        <f>+'[8]ESTIMACION'!H52</f>
        <v>0</v>
      </c>
      <c r="H117" s="553">
        <f>+G117/'[8]ESTIMACION'!I121</f>
        <v>0</v>
      </c>
      <c r="I117" s="546"/>
    </row>
    <row r="118" spans="1:9" ht="15" hidden="1" thickBot="1">
      <c r="A118" s="555"/>
      <c r="B118" s="555"/>
      <c r="C118" s="555"/>
      <c r="D118" s="555"/>
      <c r="E118" s="555"/>
      <c r="F118" s="555"/>
      <c r="G118" s="556"/>
      <c r="H118" s="555"/>
      <c r="I118" s="546"/>
    </row>
    <row r="119" spans="1:9" ht="15.75" hidden="1" thickBot="1">
      <c r="A119" s="557" t="s">
        <v>198</v>
      </c>
      <c r="B119" s="555"/>
      <c r="C119" s="555"/>
      <c r="D119" s="555"/>
      <c r="E119" s="555"/>
      <c r="F119" s="555"/>
      <c r="G119" s="556"/>
      <c r="H119" s="555"/>
      <c r="I119" s="546"/>
    </row>
    <row r="120" spans="1:9" ht="23.25" customHeight="1" hidden="1">
      <c r="A120" s="677" t="s">
        <v>902</v>
      </c>
      <c r="B120" s="677"/>
      <c r="C120" s="677"/>
      <c r="D120" s="677"/>
      <c r="E120" s="677"/>
      <c r="F120" s="677"/>
      <c r="G120" s="677"/>
      <c r="H120" s="677"/>
      <c r="I120" s="546"/>
    </row>
    <row r="121" spans="1:9" ht="15.75" hidden="1" thickBot="1">
      <c r="A121" s="557"/>
      <c r="B121" s="555"/>
      <c r="C121" s="555"/>
      <c r="D121" s="555"/>
      <c r="E121" s="555"/>
      <c r="F121" s="555"/>
      <c r="G121" s="556"/>
      <c r="H121" s="555"/>
      <c r="I121" s="546"/>
    </row>
    <row r="122" spans="1:9" ht="15.75" hidden="1" thickBot="1">
      <c r="A122" s="557" t="s">
        <v>463</v>
      </c>
      <c r="B122" s="555"/>
      <c r="C122" s="555"/>
      <c r="D122" s="555"/>
      <c r="E122" s="555"/>
      <c r="F122" s="555"/>
      <c r="G122" s="556"/>
      <c r="H122" s="558">
        <f>+'[8]ESTIMACION'!H52</f>
        <v>0</v>
      </c>
      <c r="I122" s="546"/>
    </row>
    <row r="123" spans="1:9" ht="15.75" hidden="1" thickBot="1">
      <c r="A123" s="557"/>
      <c r="B123" s="555"/>
      <c r="C123" s="555"/>
      <c r="D123" s="555"/>
      <c r="E123" s="555"/>
      <c r="F123" s="555"/>
      <c r="G123" s="556"/>
      <c r="H123" s="558"/>
      <c r="I123" s="546"/>
    </row>
    <row r="124" spans="1:9" ht="15.75" thickBot="1">
      <c r="A124" s="565" t="s">
        <v>87</v>
      </c>
      <c r="B124" s="676" t="str">
        <f>+'[8]ESTIMACION'!B54</f>
        <v>Servicio de recolección de basura</v>
      </c>
      <c r="C124" s="676"/>
      <c r="D124" s="676"/>
      <c r="E124" s="676"/>
      <c r="F124" s="676"/>
      <c r="G124" s="552">
        <f>+H129</f>
        <v>3080000000</v>
      </c>
      <c r="H124" s="553">
        <f>+G124/'[8]ESTIMACION'!I121</f>
        <v>0.1475636428097459</v>
      </c>
      <c r="I124" s="546"/>
    </row>
    <row r="125" spans="1:9" ht="14.25">
      <c r="A125" s="555"/>
      <c r="B125" s="555"/>
      <c r="C125" s="555"/>
      <c r="D125" s="555"/>
      <c r="E125" s="555"/>
      <c r="F125" s="555"/>
      <c r="G125" s="556"/>
      <c r="H125" s="555"/>
      <c r="I125" s="546"/>
    </row>
    <row r="126" spans="1:9" ht="15">
      <c r="A126" s="557" t="s">
        <v>198</v>
      </c>
      <c r="B126" s="555"/>
      <c r="C126" s="555"/>
      <c r="D126" s="555"/>
      <c r="E126" s="555"/>
      <c r="F126" s="555"/>
      <c r="G126" s="556"/>
      <c r="H126" s="555"/>
      <c r="I126" s="546"/>
    </row>
    <row r="127" spans="1:9" ht="59.25" customHeight="1">
      <c r="A127" s="677" t="s">
        <v>903</v>
      </c>
      <c r="B127" s="677"/>
      <c r="C127" s="677"/>
      <c r="D127" s="677"/>
      <c r="E127" s="677"/>
      <c r="F127" s="677"/>
      <c r="G127" s="677"/>
      <c r="H127" s="677"/>
      <c r="I127" s="546"/>
    </row>
    <row r="128" spans="1:9" ht="15">
      <c r="A128" s="557"/>
      <c r="B128" s="555"/>
      <c r="C128" s="555"/>
      <c r="D128" s="555"/>
      <c r="E128" s="555"/>
      <c r="F128" s="555"/>
      <c r="G128" s="556"/>
      <c r="H128" s="555"/>
      <c r="I128" s="546"/>
    </row>
    <row r="129" spans="1:9" ht="15">
      <c r="A129" s="557" t="s">
        <v>463</v>
      </c>
      <c r="B129" s="555"/>
      <c r="C129" s="555"/>
      <c r="D129" s="555"/>
      <c r="E129" s="555"/>
      <c r="F129" s="555"/>
      <c r="G129" s="556"/>
      <c r="H129" s="558">
        <f>'[8]ESTIMACION'!J54</f>
        <v>3080000000</v>
      </c>
      <c r="I129" s="546"/>
    </row>
    <row r="130" spans="1:9" ht="15" thickBot="1">
      <c r="A130" s="555"/>
      <c r="B130" s="555"/>
      <c r="C130" s="555"/>
      <c r="D130" s="555"/>
      <c r="E130" s="555"/>
      <c r="F130" s="555"/>
      <c r="G130" s="556"/>
      <c r="H130" s="555"/>
      <c r="I130" s="546"/>
    </row>
    <row r="131" spans="1:9" ht="15.75" thickBot="1">
      <c r="A131" s="565" t="s">
        <v>89</v>
      </c>
      <c r="B131" s="676" t="str">
        <f>+'[8]ESTIMACION'!B55</f>
        <v>Servicio de aseo de vías y sitios públicos</v>
      </c>
      <c r="C131" s="676"/>
      <c r="D131" s="676"/>
      <c r="E131" s="676"/>
      <c r="F131" s="676"/>
      <c r="G131" s="552">
        <f>+H136</f>
        <v>456500000</v>
      </c>
      <c r="H131" s="553">
        <f>+G131/'[8]ESTIMACION'!I121</f>
        <v>0.02187103991644448</v>
      </c>
      <c r="I131" s="546"/>
    </row>
    <row r="132" spans="1:9" ht="14.25">
      <c r="A132" s="555"/>
      <c r="B132" s="555"/>
      <c r="C132" s="555"/>
      <c r="D132" s="555"/>
      <c r="E132" s="555"/>
      <c r="F132" s="555"/>
      <c r="G132" s="556"/>
      <c r="H132" s="555"/>
      <c r="I132" s="546"/>
    </row>
    <row r="133" spans="1:9" ht="18" customHeight="1">
      <c r="A133" s="557" t="s">
        <v>198</v>
      </c>
      <c r="B133" s="555"/>
      <c r="C133" s="555"/>
      <c r="D133" s="555"/>
      <c r="E133" s="555"/>
      <c r="F133" s="555"/>
      <c r="G133" s="556"/>
      <c r="H133" s="555"/>
      <c r="I133" s="546"/>
    </row>
    <row r="134" spans="1:9" ht="60.75" customHeight="1">
      <c r="A134" s="677" t="s">
        <v>904</v>
      </c>
      <c r="B134" s="677"/>
      <c r="C134" s="677"/>
      <c r="D134" s="677"/>
      <c r="E134" s="677"/>
      <c r="F134" s="677"/>
      <c r="G134" s="677"/>
      <c r="H134" s="677"/>
      <c r="I134" s="546"/>
    </row>
    <row r="135" spans="1:9" ht="14.25">
      <c r="A135" s="548"/>
      <c r="B135" s="548"/>
      <c r="C135" s="548"/>
      <c r="D135" s="548"/>
      <c r="E135" s="548"/>
      <c r="F135" s="548"/>
      <c r="G135" s="559"/>
      <c r="H135" s="548"/>
      <c r="I135" s="546"/>
    </row>
    <row r="136" spans="1:9" ht="15">
      <c r="A136" s="557" t="s">
        <v>463</v>
      </c>
      <c r="B136" s="555"/>
      <c r="C136" s="555"/>
      <c r="D136" s="555"/>
      <c r="E136" s="555"/>
      <c r="F136" s="555"/>
      <c r="G136" s="556"/>
      <c r="H136" s="558">
        <f>'[8]ESTIMACION'!J55</f>
        <v>456500000</v>
      </c>
      <c r="I136" s="546"/>
    </row>
    <row r="137" spans="1:9" ht="15" thickBot="1">
      <c r="A137" s="555"/>
      <c r="B137" s="555"/>
      <c r="C137" s="555"/>
      <c r="D137" s="555"/>
      <c r="E137" s="555"/>
      <c r="F137" s="555"/>
      <c r="G137" s="556"/>
      <c r="H137" s="555"/>
      <c r="I137" s="546"/>
    </row>
    <row r="138" spans="1:9" ht="15.75" thickBot="1">
      <c r="A138" s="565" t="s">
        <v>91</v>
      </c>
      <c r="B138" s="676" t="str">
        <f>+'[8]ESTIMACION'!B56</f>
        <v>Servicio de Parques y Obras de Ornato</v>
      </c>
      <c r="C138" s="676"/>
      <c r="D138" s="676"/>
      <c r="E138" s="676"/>
      <c r="F138" s="676"/>
      <c r="G138" s="552">
        <f>+H143</f>
        <v>239500000</v>
      </c>
      <c r="H138" s="553">
        <f>+G138/'[8]ESTIMACION'!I121</f>
        <v>0.01147451053666693</v>
      </c>
      <c r="I138" s="546"/>
    </row>
    <row r="139" spans="1:9" ht="14.25">
      <c r="A139" s="555"/>
      <c r="B139" s="555"/>
      <c r="C139" s="555"/>
      <c r="D139" s="555"/>
      <c r="E139" s="555"/>
      <c r="F139" s="555"/>
      <c r="G139" s="556"/>
      <c r="H139" s="555"/>
      <c r="I139" s="546"/>
    </row>
    <row r="140" spans="1:9" ht="15">
      <c r="A140" s="557" t="s">
        <v>198</v>
      </c>
      <c r="B140" s="555"/>
      <c r="C140" s="555"/>
      <c r="D140" s="555"/>
      <c r="E140" s="555"/>
      <c r="F140" s="555"/>
      <c r="G140" s="556"/>
      <c r="H140" s="555"/>
      <c r="I140" s="546"/>
    </row>
    <row r="141" spans="1:9" s="104" customFormat="1" ht="34.5" customHeight="1">
      <c r="A141" s="679" t="s">
        <v>905</v>
      </c>
      <c r="B141" s="679"/>
      <c r="C141" s="679"/>
      <c r="D141" s="679"/>
      <c r="E141" s="679"/>
      <c r="F141" s="679"/>
      <c r="G141" s="679"/>
      <c r="H141" s="679"/>
      <c r="I141" s="566"/>
    </row>
    <row r="142" spans="1:9" ht="15">
      <c r="A142" s="557"/>
      <c r="B142" s="555"/>
      <c r="C142" s="555"/>
      <c r="D142" s="555"/>
      <c r="E142" s="555"/>
      <c r="F142" s="555"/>
      <c r="G142" s="556"/>
      <c r="H142" s="555"/>
      <c r="I142" s="546"/>
    </row>
    <row r="143" spans="1:9" ht="15">
      <c r="A143" s="557" t="s">
        <v>463</v>
      </c>
      <c r="B143" s="555"/>
      <c r="C143" s="555"/>
      <c r="D143" s="555"/>
      <c r="E143" s="555"/>
      <c r="F143" s="555"/>
      <c r="G143" s="556"/>
      <c r="H143" s="558">
        <f>+'[8]ESTIMACION'!J56</f>
        <v>239500000</v>
      </c>
      <c r="I143" s="546"/>
    </row>
    <row r="144" spans="1:9" ht="15" thickBot="1">
      <c r="A144" s="555"/>
      <c r="B144" s="555"/>
      <c r="C144" s="555"/>
      <c r="D144" s="555"/>
      <c r="E144" s="555"/>
      <c r="F144" s="555"/>
      <c r="G144" s="556"/>
      <c r="H144" s="555"/>
      <c r="I144" s="546"/>
    </row>
    <row r="145" spans="1:9" ht="15.75" thickBot="1">
      <c r="A145" s="565" t="s">
        <v>93</v>
      </c>
      <c r="B145" s="676" t="str">
        <f>+'[8]ESTIMACION'!B57</f>
        <v>Incumplimiento deberes de los munícipes</v>
      </c>
      <c r="C145" s="676"/>
      <c r="D145" s="676"/>
      <c r="E145" s="676"/>
      <c r="F145" s="676"/>
      <c r="G145" s="552">
        <f>+H150</f>
        <v>28500000</v>
      </c>
      <c r="H145" s="553">
        <f>+G145/'[8]ESTIMACION'!I121</f>
        <v>0.0013654427987265449</v>
      </c>
      <c r="I145" s="546"/>
    </row>
    <row r="146" spans="1:9" ht="14.25">
      <c r="A146" s="555"/>
      <c r="B146" s="555"/>
      <c r="C146" s="555"/>
      <c r="D146" s="555"/>
      <c r="E146" s="555"/>
      <c r="F146" s="555"/>
      <c r="G146" s="556"/>
      <c r="H146" s="555"/>
      <c r="I146" s="546"/>
    </row>
    <row r="147" spans="1:9" ht="15">
      <c r="A147" s="557" t="s">
        <v>198</v>
      </c>
      <c r="B147" s="555"/>
      <c r="C147" s="555"/>
      <c r="D147" s="555"/>
      <c r="E147" s="555"/>
      <c r="F147" s="555"/>
      <c r="G147" s="556"/>
      <c r="H147" s="555"/>
      <c r="I147" s="546"/>
    </row>
    <row r="148" spans="1:9" ht="33" customHeight="1">
      <c r="A148" s="677" t="s">
        <v>906</v>
      </c>
      <c r="B148" s="677"/>
      <c r="C148" s="677"/>
      <c r="D148" s="677"/>
      <c r="E148" s="677"/>
      <c r="F148" s="677"/>
      <c r="G148" s="677"/>
      <c r="H148" s="677"/>
      <c r="I148" s="546"/>
    </row>
    <row r="149" spans="1:9" ht="15">
      <c r="A149" s="557"/>
      <c r="B149" s="555"/>
      <c r="C149" s="555"/>
      <c r="D149" s="555"/>
      <c r="E149" s="555"/>
      <c r="F149" s="555"/>
      <c r="G149" s="556"/>
      <c r="H149" s="555"/>
      <c r="I149" s="546"/>
    </row>
    <row r="150" spans="1:9" ht="15">
      <c r="A150" s="557" t="s">
        <v>463</v>
      </c>
      <c r="B150" s="555"/>
      <c r="C150" s="555"/>
      <c r="D150" s="555"/>
      <c r="E150" s="555"/>
      <c r="F150" s="555"/>
      <c r="G150" s="556"/>
      <c r="H150" s="558">
        <f>+'[8]ESTIMACION'!J57</f>
        <v>28500000</v>
      </c>
      <c r="I150" s="546"/>
    </row>
    <row r="151" spans="1:9" ht="15.75" thickBot="1">
      <c r="A151" s="557"/>
      <c r="B151" s="555"/>
      <c r="C151" s="555"/>
      <c r="D151" s="555"/>
      <c r="E151" s="555"/>
      <c r="F151" s="555"/>
      <c r="G151" s="556"/>
      <c r="H151" s="558"/>
      <c r="I151" s="546"/>
    </row>
    <row r="152" spans="1:9" ht="15.75" thickBot="1">
      <c r="A152" s="565" t="s">
        <v>907</v>
      </c>
      <c r="B152" s="676" t="s">
        <v>426</v>
      </c>
      <c r="C152" s="676"/>
      <c r="D152" s="676"/>
      <c r="E152" s="676"/>
      <c r="F152" s="676"/>
      <c r="G152" s="552">
        <f>+H157</f>
        <v>10000000</v>
      </c>
      <c r="H152" s="553">
        <f>+G152/'[8]ESTIMACION'!I121</f>
        <v>0.0004791027363952789</v>
      </c>
      <c r="I152" s="546"/>
    </row>
    <row r="153" spans="1:9" ht="14.25">
      <c r="A153" s="555"/>
      <c r="B153" s="555"/>
      <c r="C153" s="555"/>
      <c r="D153" s="555"/>
      <c r="E153" s="555"/>
      <c r="F153" s="555"/>
      <c r="G153" s="556"/>
      <c r="H153" s="555"/>
      <c r="I153" s="546"/>
    </row>
    <row r="154" spans="1:9" ht="15">
      <c r="A154" s="557" t="s">
        <v>198</v>
      </c>
      <c r="B154" s="555"/>
      <c r="C154" s="555"/>
      <c r="D154" s="555"/>
      <c r="E154" s="555"/>
      <c r="F154" s="555"/>
      <c r="G154" s="556"/>
      <c r="H154" s="555"/>
      <c r="I154" s="546"/>
    </row>
    <row r="155" spans="1:9" ht="32.25" customHeight="1">
      <c r="A155" s="678" t="s">
        <v>908</v>
      </c>
      <c r="B155" s="678"/>
      <c r="C155" s="678"/>
      <c r="D155" s="678"/>
      <c r="E155" s="678"/>
      <c r="F155" s="678"/>
      <c r="G155" s="678"/>
      <c r="H155" s="678"/>
      <c r="I155" s="546"/>
    </row>
    <row r="156" spans="1:9" ht="14.25">
      <c r="A156" s="567"/>
      <c r="B156" s="567"/>
      <c r="C156" s="567"/>
      <c r="D156" s="567"/>
      <c r="E156" s="567"/>
      <c r="F156" s="567"/>
      <c r="G156" s="568"/>
      <c r="H156" s="567"/>
      <c r="I156" s="546"/>
    </row>
    <row r="157" spans="1:9" ht="15">
      <c r="A157" s="557" t="s">
        <v>463</v>
      </c>
      <c r="B157" s="555"/>
      <c r="C157" s="555"/>
      <c r="D157" s="555"/>
      <c r="E157" s="555"/>
      <c r="F157" s="555"/>
      <c r="G157" s="556"/>
      <c r="H157" s="558">
        <f>+'[8]ESTIMACION'!J59</f>
        <v>10000000</v>
      </c>
      <c r="I157" s="546"/>
    </row>
    <row r="158" spans="1:9" ht="15.75" thickBot="1">
      <c r="A158" s="557"/>
      <c r="B158" s="555"/>
      <c r="C158" s="555"/>
      <c r="D158" s="555"/>
      <c r="E158" s="555"/>
      <c r="F158" s="555"/>
      <c r="G158" s="556"/>
      <c r="H158" s="558"/>
      <c r="I158" s="546"/>
    </row>
    <row r="159" spans="1:9" ht="19.5" customHeight="1" thickBot="1">
      <c r="A159" s="565" t="s">
        <v>909</v>
      </c>
      <c r="B159" s="676" t="s">
        <v>910</v>
      </c>
      <c r="C159" s="676"/>
      <c r="D159" s="676"/>
      <c r="E159" s="676"/>
      <c r="F159" s="676"/>
      <c r="G159" s="552">
        <f>+H164</f>
        <v>89964000</v>
      </c>
      <c r="H159" s="553">
        <f>+G159/'[8]ESTIMACION'!I121</f>
        <v>0.004310199857706487</v>
      </c>
      <c r="I159" s="546"/>
    </row>
    <row r="160" spans="1:9" ht="14.25">
      <c r="A160" s="555"/>
      <c r="B160" s="555"/>
      <c r="C160" s="555"/>
      <c r="D160" s="555"/>
      <c r="E160" s="555"/>
      <c r="F160" s="555"/>
      <c r="G160" s="556"/>
      <c r="H160" s="555"/>
      <c r="I160" s="546"/>
    </row>
    <row r="161" spans="1:9" ht="15">
      <c r="A161" s="557" t="s">
        <v>198</v>
      </c>
      <c r="B161" s="555"/>
      <c r="C161" s="555"/>
      <c r="D161" s="555"/>
      <c r="E161" s="555"/>
      <c r="F161" s="555"/>
      <c r="G161" s="556"/>
      <c r="H161" s="555"/>
      <c r="I161" s="546"/>
    </row>
    <row r="162" spans="1:9" ht="20.25" customHeight="1">
      <c r="A162" s="678" t="s">
        <v>911</v>
      </c>
      <c r="B162" s="678"/>
      <c r="C162" s="678"/>
      <c r="D162" s="678"/>
      <c r="E162" s="678"/>
      <c r="F162" s="678"/>
      <c r="G162" s="678"/>
      <c r="H162" s="678"/>
      <c r="I162" s="546"/>
    </row>
    <row r="163" spans="1:9" ht="14.25">
      <c r="A163" s="567"/>
      <c r="B163" s="567"/>
      <c r="C163" s="567"/>
      <c r="D163" s="567"/>
      <c r="E163" s="567"/>
      <c r="F163" s="567"/>
      <c r="G163" s="568"/>
      <c r="H163" s="567"/>
      <c r="I163" s="546"/>
    </row>
    <row r="164" spans="1:9" ht="15">
      <c r="A164" s="557" t="s">
        <v>463</v>
      </c>
      <c r="B164" s="555"/>
      <c r="C164" s="555"/>
      <c r="D164" s="555"/>
      <c r="E164" s="555"/>
      <c r="F164" s="555"/>
      <c r="G164" s="556"/>
      <c r="H164" s="558">
        <f>+'[8]ESTIMACION'!J60</f>
        <v>89964000</v>
      </c>
      <c r="I164" s="546"/>
    </row>
    <row r="165" spans="1:9" ht="15">
      <c r="A165" s="557"/>
      <c r="B165" s="555"/>
      <c r="C165" s="555"/>
      <c r="D165" s="555"/>
      <c r="E165" s="555"/>
      <c r="F165" s="555"/>
      <c r="G165" s="556"/>
      <c r="H165" s="558"/>
      <c r="I165" s="546"/>
    </row>
    <row r="166" spans="1:9" ht="15" thickBot="1">
      <c r="A166" s="555"/>
      <c r="B166" s="555"/>
      <c r="C166" s="555"/>
      <c r="D166" s="555"/>
      <c r="E166" s="555"/>
      <c r="F166" s="555"/>
      <c r="G166" s="556"/>
      <c r="H166" s="555"/>
      <c r="I166" s="546"/>
    </row>
    <row r="167" spans="1:9" ht="15.75" thickBot="1">
      <c r="A167" s="565" t="s">
        <v>106</v>
      </c>
      <c r="B167" s="676" t="str">
        <f>+'[8]ESTIMACION'!B64</f>
        <v>Derecho de estacionamiento y terminales</v>
      </c>
      <c r="C167" s="676"/>
      <c r="D167" s="676"/>
      <c r="E167" s="676"/>
      <c r="F167" s="676"/>
      <c r="G167" s="552">
        <f>+H172</f>
        <v>268750000</v>
      </c>
      <c r="H167" s="553">
        <f>+G167/'[8]ESTIMACION'!I121</f>
        <v>0.01287588604062312</v>
      </c>
      <c r="I167" s="546"/>
    </row>
    <row r="168" spans="1:9" ht="14.25">
      <c r="A168" s="555"/>
      <c r="B168" s="555"/>
      <c r="C168" s="555"/>
      <c r="D168" s="555"/>
      <c r="E168" s="555"/>
      <c r="F168" s="555"/>
      <c r="G168" s="556"/>
      <c r="H168" s="555"/>
      <c r="I168" s="546"/>
    </row>
    <row r="169" spans="1:9" ht="15">
      <c r="A169" s="557" t="s">
        <v>198</v>
      </c>
      <c r="B169" s="555"/>
      <c r="C169" s="555"/>
      <c r="D169" s="555"/>
      <c r="E169" s="555"/>
      <c r="F169" s="555"/>
      <c r="G169" s="556"/>
      <c r="H169" s="555"/>
      <c r="I169" s="546"/>
    </row>
    <row r="170" spans="1:9" ht="86.25" customHeight="1">
      <c r="A170" s="677" t="s">
        <v>912</v>
      </c>
      <c r="B170" s="677"/>
      <c r="C170" s="677"/>
      <c r="D170" s="677"/>
      <c r="E170" s="677"/>
      <c r="F170" s="677"/>
      <c r="G170" s="677"/>
      <c r="H170" s="677"/>
      <c r="I170" s="546"/>
    </row>
    <row r="171" spans="1:9" ht="15">
      <c r="A171" s="557"/>
      <c r="B171" s="555"/>
      <c r="C171" s="555"/>
      <c r="D171" s="555"/>
      <c r="E171" s="555"/>
      <c r="F171" s="555"/>
      <c r="G171" s="556"/>
      <c r="H171" s="555"/>
      <c r="I171" s="546"/>
    </row>
    <row r="172" spans="1:9" ht="15">
      <c r="A172" s="557" t="s">
        <v>463</v>
      </c>
      <c r="B172" s="555"/>
      <c r="C172" s="555"/>
      <c r="D172" s="555"/>
      <c r="E172" s="555"/>
      <c r="F172" s="555"/>
      <c r="G172" s="556"/>
      <c r="H172" s="558">
        <f>+'[8]ESTIMACION'!J64</f>
        <v>268750000</v>
      </c>
      <c r="I172" s="546"/>
    </row>
    <row r="173" spans="1:9" ht="15" thickBot="1">
      <c r="A173" s="555"/>
      <c r="B173" s="555"/>
      <c r="C173" s="555"/>
      <c r="D173" s="555"/>
      <c r="E173" s="555"/>
      <c r="F173" s="555"/>
      <c r="G173" s="556"/>
      <c r="H173" s="555"/>
      <c r="I173" s="546"/>
    </row>
    <row r="174" spans="1:9" ht="15.75" thickBot="1">
      <c r="A174" s="565" t="s">
        <v>112</v>
      </c>
      <c r="B174" s="676" t="str">
        <f>+'[8]ESTIMACION'!B67</f>
        <v>Derecho plaza de ganado</v>
      </c>
      <c r="C174" s="676"/>
      <c r="D174" s="676"/>
      <c r="E174" s="676"/>
      <c r="F174" s="676"/>
      <c r="G174" s="552">
        <f>+H179</f>
        <v>12000000</v>
      </c>
      <c r="H174" s="553">
        <f>+G174/'[8]ESTIMACION'!I121</f>
        <v>0.0005749232836743348</v>
      </c>
      <c r="I174" s="546"/>
    </row>
    <row r="175" spans="1:9" ht="14.25">
      <c r="A175" s="555"/>
      <c r="B175" s="555"/>
      <c r="C175" s="555"/>
      <c r="D175" s="555"/>
      <c r="E175" s="555"/>
      <c r="F175" s="555"/>
      <c r="G175" s="556"/>
      <c r="H175" s="555"/>
      <c r="I175" s="546"/>
    </row>
    <row r="176" spans="1:9" ht="18" customHeight="1">
      <c r="A176" s="557" t="s">
        <v>198</v>
      </c>
      <c r="B176" s="555"/>
      <c r="C176" s="555"/>
      <c r="D176" s="555"/>
      <c r="E176" s="555"/>
      <c r="F176" s="555"/>
      <c r="G176" s="556"/>
      <c r="H176" s="555"/>
      <c r="I176" s="546"/>
    </row>
    <row r="177" spans="1:9" ht="18" customHeight="1">
      <c r="A177" s="677" t="s">
        <v>913</v>
      </c>
      <c r="B177" s="677"/>
      <c r="C177" s="677"/>
      <c r="D177" s="677"/>
      <c r="E177" s="677"/>
      <c r="F177" s="677"/>
      <c r="G177" s="677"/>
      <c r="H177" s="677"/>
      <c r="I177" s="546"/>
    </row>
    <row r="178" spans="1:9" ht="15">
      <c r="A178" s="557"/>
      <c r="B178" s="555"/>
      <c r="C178" s="555"/>
      <c r="D178" s="555"/>
      <c r="E178" s="555"/>
      <c r="F178" s="555"/>
      <c r="G178" s="556"/>
      <c r="H178" s="555"/>
      <c r="I178" s="546"/>
    </row>
    <row r="179" spans="1:9" ht="15">
      <c r="A179" s="557" t="s">
        <v>463</v>
      </c>
      <c r="B179" s="555"/>
      <c r="C179" s="555"/>
      <c r="D179" s="555"/>
      <c r="E179" s="555"/>
      <c r="F179" s="555"/>
      <c r="G179" s="556"/>
      <c r="H179" s="558">
        <f>'[8]ESTIMACION'!J67</f>
        <v>12000000</v>
      </c>
      <c r="I179" s="546"/>
    </row>
    <row r="180" spans="1:9" ht="15.75" thickBot="1">
      <c r="A180" s="557"/>
      <c r="B180" s="555"/>
      <c r="C180" s="555"/>
      <c r="D180" s="555"/>
      <c r="E180" s="555"/>
      <c r="F180" s="555"/>
      <c r="G180" s="556"/>
      <c r="H180" s="558"/>
      <c r="I180" s="546"/>
    </row>
    <row r="181" spans="1:9" ht="15.75" thickBot="1">
      <c r="A181" s="565" t="s">
        <v>120</v>
      </c>
      <c r="B181" s="676" t="str">
        <f>+'[8]ESTIMACION'!B72</f>
        <v>Intereses sobre titulos valores de Instituciones Públicas Finacieras</v>
      </c>
      <c r="C181" s="676"/>
      <c r="D181" s="676"/>
      <c r="E181" s="676"/>
      <c r="F181" s="676"/>
      <c r="G181" s="552">
        <f>+H188</f>
        <v>600000000</v>
      </c>
      <c r="H181" s="553">
        <f>+G181/'[8]ESTIMACION'!I121</f>
        <v>0.028746164183716734</v>
      </c>
      <c r="I181" s="546"/>
    </row>
    <row r="182" spans="1:9" ht="14.25">
      <c r="A182" s="555"/>
      <c r="B182" s="555"/>
      <c r="C182" s="555"/>
      <c r="D182" s="555"/>
      <c r="E182" s="555"/>
      <c r="F182" s="555"/>
      <c r="G182" s="556"/>
      <c r="H182" s="555"/>
      <c r="I182" s="546"/>
    </row>
    <row r="183" spans="1:9" ht="16.5" customHeight="1">
      <c r="A183" s="557" t="s">
        <v>198</v>
      </c>
      <c r="B183" s="555"/>
      <c r="C183" s="555"/>
      <c r="D183" s="555"/>
      <c r="E183" s="555"/>
      <c r="F183" s="555"/>
      <c r="G183" s="556"/>
      <c r="H183" s="555"/>
      <c r="I183" s="546"/>
    </row>
    <row r="184" spans="1:9" ht="20.25" customHeight="1">
      <c r="A184" s="677" t="s">
        <v>914</v>
      </c>
      <c r="B184" s="677"/>
      <c r="C184" s="677"/>
      <c r="D184" s="677"/>
      <c r="E184" s="677"/>
      <c r="F184" s="677"/>
      <c r="G184" s="677"/>
      <c r="H184" s="677"/>
      <c r="I184" s="546"/>
    </row>
    <row r="185" spans="1:9" ht="45" customHeight="1">
      <c r="A185" s="677" t="s">
        <v>915</v>
      </c>
      <c r="B185" s="677"/>
      <c r="C185" s="677"/>
      <c r="D185" s="677"/>
      <c r="E185" s="677"/>
      <c r="F185" s="677"/>
      <c r="G185" s="677"/>
      <c r="H185" s="677"/>
      <c r="I185" s="546"/>
    </row>
    <row r="186" spans="1:10" ht="33" customHeight="1">
      <c r="A186" s="677" t="s">
        <v>916</v>
      </c>
      <c r="B186" s="677"/>
      <c r="C186" s="677"/>
      <c r="D186" s="677"/>
      <c r="E186" s="677"/>
      <c r="F186" s="677"/>
      <c r="G186" s="677"/>
      <c r="H186" s="677"/>
      <c r="I186" s="546"/>
      <c r="J186" s="202"/>
    </row>
    <row r="187" spans="1:10" ht="14.25">
      <c r="A187" s="548"/>
      <c r="B187" s="548"/>
      <c r="C187" s="548"/>
      <c r="D187" s="548"/>
      <c r="E187" s="548"/>
      <c r="F187" s="548"/>
      <c r="G187" s="559"/>
      <c r="H187" s="548"/>
      <c r="I187" s="546"/>
      <c r="J187" s="202"/>
    </row>
    <row r="188" spans="1:10" ht="15">
      <c r="A188" s="557" t="s">
        <v>463</v>
      </c>
      <c r="B188" s="555"/>
      <c r="C188" s="555"/>
      <c r="D188" s="555"/>
      <c r="E188" s="555"/>
      <c r="F188" s="555"/>
      <c r="G188" s="556"/>
      <c r="H188" s="558">
        <f>'[8]ESTIMACION'!J72</f>
        <v>600000000</v>
      </c>
      <c r="I188" s="546"/>
      <c r="J188" s="202"/>
    </row>
    <row r="189" spans="1:10" ht="15" thickBot="1">
      <c r="A189" s="555"/>
      <c r="B189" s="555"/>
      <c r="C189" s="555"/>
      <c r="D189" s="555"/>
      <c r="E189" s="555"/>
      <c r="F189" s="555"/>
      <c r="G189" s="556"/>
      <c r="H189" s="555"/>
      <c r="I189" s="546"/>
      <c r="J189" s="202"/>
    </row>
    <row r="190" spans="1:9" ht="15.75" thickBot="1">
      <c r="A190" s="565" t="s">
        <v>128</v>
      </c>
      <c r="B190" s="676" t="str">
        <f>+'[8]ESTIMACION'!B77</f>
        <v>Multas por infracc. ley de parquímetros  </v>
      </c>
      <c r="C190" s="676"/>
      <c r="D190" s="676"/>
      <c r="E190" s="676"/>
      <c r="F190" s="676"/>
      <c r="G190" s="552">
        <f>+H195</f>
        <v>221850000</v>
      </c>
      <c r="H190" s="553">
        <f>+G190/'[8]ESTIMACION'!I121</f>
        <v>0.010628894206929263</v>
      </c>
      <c r="I190" s="546"/>
    </row>
    <row r="191" spans="1:9" ht="14.25">
      <c r="A191" s="555"/>
      <c r="B191" s="555"/>
      <c r="C191" s="555"/>
      <c r="D191" s="555"/>
      <c r="E191" s="555"/>
      <c r="F191" s="555"/>
      <c r="G191" s="556"/>
      <c r="H191" s="555"/>
      <c r="I191" s="546"/>
    </row>
    <row r="192" spans="1:9" ht="15">
      <c r="A192" s="557" t="s">
        <v>198</v>
      </c>
      <c r="B192" s="555"/>
      <c r="C192" s="555"/>
      <c r="D192" s="555"/>
      <c r="E192" s="555"/>
      <c r="F192" s="555"/>
      <c r="G192" s="556"/>
      <c r="H192" s="555"/>
      <c r="I192" s="546"/>
    </row>
    <row r="193" spans="1:9" ht="33" customHeight="1">
      <c r="A193" s="677" t="s">
        <v>917</v>
      </c>
      <c r="B193" s="677"/>
      <c r="C193" s="677"/>
      <c r="D193" s="677"/>
      <c r="E193" s="677"/>
      <c r="F193" s="677"/>
      <c r="G193" s="677"/>
      <c r="H193" s="677"/>
      <c r="I193" s="546"/>
    </row>
    <row r="194" spans="1:9" ht="14.25">
      <c r="A194" s="548"/>
      <c r="B194" s="548"/>
      <c r="C194" s="548"/>
      <c r="D194" s="548"/>
      <c r="E194" s="548"/>
      <c r="F194" s="548"/>
      <c r="G194" s="559"/>
      <c r="H194" s="548"/>
      <c r="I194" s="546"/>
    </row>
    <row r="195" spans="1:9" ht="15.75" thickBot="1">
      <c r="A195" s="557" t="s">
        <v>463</v>
      </c>
      <c r="B195" s="555"/>
      <c r="C195" s="555"/>
      <c r="D195" s="555"/>
      <c r="E195" s="555"/>
      <c r="F195" s="555"/>
      <c r="G195" s="556"/>
      <c r="H195" s="558">
        <f>'[8]ESTIMACION'!J77</f>
        <v>221850000</v>
      </c>
      <c r="I195" s="546"/>
    </row>
    <row r="196" spans="1:9" ht="15.75" thickBot="1">
      <c r="A196" s="565" t="s">
        <v>456</v>
      </c>
      <c r="B196" s="676" t="str">
        <f>+'[8]ESTIMACION'!B79</f>
        <v>Multas por mora en el pago de impuestos y tasas</v>
      </c>
      <c r="C196" s="676"/>
      <c r="D196" s="676"/>
      <c r="E196" s="676"/>
      <c r="F196" s="676"/>
      <c r="G196" s="552">
        <f>+H201</f>
        <v>110000000</v>
      </c>
      <c r="H196" s="553">
        <f>+G196/'[8]ESTIMACION'!I121</f>
        <v>0.005270130100348068</v>
      </c>
      <c r="I196" s="546"/>
    </row>
    <row r="197" spans="1:9" ht="14.25">
      <c r="A197" s="555"/>
      <c r="B197" s="555"/>
      <c r="C197" s="555"/>
      <c r="D197" s="555"/>
      <c r="E197" s="555"/>
      <c r="F197" s="555"/>
      <c r="G197" s="556"/>
      <c r="H197" s="555"/>
      <c r="I197" s="546"/>
    </row>
    <row r="198" spans="1:9" ht="15">
      <c r="A198" s="557" t="s">
        <v>198</v>
      </c>
      <c r="B198" s="555"/>
      <c r="C198" s="555"/>
      <c r="D198" s="555"/>
      <c r="E198" s="555"/>
      <c r="F198" s="555"/>
      <c r="G198" s="556"/>
      <c r="H198" s="555"/>
      <c r="I198" s="546"/>
    </row>
    <row r="199" spans="1:9" ht="45" customHeight="1">
      <c r="A199" s="678" t="s">
        <v>918</v>
      </c>
      <c r="B199" s="678"/>
      <c r="C199" s="678"/>
      <c r="D199" s="678"/>
      <c r="E199" s="678"/>
      <c r="F199" s="678"/>
      <c r="G199" s="678"/>
      <c r="H199" s="678"/>
      <c r="I199" s="546"/>
    </row>
    <row r="200" spans="1:9" ht="15">
      <c r="A200" s="557"/>
      <c r="B200" s="555"/>
      <c r="C200" s="555"/>
      <c r="D200" s="555"/>
      <c r="E200" s="555"/>
      <c r="F200" s="555"/>
      <c r="G200" s="556"/>
      <c r="H200" s="555"/>
      <c r="I200" s="546"/>
    </row>
    <row r="201" spans="1:9" ht="15">
      <c r="A201" s="557" t="s">
        <v>463</v>
      </c>
      <c r="B201" s="555"/>
      <c r="C201" s="555"/>
      <c r="D201" s="555"/>
      <c r="E201" s="555"/>
      <c r="F201" s="555"/>
      <c r="G201" s="556"/>
      <c r="H201" s="558">
        <f>+'[8]ESTIMACION'!J79</f>
        <v>110000000</v>
      </c>
      <c r="I201" s="546"/>
    </row>
    <row r="202" spans="1:9" ht="15" thickBot="1">
      <c r="A202" s="555"/>
      <c r="B202" s="555"/>
      <c r="C202" s="555"/>
      <c r="D202" s="555"/>
      <c r="E202" s="555"/>
      <c r="F202" s="555"/>
      <c r="G202" s="556"/>
      <c r="H202" s="555"/>
      <c r="I202" s="546"/>
    </row>
    <row r="203" spans="1:9" ht="15.75" thickBot="1">
      <c r="A203" s="565" t="s">
        <v>456</v>
      </c>
      <c r="B203" s="676" t="str">
        <f>+'[8]ESTIMACION'!B80</f>
        <v>Otras Multas</v>
      </c>
      <c r="C203" s="676"/>
      <c r="D203" s="676"/>
      <c r="E203" s="676"/>
      <c r="F203" s="676"/>
      <c r="G203" s="552">
        <f>+H208</f>
        <v>138000000</v>
      </c>
      <c r="H203" s="553">
        <f>+G203/'[8]ESTIMACION'!I121</f>
        <v>0.006611617762254849</v>
      </c>
      <c r="I203" s="546"/>
    </row>
    <row r="204" spans="1:9" ht="14.25">
      <c r="A204" s="555"/>
      <c r="B204" s="555"/>
      <c r="C204" s="555"/>
      <c r="D204" s="555"/>
      <c r="E204" s="555"/>
      <c r="F204" s="555"/>
      <c r="G204" s="556"/>
      <c r="H204" s="555"/>
      <c r="I204" s="546"/>
    </row>
    <row r="205" spans="1:9" ht="15">
      <c r="A205" s="557" t="s">
        <v>198</v>
      </c>
      <c r="B205" s="555"/>
      <c r="C205" s="555"/>
      <c r="D205" s="555"/>
      <c r="E205" s="555"/>
      <c r="F205" s="555"/>
      <c r="G205" s="556"/>
      <c r="H205" s="555"/>
      <c r="I205" s="546"/>
    </row>
    <row r="206" spans="1:9" ht="59.25" customHeight="1">
      <c r="A206" s="677" t="s">
        <v>919</v>
      </c>
      <c r="B206" s="677"/>
      <c r="C206" s="677"/>
      <c r="D206" s="677"/>
      <c r="E206" s="677"/>
      <c r="F206" s="677"/>
      <c r="G206" s="677"/>
      <c r="H206" s="677"/>
      <c r="I206" s="546"/>
    </row>
    <row r="207" spans="1:9" ht="15">
      <c r="A207" s="557"/>
      <c r="B207" s="555"/>
      <c r="C207" s="555"/>
      <c r="D207" s="555"/>
      <c r="E207" s="555"/>
      <c r="F207" s="555"/>
      <c r="G207" s="556"/>
      <c r="H207" s="555"/>
      <c r="I207" s="546"/>
    </row>
    <row r="208" spans="1:9" ht="15">
      <c r="A208" s="557" t="s">
        <v>463</v>
      </c>
      <c r="B208" s="555"/>
      <c r="C208" s="555"/>
      <c r="D208" s="555"/>
      <c r="E208" s="555"/>
      <c r="F208" s="555"/>
      <c r="G208" s="556"/>
      <c r="H208" s="558">
        <f>'[8]ESTIMACION'!J80</f>
        <v>138000000</v>
      </c>
      <c r="I208" s="546"/>
    </row>
    <row r="209" spans="1:9" ht="15" thickBot="1">
      <c r="A209" s="555"/>
      <c r="B209" s="555"/>
      <c r="C209" s="555"/>
      <c r="D209" s="555"/>
      <c r="E209" s="555"/>
      <c r="F209" s="555"/>
      <c r="G209" s="556"/>
      <c r="H209" s="555"/>
      <c r="I209" s="546"/>
    </row>
    <row r="210" spans="1:9" ht="15.75" thickBot="1">
      <c r="A210" s="565" t="s">
        <v>136</v>
      </c>
      <c r="B210" s="676" t="str">
        <f>+'[8]ESTIMACION'!B84</f>
        <v>Intereses por mora en tributos</v>
      </c>
      <c r="C210" s="676"/>
      <c r="D210" s="676"/>
      <c r="E210" s="676"/>
      <c r="F210" s="676"/>
      <c r="G210" s="552">
        <f>+H215</f>
        <v>615000000</v>
      </c>
      <c r="H210" s="553">
        <f>+G210/'[8]ESTIMACION'!I121</f>
        <v>0.029464818288309654</v>
      </c>
      <c r="I210" s="546"/>
    </row>
    <row r="211" spans="1:9" ht="15">
      <c r="A211" s="569"/>
      <c r="B211" s="570"/>
      <c r="C211" s="570"/>
      <c r="D211" s="570"/>
      <c r="E211" s="570"/>
      <c r="F211" s="570"/>
      <c r="G211" s="571"/>
      <c r="H211" s="572"/>
      <c r="I211" s="546"/>
    </row>
    <row r="212" spans="1:9" ht="14.25" customHeight="1">
      <c r="A212" s="557" t="s">
        <v>198</v>
      </c>
      <c r="B212" s="555"/>
      <c r="C212" s="555"/>
      <c r="D212" s="555"/>
      <c r="E212" s="555"/>
      <c r="F212" s="555"/>
      <c r="G212" s="556"/>
      <c r="H212" s="555"/>
      <c r="I212" s="546"/>
    </row>
    <row r="213" spans="1:9" ht="59.25" customHeight="1">
      <c r="A213" s="677" t="s">
        <v>920</v>
      </c>
      <c r="B213" s="677"/>
      <c r="C213" s="677"/>
      <c r="D213" s="677"/>
      <c r="E213" s="677"/>
      <c r="F213" s="677"/>
      <c r="G213" s="677"/>
      <c r="H213" s="677"/>
      <c r="I213" s="546"/>
    </row>
    <row r="214" spans="1:9" ht="15">
      <c r="A214" s="557"/>
      <c r="B214" s="555"/>
      <c r="C214" s="555"/>
      <c r="D214" s="555"/>
      <c r="E214" s="555"/>
      <c r="F214" s="555"/>
      <c r="G214" s="556"/>
      <c r="H214" s="555"/>
      <c r="I214" s="546"/>
    </row>
    <row r="215" spans="1:9" ht="15">
      <c r="A215" s="557" t="s">
        <v>463</v>
      </c>
      <c r="B215" s="555"/>
      <c r="C215" s="555"/>
      <c r="D215" s="555"/>
      <c r="E215" s="555"/>
      <c r="F215" s="555"/>
      <c r="G215" s="556"/>
      <c r="H215" s="558">
        <f>+'[8]ESTIMACION'!J84</f>
        <v>615000000</v>
      </c>
      <c r="I215" s="546"/>
    </row>
    <row r="216" spans="1:9" ht="15.75" thickBot="1">
      <c r="A216" s="557"/>
      <c r="B216" s="555"/>
      <c r="C216" s="555"/>
      <c r="D216" s="555"/>
      <c r="E216" s="555"/>
      <c r="F216" s="555"/>
      <c r="G216" s="556"/>
      <c r="H216" s="558"/>
      <c r="I216" s="546"/>
    </row>
    <row r="217" spans="1:9" ht="15.75" thickBot="1">
      <c r="A217" s="565"/>
      <c r="B217" s="676" t="s">
        <v>921</v>
      </c>
      <c r="C217" s="676"/>
      <c r="D217" s="676"/>
      <c r="E217" s="676"/>
      <c r="F217" s="676"/>
      <c r="G217" s="552">
        <f>+H222</f>
        <v>60000000</v>
      </c>
      <c r="H217" s="553">
        <f>+G217/'[8]ESTIMACION'!I121</f>
        <v>0.0028746164183716737</v>
      </c>
      <c r="I217" s="546"/>
    </row>
    <row r="218" spans="1:9" ht="14.25">
      <c r="A218" s="555"/>
      <c r="B218" s="555"/>
      <c r="C218" s="555"/>
      <c r="D218" s="555"/>
      <c r="E218" s="555"/>
      <c r="F218" s="555"/>
      <c r="G218" s="556"/>
      <c r="H218" s="555"/>
      <c r="I218" s="546"/>
    </row>
    <row r="219" spans="1:9" ht="15">
      <c r="A219" s="557" t="s">
        <v>198</v>
      </c>
      <c r="B219" s="555"/>
      <c r="C219" s="555"/>
      <c r="D219" s="555"/>
      <c r="E219" s="555"/>
      <c r="F219" s="555"/>
      <c r="G219" s="556"/>
      <c r="H219" s="555"/>
      <c r="I219" s="546"/>
    </row>
    <row r="220" spans="1:9" ht="27.75" customHeight="1">
      <c r="A220" s="677" t="s">
        <v>922</v>
      </c>
      <c r="B220" s="677"/>
      <c r="C220" s="677"/>
      <c r="D220" s="677"/>
      <c r="E220" s="677"/>
      <c r="F220" s="677"/>
      <c r="G220" s="677"/>
      <c r="H220" s="677"/>
      <c r="I220" s="546"/>
    </row>
    <row r="221" spans="1:9" ht="15">
      <c r="A221" s="557"/>
      <c r="B221" s="555"/>
      <c r="C221" s="555"/>
      <c r="D221" s="555"/>
      <c r="E221" s="555"/>
      <c r="F221" s="555"/>
      <c r="G221" s="556"/>
      <c r="H221" s="555"/>
      <c r="I221" s="546"/>
    </row>
    <row r="222" spans="1:9" ht="15">
      <c r="A222" s="557" t="s">
        <v>463</v>
      </c>
      <c r="B222" s="555"/>
      <c r="C222" s="555"/>
      <c r="D222" s="555"/>
      <c r="E222" s="555"/>
      <c r="F222" s="555"/>
      <c r="G222" s="556"/>
      <c r="H222" s="558">
        <f>+'[8]ESTIMACION'!J90</f>
        <v>60000000</v>
      </c>
      <c r="I222" s="546"/>
    </row>
    <row r="223" spans="1:9" ht="15" thickBot="1">
      <c r="A223" s="555"/>
      <c r="B223" s="555"/>
      <c r="C223" s="555"/>
      <c r="D223" s="555"/>
      <c r="E223" s="555"/>
      <c r="F223" s="555"/>
      <c r="G223" s="556"/>
      <c r="H223" s="555"/>
      <c r="I223" s="546"/>
    </row>
    <row r="224" spans="1:9" ht="15.75" thickBot="1">
      <c r="A224" s="565" t="s">
        <v>148</v>
      </c>
      <c r="B224" s="676" t="str">
        <f>+'[8]ESTIMACION'!B92</f>
        <v>Aporte IFAM Lic.Nac. y Extranjeros</v>
      </c>
      <c r="C224" s="676"/>
      <c r="D224" s="676"/>
      <c r="E224" s="676"/>
      <c r="F224" s="676"/>
      <c r="G224" s="552">
        <f>+H229</f>
        <v>57214376</v>
      </c>
      <c r="H224" s="553">
        <f>+G224/'[8]ESTIMACION'!I121</f>
        <v>0.0027411564102748373</v>
      </c>
      <c r="I224" s="546"/>
    </row>
    <row r="225" spans="1:9" ht="14.25">
      <c r="A225" s="555"/>
      <c r="B225" s="555"/>
      <c r="C225" s="555"/>
      <c r="D225" s="555"/>
      <c r="E225" s="555"/>
      <c r="F225" s="555"/>
      <c r="G225" s="556"/>
      <c r="H225" s="555"/>
      <c r="I225" s="546"/>
    </row>
    <row r="226" spans="1:9" ht="15">
      <c r="A226" s="557" t="s">
        <v>198</v>
      </c>
      <c r="B226" s="555"/>
      <c r="C226" s="555"/>
      <c r="D226" s="555"/>
      <c r="E226" s="555"/>
      <c r="F226" s="555"/>
      <c r="G226" s="556"/>
      <c r="H226" s="555"/>
      <c r="I226" s="546"/>
    </row>
    <row r="227" spans="1:9" ht="14.25">
      <c r="A227" s="677" t="s">
        <v>923</v>
      </c>
      <c r="B227" s="677"/>
      <c r="C227" s="677"/>
      <c r="D227" s="677"/>
      <c r="E227" s="677"/>
      <c r="F227" s="677"/>
      <c r="G227" s="677"/>
      <c r="H227" s="677"/>
      <c r="I227" s="546"/>
    </row>
    <row r="228" spans="1:9" ht="15">
      <c r="A228" s="557"/>
      <c r="B228" s="555"/>
      <c r="C228" s="555"/>
      <c r="D228" s="555"/>
      <c r="E228" s="555"/>
      <c r="F228" s="555"/>
      <c r="G228" s="556"/>
      <c r="H228" s="555"/>
      <c r="I228" s="546"/>
    </row>
    <row r="229" spans="1:9" ht="15">
      <c r="A229" s="557" t="s">
        <v>463</v>
      </c>
      <c r="B229" s="555"/>
      <c r="C229" s="555"/>
      <c r="D229" s="555"/>
      <c r="E229" s="555"/>
      <c r="F229" s="555"/>
      <c r="G229" s="556"/>
      <c r="H229" s="558">
        <f>+'[8]ESTIMACION'!J92</f>
        <v>57214376</v>
      </c>
      <c r="I229" s="546"/>
    </row>
    <row r="230" spans="1:9" ht="15" thickBot="1">
      <c r="A230" s="555"/>
      <c r="B230" s="555"/>
      <c r="C230" s="555"/>
      <c r="D230" s="555"/>
      <c r="E230" s="555"/>
      <c r="F230" s="555"/>
      <c r="G230" s="556"/>
      <c r="H230" s="555"/>
      <c r="I230" s="546"/>
    </row>
    <row r="231" spans="1:9" ht="15.75" thickBot="1">
      <c r="A231" s="565" t="s">
        <v>924</v>
      </c>
      <c r="B231" s="676" t="str">
        <f>+'[8]ESTIMACION'!B102</f>
        <v>Ruptura de Calles</v>
      </c>
      <c r="C231" s="676"/>
      <c r="D231" s="676"/>
      <c r="E231" s="676"/>
      <c r="F231" s="676"/>
      <c r="G231" s="552">
        <f>+H236</f>
        <v>4000000</v>
      </c>
      <c r="H231" s="553">
        <f>+G231/'[8]ESTIMACION'!I121</f>
        <v>0.00019164109455811158</v>
      </c>
      <c r="I231" s="546"/>
    </row>
    <row r="232" spans="1:9" ht="14.25">
      <c r="A232" s="555"/>
      <c r="B232" s="555"/>
      <c r="C232" s="555"/>
      <c r="D232" s="555"/>
      <c r="E232" s="555"/>
      <c r="F232" s="555"/>
      <c r="G232" s="556"/>
      <c r="H232" s="555"/>
      <c r="I232" s="546"/>
    </row>
    <row r="233" spans="1:9" ht="15">
      <c r="A233" s="557" t="s">
        <v>198</v>
      </c>
      <c r="B233" s="555"/>
      <c r="C233" s="555"/>
      <c r="D233" s="555"/>
      <c r="E233" s="555"/>
      <c r="F233" s="555"/>
      <c r="G233" s="556"/>
      <c r="H233" s="555"/>
      <c r="I233" s="546"/>
    </row>
    <row r="234" spans="1:9" ht="17.25" customHeight="1">
      <c r="A234" s="677" t="s">
        <v>925</v>
      </c>
      <c r="B234" s="677"/>
      <c r="C234" s="677"/>
      <c r="D234" s="677"/>
      <c r="E234" s="677"/>
      <c r="F234" s="677"/>
      <c r="G234" s="677"/>
      <c r="H234" s="677"/>
      <c r="I234" s="546"/>
    </row>
    <row r="235" spans="1:9" ht="15">
      <c r="A235" s="557"/>
      <c r="B235" s="555"/>
      <c r="C235" s="555"/>
      <c r="D235" s="555"/>
      <c r="E235" s="555"/>
      <c r="F235" s="555"/>
      <c r="G235" s="556"/>
      <c r="H235" s="555"/>
      <c r="I235" s="546"/>
    </row>
    <row r="236" spans="1:9" ht="15">
      <c r="A236" s="557" t="s">
        <v>463</v>
      </c>
      <c r="B236" s="555"/>
      <c r="C236" s="555"/>
      <c r="D236" s="555"/>
      <c r="E236" s="555"/>
      <c r="F236" s="555"/>
      <c r="G236" s="556"/>
      <c r="H236" s="558">
        <f>+'[8]ESTIMACION'!J102</f>
        <v>4000000</v>
      </c>
      <c r="I236" s="546"/>
    </row>
    <row r="237" spans="1:9" ht="15" thickBot="1">
      <c r="A237" s="555"/>
      <c r="B237" s="555"/>
      <c r="C237" s="555"/>
      <c r="D237" s="555"/>
      <c r="E237" s="555"/>
      <c r="F237" s="555"/>
      <c r="G237" s="556"/>
      <c r="H237" s="555"/>
      <c r="I237" s="546"/>
    </row>
    <row r="238" spans="1:9" ht="15.75" thickBot="1">
      <c r="A238" s="565" t="s">
        <v>171</v>
      </c>
      <c r="B238" s="676" t="str">
        <f>+'[8]ESTIMACION'!B110</f>
        <v>Programas comités cantonales de  la  Persona  Joven Ley N°8261</v>
      </c>
      <c r="C238" s="676"/>
      <c r="D238" s="676"/>
      <c r="E238" s="676"/>
      <c r="F238" s="676"/>
      <c r="G238" s="552">
        <f>+H243</f>
        <v>6500000</v>
      </c>
      <c r="H238" s="553">
        <f>+G238/'[8]ESTIMACION'!I121</f>
        <v>0.0003114167786569313</v>
      </c>
      <c r="I238" s="546"/>
    </row>
    <row r="239" spans="1:9" ht="14.25">
      <c r="A239" s="555"/>
      <c r="B239" s="555"/>
      <c r="C239" s="555"/>
      <c r="D239" s="555"/>
      <c r="E239" s="555"/>
      <c r="F239" s="555"/>
      <c r="G239" s="556"/>
      <c r="H239" s="555"/>
      <c r="I239" s="546"/>
    </row>
    <row r="240" spans="1:9" ht="15">
      <c r="A240" s="557" t="s">
        <v>198</v>
      </c>
      <c r="B240" s="555"/>
      <c r="C240" s="555"/>
      <c r="D240" s="555"/>
      <c r="E240" s="555"/>
      <c r="F240" s="555"/>
      <c r="G240" s="556"/>
      <c r="H240" s="555"/>
      <c r="I240" s="546"/>
    </row>
    <row r="241" spans="1:9" ht="34.5" customHeight="1">
      <c r="A241" s="677" t="s">
        <v>926</v>
      </c>
      <c r="B241" s="677"/>
      <c r="C241" s="677"/>
      <c r="D241" s="677"/>
      <c r="E241" s="677"/>
      <c r="F241" s="677"/>
      <c r="G241" s="677"/>
      <c r="H241" s="677"/>
      <c r="I241" s="546"/>
    </row>
    <row r="242" spans="1:9" ht="15">
      <c r="A242" s="557"/>
      <c r="B242" s="555"/>
      <c r="C242" s="555"/>
      <c r="D242" s="555"/>
      <c r="E242" s="555"/>
      <c r="F242" s="555"/>
      <c r="G242" s="556"/>
      <c r="H242" s="555"/>
      <c r="I242" s="546"/>
    </row>
    <row r="243" spans="1:9" ht="15">
      <c r="A243" s="557" t="s">
        <v>463</v>
      </c>
      <c r="B243" s="555"/>
      <c r="C243" s="555"/>
      <c r="D243" s="555"/>
      <c r="E243" s="555"/>
      <c r="F243" s="555"/>
      <c r="G243" s="556"/>
      <c r="H243" s="558">
        <f>+'[8]ESTIMACION'!J110</f>
        <v>6500000</v>
      </c>
      <c r="I243" s="546"/>
    </row>
    <row r="244" spans="1:9" ht="15" thickBot="1">
      <c r="A244" s="555"/>
      <c r="B244" s="555"/>
      <c r="C244" s="555"/>
      <c r="D244" s="555"/>
      <c r="E244" s="555"/>
      <c r="F244" s="555"/>
      <c r="G244" s="556"/>
      <c r="H244" s="555"/>
      <c r="I244" s="546"/>
    </row>
    <row r="245" spans="1:9" ht="15.75" thickBot="1">
      <c r="A245" s="565" t="s">
        <v>171</v>
      </c>
      <c r="B245" s="676" t="str">
        <f>+'[8]ESTIMACION'!B108</f>
        <v>Aporte Gobierno Ley 8114 Red Vial Cantonal</v>
      </c>
      <c r="C245" s="676"/>
      <c r="D245" s="676"/>
      <c r="E245" s="676"/>
      <c r="F245" s="676"/>
      <c r="G245" s="552">
        <f>+H250</f>
        <v>325000000</v>
      </c>
      <c r="H245" s="553">
        <f>+G245/'[8]ESTIMACION'!I121</f>
        <v>0.015570838932846566</v>
      </c>
      <c r="I245" s="546"/>
    </row>
    <row r="246" spans="1:9" ht="14.25">
      <c r="A246" s="555"/>
      <c r="B246" s="555"/>
      <c r="C246" s="555"/>
      <c r="D246" s="555"/>
      <c r="E246" s="555"/>
      <c r="F246" s="555"/>
      <c r="G246" s="556"/>
      <c r="H246" s="555"/>
      <c r="I246" s="546"/>
    </row>
    <row r="247" spans="1:9" ht="15">
      <c r="A247" s="557" t="s">
        <v>198</v>
      </c>
      <c r="B247" s="555"/>
      <c r="C247" s="555"/>
      <c r="D247" s="555"/>
      <c r="E247" s="555"/>
      <c r="F247" s="555"/>
      <c r="G247" s="556"/>
      <c r="H247" s="555"/>
      <c r="I247" s="546"/>
    </row>
    <row r="248" spans="1:9" ht="45" customHeight="1">
      <c r="A248" s="677" t="s">
        <v>927</v>
      </c>
      <c r="B248" s="677"/>
      <c r="C248" s="677"/>
      <c r="D248" s="677"/>
      <c r="E248" s="677"/>
      <c r="F248" s="677"/>
      <c r="G248" s="677"/>
      <c r="H248" s="677"/>
      <c r="I248" s="546"/>
    </row>
    <row r="249" spans="1:9" ht="14.25">
      <c r="A249" s="555"/>
      <c r="B249" s="555"/>
      <c r="C249" s="555"/>
      <c r="D249" s="555"/>
      <c r="E249" s="555"/>
      <c r="F249" s="555"/>
      <c r="G249" s="556"/>
      <c r="H249" s="555"/>
      <c r="I249" s="546"/>
    </row>
    <row r="250" spans="1:9" ht="15">
      <c r="A250" s="557" t="s">
        <v>463</v>
      </c>
      <c r="B250" s="555"/>
      <c r="C250" s="555"/>
      <c r="D250" s="555"/>
      <c r="E250" s="555"/>
      <c r="F250" s="555"/>
      <c r="G250" s="556"/>
      <c r="H250" s="558">
        <f>'[8]ESTIMACION'!J108</f>
        <v>325000000</v>
      </c>
      <c r="I250" s="546"/>
    </row>
    <row r="251" spans="1:9" ht="15.75" thickBot="1">
      <c r="A251" s="557"/>
      <c r="B251" s="555"/>
      <c r="C251" s="555"/>
      <c r="D251" s="555"/>
      <c r="E251" s="555"/>
      <c r="F251" s="555"/>
      <c r="G251" s="556"/>
      <c r="H251" s="558"/>
      <c r="I251" s="546"/>
    </row>
    <row r="252" spans="1:9" ht="15.75" thickBot="1">
      <c r="A252" s="565" t="s">
        <v>171</v>
      </c>
      <c r="B252" s="676" t="str">
        <f>'[8]ESTIMACION'!B109</f>
        <v>Aporte Gobierno/Alcantarillados Ley 8316 reformado por la Ley 9014</v>
      </c>
      <c r="C252" s="676"/>
      <c r="D252" s="676"/>
      <c r="E252" s="676"/>
      <c r="F252" s="676"/>
      <c r="G252" s="552">
        <f>+H257</f>
        <v>590000000</v>
      </c>
      <c r="H252" s="553">
        <f>+G252/'[8]ESTIMACION'!I121</f>
        <v>0.028267061447321457</v>
      </c>
      <c r="I252" s="546"/>
    </row>
    <row r="253" spans="1:9" ht="14.25">
      <c r="A253" s="555"/>
      <c r="B253" s="555"/>
      <c r="C253" s="555"/>
      <c r="D253" s="555"/>
      <c r="E253" s="555"/>
      <c r="F253" s="555"/>
      <c r="G253" s="556"/>
      <c r="H253" s="555"/>
      <c r="I253" s="546"/>
    </row>
    <row r="254" spans="1:9" ht="15">
      <c r="A254" s="557" t="s">
        <v>198</v>
      </c>
      <c r="B254" s="555"/>
      <c r="C254" s="555"/>
      <c r="D254" s="555"/>
      <c r="E254" s="555"/>
      <c r="F254" s="555"/>
      <c r="G254" s="556"/>
      <c r="H254" s="555"/>
      <c r="I254" s="546"/>
    </row>
    <row r="255" spans="1:9" ht="30.75" customHeight="1">
      <c r="A255" s="677" t="s">
        <v>928</v>
      </c>
      <c r="B255" s="677"/>
      <c r="C255" s="677"/>
      <c r="D255" s="677"/>
      <c r="E255" s="677"/>
      <c r="F255" s="677"/>
      <c r="G255" s="677"/>
      <c r="H255" s="677"/>
      <c r="I255" s="546"/>
    </row>
    <row r="256" spans="1:9" ht="14.25">
      <c r="A256" s="555"/>
      <c r="B256" s="555"/>
      <c r="C256" s="555"/>
      <c r="D256" s="555"/>
      <c r="E256" s="555"/>
      <c r="F256" s="555"/>
      <c r="G256" s="556"/>
      <c r="H256" s="555"/>
      <c r="I256" s="546"/>
    </row>
    <row r="257" spans="1:9" ht="15">
      <c r="A257" s="557" t="s">
        <v>463</v>
      </c>
      <c r="B257" s="555"/>
      <c r="C257" s="555"/>
      <c r="D257" s="555"/>
      <c r="E257" s="555"/>
      <c r="F257" s="555"/>
      <c r="G257" s="556"/>
      <c r="H257" s="558">
        <f>'[8]ESTIMACION'!J109</f>
        <v>590000000</v>
      </c>
      <c r="I257" s="546"/>
    </row>
    <row r="258" spans="1:9" ht="15" thickBot="1">
      <c r="A258" s="555"/>
      <c r="B258" s="555"/>
      <c r="C258" s="555"/>
      <c r="D258" s="555"/>
      <c r="E258" s="555"/>
      <c r="F258" s="555"/>
      <c r="G258" s="556"/>
      <c r="H258" s="555"/>
      <c r="I258" s="546"/>
    </row>
    <row r="259" spans="1:9" ht="15.75" thickBot="1">
      <c r="A259" s="565" t="s">
        <v>929</v>
      </c>
      <c r="B259" s="676" t="str">
        <f>+'[8]ESTIMACION'!B112</f>
        <v>Aporte IFAM Cam.Vec.y Maq.Y Eq.</v>
      </c>
      <c r="C259" s="676"/>
      <c r="D259" s="676"/>
      <c r="E259" s="676"/>
      <c r="F259" s="676"/>
      <c r="G259" s="552">
        <f>+H264</f>
        <v>12388270</v>
      </c>
      <c r="H259" s="553">
        <f>+G259/'[8]ESTIMACION'!I121</f>
        <v>0.0005935254056203542</v>
      </c>
      <c r="I259" s="546"/>
    </row>
    <row r="260" spans="1:9" ht="14.25">
      <c r="A260" s="555"/>
      <c r="B260" s="555"/>
      <c r="C260" s="555"/>
      <c r="D260" s="555"/>
      <c r="E260" s="555"/>
      <c r="F260" s="555"/>
      <c r="G260" s="556"/>
      <c r="H260" s="555"/>
      <c r="I260" s="546"/>
    </row>
    <row r="261" spans="1:9" ht="15">
      <c r="A261" s="557" t="s">
        <v>198</v>
      </c>
      <c r="B261" s="555"/>
      <c r="C261" s="555"/>
      <c r="D261" s="555"/>
      <c r="E261" s="555"/>
      <c r="F261" s="555"/>
      <c r="G261" s="556"/>
      <c r="H261" s="555"/>
      <c r="I261" s="546"/>
    </row>
    <row r="262" spans="1:9" ht="19.5" customHeight="1">
      <c r="A262" s="677" t="s">
        <v>923</v>
      </c>
      <c r="B262" s="677"/>
      <c r="C262" s="677"/>
      <c r="D262" s="677"/>
      <c r="E262" s="677"/>
      <c r="F262" s="677"/>
      <c r="G262" s="677"/>
      <c r="H262" s="677"/>
      <c r="I262" s="546"/>
    </row>
    <row r="263" spans="1:9" ht="15">
      <c r="A263" s="557"/>
      <c r="B263" s="555"/>
      <c r="C263" s="555"/>
      <c r="D263" s="555"/>
      <c r="E263" s="555"/>
      <c r="F263" s="555"/>
      <c r="G263" s="556"/>
      <c r="H263" s="555"/>
      <c r="I263" s="546"/>
    </row>
    <row r="264" spans="1:9" ht="15">
      <c r="A264" s="557" t="s">
        <v>463</v>
      </c>
      <c r="B264" s="555"/>
      <c r="C264" s="555"/>
      <c r="D264" s="555"/>
      <c r="E264" s="555"/>
      <c r="F264" s="555"/>
      <c r="G264" s="556"/>
      <c r="H264" s="558">
        <f>'[8]ESTIMACION'!J112</f>
        <v>12388270</v>
      </c>
      <c r="I264" s="546"/>
    </row>
    <row r="265" spans="1:9" ht="15.75" thickBot="1">
      <c r="A265" s="557"/>
      <c r="B265" s="555"/>
      <c r="C265" s="555"/>
      <c r="D265" s="555"/>
      <c r="E265" s="555"/>
      <c r="F265" s="555"/>
      <c r="G265" s="556"/>
      <c r="H265" s="558"/>
      <c r="I265" s="546"/>
    </row>
    <row r="266" spans="1:9" ht="15.75" thickBot="1">
      <c r="A266" s="565" t="s">
        <v>930</v>
      </c>
      <c r="B266" s="676" t="str">
        <f>+'[8]ESTIMACION'!B114</f>
        <v>Aporte de la cooperación Alemana</v>
      </c>
      <c r="C266" s="676"/>
      <c r="D266" s="676"/>
      <c r="E266" s="676"/>
      <c r="F266" s="676"/>
      <c r="G266" s="552">
        <f>+H271</f>
        <v>51706480</v>
      </c>
      <c r="H266" s="553">
        <f>+G266/'[8]ESTIMACION'!I121</f>
        <v>0.0024772716057367763</v>
      </c>
      <c r="I266" s="546"/>
    </row>
    <row r="267" spans="1:9" ht="14.25">
      <c r="A267" s="555"/>
      <c r="B267" s="555"/>
      <c r="C267" s="555"/>
      <c r="D267" s="555"/>
      <c r="E267" s="555"/>
      <c r="F267" s="555"/>
      <c r="G267" s="556"/>
      <c r="H267" s="555"/>
      <c r="I267" s="546"/>
    </row>
    <row r="268" spans="1:9" ht="15">
      <c r="A268" s="557" t="s">
        <v>198</v>
      </c>
      <c r="B268" s="555"/>
      <c r="C268" s="555"/>
      <c r="D268" s="555"/>
      <c r="E268" s="555"/>
      <c r="F268" s="555"/>
      <c r="G268" s="556"/>
      <c r="H268" s="555"/>
      <c r="I268" s="546"/>
    </row>
    <row r="269" spans="1:9" ht="14.25" customHeight="1">
      <c r="A269" s="677" t="s">
        <v>931</v>
      </c>
      <c r="B269" s="677"/>
      <c r="C269" s="677"/>
      <c r="D269" s="677"/>
      <c r="E269" s="677"/>
      <c r="F269" s="677"/>
      <c r="G269" s="677"/>
      <c r="H269" s="677"/>
      <c r="I269" s="546"/>
    </row>
    <row r="270" spans="1:9" ht="15">
      <c r="A270" s="557"/>
      <c r="B270" s="555"/>
      <c r="C270" s="555"/>
      <c r="D270" s="555"/>
      <c r="E270" s="555"/>
      <c r="F270" s="555"/>
      <c r="G270" s="556"/>
      <c r="H270" s="555"/>
      <c r="I270" s="546"/>
    </row>
    <row r="271" spans="1:9" ht="15">
      <c r="A271" s="557" t="s">
        <v>463</v>
      </c>
      <c r="B271" s="555"/>
      <c r="C271" s="555"/>
      <c r="D271" s="555"/>
      <c r="E271" s="555"/>
      <c r="F271" s="555"/>
      <c r="G271" s="556"/>
      <c r="H271" s="558">
        <f>+'[8]ESTIMACION'!J114</f>
        <v>51706480</v>
      </c>
      <c r="I271" s="546"/>
    </row>
    <row r="272" spans="1:9" ht="15">
      <c r="A272" s="557"/>
      <c r="B272" s="555"/>
      <c r="C272" s="555"/>
      <c r="D272" s="555"/>
      <c r="E272" s="555"/>
      <c r="F272" s="555"/>
      <c r="G272" s="556"/>
      <c r="H272" s="558"/>
      <c r="I272" s="546"/>
    </row>
    <row r="273" spans="1:9" ht="15">
      <c r="A273" s="557"/>
      <c r="B273" s="555"/>
      <c r="C273" s="555"/>
      <c r="D273" s="555"/>
      <c r="E273" s="555"/>
      <c r="F273" s="555"/>
      <c r="G273" s="556"/>
      <c r="H273" s="558"/>
      <c r="I273" s="546"/>
    </row>
    <row r="274" spans="1:9" ht="15.75" thickBot="1">
      <c r="A274" s="573" t="s">
        <v>932</v>
      </c>
      <c r="B274" s="574"/>
      <c r="C274" s="574"/>
      <c r="D274" s="574"/>
      <c r="E274" s="574"/>
      <c r="F274" s="574"/>
      <c r="G274" s="575"/>
      <c r="H274" s="576">
        <f>'[8]ESTIMACION'!J121</f>
        <v>23085833126</v>
      </c>
      <c r="I274" s="577"/>
    </row>
    <row r="275" spans="1:9" ht="13.5" thickTop="1">
      <c r="A275" s="546"/>
      <c r="B275" s="546"/>
      <c r="C275" s="546"/>
      <c r="D275" s="546"/>
      <c r="E275" s="546"/>
      <c r="F275" s="546"/>
      <c r="G275" s="578"/>
      <c r="H275" s="546"/>
      <c r="I275" s="546"/>
    </row>
    <row r="276" ht="12.75">
      <c r="I276" s="402"/>
    </row>
    <row r="278" ht="12.75">
      <c r="F278" s="579"/>
    </row>
    <row r="279" spans="6:8" ht="12.75">
      <c r="F279" s="579"/>
      <c r="H279" s="202"/>
    </row>
    <row r="280" ht="12.75">
      <c r="F280" s="579"/>
    </row>
  </sheetData>
  <sheetProtection/>
  <mergeCells count="86">
    <mergeCell ref="A1:H1"/>
    <mergeCell ref="A2:H2"/>
    <mergeCell ref="A3:H3"/>
    <mergeCell ref="A5:H5"/>
    <mergeCell ref="A6:H6"/>
    <mergeCell ref="A7:H7"/>
    <mergeCell ref="A8:H8"/>
    <mergeCell ref="A9:H9"/>
    <mergeCell ref="A10:H10"/>
    <mergeCell ref="B12:F12"/>
    <mergeCell ref="A15:H15"/>
    <mergeCell ref="B19:F19"/>
    <mergeCell ref="A22:H22"/>
    <mergeCell ref="B26:F26"/>
    <mergeCell ref="A29:H29"/>
    <mergeCell ref="A32:H32"/>
    <mergeCell ref="B33:F33"/>
    <mergeCell ref="A36:H36"/>
    <mergeCell ref="B40:F40"/>
    <mergeCell ref="A43:H43"/>
    <mergeCell ref="B47:F47"/>
    <mergeCell ref="A50:H50"/>
    <mergeCell ref="B54:F54"/>
    <mergeCell ref="A57:H57"/>
    <mergeCell ref="B61:F61"/>
    <mergeCell ref="A64:H64"/>
    <mergeCell ref="B68:F68"/>
    <mergeCell ref="A71:H71"/>
    <mergeCell ref="B75:F75"/>
    <mergeCell ref="A78:H78"/>
    <mergeCell ref="B82:F82"/>
    <mergeCell ref="A85:H85"/>
    <mergeCell ref="B89:F89"/>
    <mergeCell ref="A92:H92"/>
    <mergeCell ref="B96:F96"/>
    <mergeCell ref="A99:H99"/>
    <mergeCell ref="B103:F103"/>
    <mergeCell ref="A106:H106"/>
    <mergeCell ref="B110:F110"/>
    <mergeCell ref="A113:H113"/>
    <mergeCell ref="B117:F117"/>
    <mergeCell ref="A120:H120"/>
    <mergeCell ref="B124:F124"/>
    <mergeCell ref="A127:H127"/>
    <mergeCell ref="B131:F131"/>
    <mergeCell ref="A134:H134"/>
    <mergeCell ref="B138:F138"/>
    <mergeCell ref="A141:H141"/>
    <mergeCell ref="B145:F145"/>
    <mergeCell ref="A148:H148"/>
    <mergeCell ref="B152:F152"/>
    <mergeCell ref="A155:H155"/>
    <mergeCell ref="B159:F159"/>
    <mergeCell ref="A162:H162"/>
    <mergeCell ref="B167:F167"/>
    <mergeCell ref="A170:H170"/>
    <mergeCell ref="B174:F174"/>
    <mergeCell ref="A177:H177"/>
    <mergeCell ref="B181:F181"/>
    <mergeCell ref="A184:H184"/>
    <mergeCell ref="A185:H185"/>
    <mergeCell ref="A186:H186"/>
    <mergeCell ref="B190:F190"/>
    <mergeCell ref="A193:H193"/>
    <mergeCell ref="B196:F196"/>
    <mergeCell ref="A199:H199"/>
    <mergeCell ref="B203:F203"/>
    <mergeCell ref="A206:H206"/>
    <mergeCell ref="B210:F210"/>
    <mergeCell ref="A213:H213"/>
    <mergeCell ref="B217:F217"/>
    <mergeCell ref="A220:H220"/>
    <mergeCell ref="B224:F224"/>
    <mergeCell ref="A227:H227"/>
    <mergeCell ref="B231:F231"/>
    <mergeCell ref="A234:H234"/>
    <mergeCell ref="B238:F238"/>
    <mergeCell ref="A241:H241"/>
    <mergeCell ref="B266:F266"/>
    <mergeCell ref="A269:H269"/>
    <mergeCell ref="B245:F245"/>
    <mergeCell ref="A248:H248"/>
    <mergeCell ref="B252:F252"/>
    <mergeCell ref="A255:H255"/>
    <mergeCell ref="B259:F259"/>
    <mergeCell ref="A262:H26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58"/>
  <sheetViews>
    <sheetView tabSelected="1" zoomScalePageLayoutView="0" workbookViewId="0" topLeftCell="A1">
      <selection activeCell="A7" sqref="A7"/>
    </sheetView>
  </sheetViews>
  <sheetFormatPr defaultColWidth="11.421875" defaultRowHeight="12.75"/>
  <cols>
    <col min="1" max="1" width="70.00390625" style="0" customWidth="1"/>
  </cols>
  <sheetData>
    <row r="1" ht="15.75">
      <c r="A1" s="545" t="s">
        <v>0</v>
      </c>
    </row>
    <row r="2" ht="15.75">
      <c r="A2" s="545" t="s">
        <v>933</v>
      </c>
    </row>
    <row r="3" ht="15.75">
      <c r="A3" s="545"/>
    </row>
    <row r="4" ht="15.75">
      <c r="A4" s="545" t="s">
        <v>934</v>
      </c>
    </row>
    <row r="5" ht="12.75">
      <c r="A5" s="580"/>
    </row>
    <row r="6" ht="12.75">
      <c r="A6" s="580"/>
    </row>
    <row r="7" ht="89.25">
      <c r="A7" s="581" t="s">
        <v>935</v>
      </c>
    </row>
    <row r="8" ht="12.75">
      <c r="A8" s="205"/>
    </row>
    <row r="9" ht="12.75">
      <c r="A9" s="581" t="s">
        <v>936</v>
      </c>
    </row>
    <row r="10" ht="12.75">
      <c r="A10" s="581"/>
    </row>
    <row r="11" spans="1:5" ht="18.75">
      <c r="A11" s="685" t="s">
        <v>937</v>
      </c>
      <c r="B11" s="685"/>
      <c r="C11" s="685"/>
      <c r="D11" s="685"/>
      <c r="E11" s="685"/>
    </row>
    <row r="12" spans="1:5" ht="15.75" thickBot="1">
      <c r="A12" s="582"/>
      <c r="B12" s="582"/>
      <c r="C12" s="582"/>
      <c r="D12" s="582"/>
      <c r="E12" s="583"/>
    </row>
    <row r="13" spans="1:5" ht="75.75" thickBot="1">
      <c r="A13" s="584" t="s">
        <v>938</v>
      </c>
      <c r="B13" s="585" t="s">
        <v>939</v>
      </c>
      <c r="C13" s="586" t="s">
        <v>940</v>
      </c>
      <c r="D13" s="587" t="s">
        <v>941</v>
      </c>
      <c r="E13" s="587" t="s">
        <v>6</v>
      </c>
    </row>
    <row r="14" spans="1:5" ht="15.75" thickBot="1">
      <c r="A14" s="588" t="s">
        <v>383</v>
      </c>
      <c r="B14" s="589" t="s">
        <v>942</v>
      </c>
      <c r="C14" s="589" t="s">
        <v>943</v>
      </c>
      <c r="D14" s="589" t="s">
        <v>944</v>
      </c>
      <c r="E14" s="589" t="s">
        <v>945</v>
      </c>
    </row>
    <row r="15" spans="1:5" ht="15.75" thickBot="1">
      <c r="A15" s="588" t="s">
        <v>946</v>
      </c>
      <c r="B15" s="590" t="s">
        <v>947</v>
      </c>
      <c r="C15" s="590" t="s">
        <v>948</v>
      </c>
      <c r="D15" s="590" t="s">
        <v>949</v>
      </c>
      <c r="E15" s="591">
        <v>1</v>
      </c>
    </row>
    <row r="16" ht="12.75">
      <c r="A16" s="581"/>
    </row>
    <row r="17" ht="12.75">
      <c r="A17" s="592"/>
    </row>
    <row r="18" ht="12.75">
      <c r="A18" s="592" t="s">
        <v>939</v>
      </c>
    </row>
    <row r="19" ht="12.75">
      <c r="A19" s="592"/>
    </row>
    <row r="20" ht="12.75">
      <c r="A20" s="592"/>
    </row>
    <row r="21" ht="38.25">
      <c r="A21" s="592" t="s">
        <v>950</v>
      </c>
    </row>
    <row r="22" ht="12.75">
      <c r="A22" s="592"/>
    </row>
    <row r="23" ht="12.75">
      <c r="A23" s="593" t="s">
        <v>182</v>
      </c>
    </row>
    <row r="24" ht="12.75">
      <c r="A24" s="581"/>
    </row>
    <row r="25" ht="178.5">
      <c r="A25" s="581" t="s">
        <v>951</v>
      </c>
    </row>
    <row r="26" ht="12.75">
      <c r="A26" s="581" t="s">
        <v>952</v>
      </c>
    </row>
    <row r="27" ht="12.75">
      <c r="A27" s="581"/>
    </row>
    <row r="28" ht="12.75">
      <c r="A28" s="593" t="s">
        <v>231</v>
      </c>
    </row>
    <row r="29" ht="12.75">
      <c r="A29" s="581"/>
    </row>
    <row r="30" ht="165.75">
      <c r="A30" s="581" t="s">
        <v>953</v>
      </c>
    </row>
    <row r="31" ht="12.75">
      <c r="A31" s="581"/>
    </row>
    <row r="32" ht="12.75">
      <c r="A32" s="593" t="s">
        <v>184</v>
      </c>
    </row>
    <row r="33" ht="12.75">
      <c r="A33" s="581"/>
    </row>
    <row r="34" ht="89.25">
      <c r="A34" s="581" t="s">
        <v>954</v>
      </c>
    </row>
    <row r="35" ht="12.75">
      <c r="A35" s="581"/>
    </row>
    <row r="36" ht="12.75">
      <c r="A36" s="593" t="s">
        <v>186</v>
      </c>
    </row>
    <row r="37" ht="12.75">
      <c r="A37" s="581"/>
    </row>
    <row r="38" ht="25.5">
      <c r="A38" s="581" t="s">
        <v>955</v>
      </c>
    </row>
    <row r="39" ht="12.75">
      <c r="A39" s="581"/>
    </row>
    <row r="40" ht="12.75">
      <c r="A40" s="593" t="s">
        <v>187</v>
      </c>
    </row>
    <row r="41" ht="12.75">
      <c r="A41" s="581"/>
    </row>
    <row r="42" ht="12.75">
      <c r="A42" s="581" t="s">
        <v>956</v>
      </c>
    </row>
    <row r="43" ht="12.75">
      <c r="A43" s="581"/>
    </row>
    <row r="44" ht="12.75">
      <c r="A44" s="581" t="s">
        <v>957</v>
      </c>
    </row>
    <row r="45" ht="12.75">
      <c r="A45" s="581"/>
    </row>
    <row r="46" ht="38.25">
      <c r="A46" s="581" t="s">
        <v>958</v>
      </c>
    </row>
    <row r="47" ht="12.75">
      <c r="A47" s="581"/>
    </row>
    <row r="48" ht="38.25">
      <c r="A48" s="581" t="s">
        <v>959</v>
      </c>
    </row>
    <row r="49" ht="12.75">
      <c r="A49" s="581"/>
    </row>
    <row r="50" ht="12.75">
      <c r="A50" s="581" t="s">
        <v>960</v>
      </c>
    </row>
    <row r="51" ht="12.75">
      <c r="A51" s="581"/>
    </row>
    <row r="52" ht="38.25">
      <c r="A52" s="581" t="s">
        <v>961</v>
      </c>
    </row>
    <row r="53" ht="12.75">
      <c r="A53" s="581"/>
    </row>
    <row r="54" ht="25.5">
      <c r="A54" s="581" t="s">
        <v>962</v>
      </c>
    </row>
    <row r="55" ht="12.75">
      <c r="A55" s="581"/>
    </row>
    <row r="56" ht="12.75">
      <c r="A56" s="593" t="s">
        <v>358</v>
      </c>
    </row>
    <row r="57" ht="12.75">
      <c r="A57" s="581"/>
    </row>
    <row r="58" ht="25.5">
      <c r="A58" s="581" t="s">
        <v>963</v>
      </c>
    </row>
    <row r="59" ht="12.75">
      <c r="A59" s="581"/>
    </row>
    <row r="60" ht="25.5">
      <c r="A60" s="581" t="s">
        <v>964</v>
      </c>
    </row>
    <row r="61" ht="12.75">
      <c r="A61" s="581"/>
    </row>
    <row r="62" ht="12.75">
      <c r="A62" s="581"/>
    </row>
    <row r="63" ht="12.75">
      <c r="A63" s="592" t="s">
        <v>965</v>
      </c>
    </row>
    <row r="64" ht="12.75">
      <c r="A64" s="592"/>
    </row>
    <row r="65" ht="12.75">
      <c r="A65" s="592"/>
    </row>
    <row r="66" ht="102">
      <c r="A66" s="592" t="s">
        <v>966</v>
      </c>
    </row>
    <row r="67" ht="12.75">
      <c r="A67" s="581"/>
    </row>
    <row r="68" ht="12.75">
      <c r="A68" s="581"/>
    </row>
    <row r="69" ht="12.75">
      <c r="A69" s="581"/>
    </row>
    <row r="70" ht="12.75">
      <c r="A70" s="581"/>
    </row>
    <row r="71" ht="12.75">
      <c r="A71" s="593" t="s">
        <v>182</v>
      </c>
    </row>
    <row r="72" ht="12.75">
      <c r="A72" s="581"/>
    </row>
    <row r="73" ht="140.25">
      <c r="A73" s="581" t="s">
        <v>967</v>
      </c>
    </row>
    <row r="74" ht="12.75">
      <c r="A74" s="581"/>
    </row>
    <row r="75" ht="12.75">
      <c r="A75" s="581"/>
    </row>
    <row r="76" ht="12.75">
      <c r="A76" s="581" t="s">
        <v>146</v>
      </c>
    </row>
    <row r="77" ht="12.75">
      <c r="A77" s="593" t="s">
        <v>231</v>
      </c>
    </row>
    <row r="78" ht="12.75">
      <c r="A78" s="581"/>
    </row>
    <row r="79" ht="102">
      <c r="A79" s="581" t="s">
        <v>968</v>
      </c>
    </row>
    <row r="80" ht="12.75">
      <c r="A80" s="581"/>
    </row>
    <row r="81" ht="12.75">
      <c r="A81" s="593" t="s">
        <v>184</v>
      </c>
    </row>
    <row r="82" ht="12.75">
      <c r="A82" s="581"/>
    </row>
    <row r="83" ht="114.75">
      <c r="A83" s="581" t="s">
        <v>969</v>
      </c>
    </row>
    <row r="84" ht="12.75">
      <c r="A84" s="581"/>
    </row>
    <row r="85" ht="12.75">
      <c r="A85" s="581"/>
    </row>
    <row r="86" ht="12.75">
      <c r="A86" s="581"/>
    </row>
    <row r="87" ht="12.75">
      <c r="A87" s="581"/>
    </row>
    <row r="88" ht="12.75">
      <c r="A88" s="593" t="s">
        <v>185</v>
      </c>
    </row>
    <row r="89" ht="12.75">
      <c r="A89" s="581"/>
    </row>
    <row r="90" ht="51">
      <c r="A90" s="581" t="s">
        <v>970</v>
      </c>
    </row>
    <row r="91" ht="12.75">
      <c r="A91" s="581"/>
    </row>
    <row r="92" ht="102">
      <c r="A92" s="581" t="s">
        <v>971</v>
      </c>
    </row>
    <row r="93" ht="12.75">
      <c r="A93" s="581"/>
    </row>
    <row r="94" ht="12.75">
      <c r="A94" s="593" t="s">
        <v>186</v>
      </c>
    </row>
    <row r="95" ht="12.75">
      <c r="A95" s="581"/>
    </row>
    <row r="96" ht="25.5">
      <c r="A96" s="581" t="s">
        <v>972</v>
      </c>
    </row>
    <row r="97" ht="12.75">
      <c r="A97" s="581"/>
    </row>
    <row r="98" ht="12.75">
      <c r="A98" s="581"/>
    </row>
    <row r="99" ht="12.75">
      <c r="A99" s="581"/>
    </row>
    <row r="100" ht="12.75">
      <c r="A100" s="581"/>
    </row>
    <row r="101" ht="12.75">
      <c r="A101" s="593" t="s">
        <v>189</v>
      </c>
    </row>
    <row r="102" ht="12.75">
      <c r="A102" s="581"/>
    </row>
    <row r="103" ht="51">
      <c r="A103" s="581" t="s">
        <v>973</v>
      </c>
    </row>
    <row r="104" ht="12.75">
      <c r="A104" s="581"/>
    </row>
    <row r="105" ht="12.75">
      <c r="A105" s="581"/>
    </row>
    <row r="106" ht="102">
      <c r="A106" s="581" t="s">
        <v>974</v>
      </c>
    </row>
    <row r="107" ht="12.75">
      <c r="A107" s="581"/>
    </row>
    <row r="108" ht="12.75">
      <c r="A108" s="581"/>
    </row>
    <row r="109" ht="12.75">
      <c r="A109" s="593" t="s">
        <v>187</v>
      </c>
    </row>
    <row r="110" ht="12.75">
      <c r="A110" s="581"/>
    </row>
    <row r="111" ht="12.75">
      <c r="A111" s="581" t="s">
        <v>975</v>
      </c>
    </row>
    <row r="112" ht="12.75">
      <c r="A112" s="581"/>
    </row>
    <row r="113" ht="25.5">
      <c r="A113" s="581" t="s">
        <v>976</v>
      </c>
    </row>
    <row r="114" ht="12.75">
      <c r="A114" s="581"/>
    </row>
    <row r="115" ht="12.75">
      <c r="A115" s="581"/>
    </row>
    <row r="116" ht="12.75">
      <c r="A116" s="592" t="s">
        <v>941</v>
      </c>
    </row>
    <row r="117" ht="12.75">
      <c r="A117" s="592"/>
    </row>
    <row r="118" ht="12.75">
      <c r="A118" s="592"/>
    </row>
    <row r="119" ht="38.25">
      <c r="A119" s="592" t="s">
        <v>977</v>
      </c>
    </row>
    <row r="120" ht="12.75">
      <c r="A120" s="581"/>
    </row>
    <row r="121" ht="12.75">
      <c r="A121" s="593" t="s">
        <v>182</v>
      </c>
    </row>
    <row r="122" ht="12.75">
      <c r="A122" s="581"/>
    </row>
    <row r="123" ht="114.75">
      <c r="A123" s="581" t="s">
        <v>978</v>
      </c>
    </row>
    <row r="124" ht="38.25">
      <c r="A124" s="581" t="s">
        <v>979</v>
      </c>
    </row>
    <row r="125" ht="12.75">
      <c r="A125" s="581"/>
    </row>
    <row r="126" ht="12.75">
      <c r="A126" s="581"/>
    </row>
    <row r="127" ht="12.75">
      <c r="A127" s="593" t="s">
        <v>231</v>
      </c>
    </row>
    <row r="128" ht="12.75">
      <c r="A128" s="581"/>
    </row>
    <row r="129" ht="102">
      <c r="A129" s="581" t="s">
        <v>980</v>
      </c>
    </row>
    <row r="130" ht="12.75">
      <c r="A130" s="581"/>
    </row>
    <row r="131" ht="12.75">
      <c r="A131" s="581"/>
    </row>
    <row r="132" ht="12.75">
      <c r="A132" s="593" t="s">
        <v>184</v>
      </c>
    </row>
    <row r="133" ht="12.75">
      <c r="A133" s="581"/>
    </row>
    <row r="134" ht="89.25">
      <c r="A134" s="581" t="s">
        <v>981</v>
      </c>
    </row>
    <row r="135" ht="12.75">
      <c r="A135" s="581"/>
    </row>
    <row r="136" ht="12.75">
      <c r="A136" s="593" t="s">
        <v>186</v>
      </c>
    </row>
    <row r="137" ht="12.75">
      <c r="A137" s="581"/>
    </row>
    <row r="138" ht="51">
      <c r="A138" s="581" t="s">
        <v>982</v>
      </c>
    </row>
    <row r="139" ht="12.75">
      <c r="A139" s="581"/>
    </row>
    <row r="140" ht="38.25">
      <c r="A140" s="581" t="s">
        <v>983</v>
      </c>
    </row>
    <row r="141" ht="12.75">
      <c r="A141" s="581"/>
    </row>
    <row r="142" ht="12.75">
      <c r="A142" s="593" t="s">
        <v>187</v>
      </c>
    </row>
    <row r="143" ht="12.75">
      <c r="A143" s="581"/>
    </row>
    <row r="144" ht="12.75">
      <c r="A144" s="581" t="s">
        <v>984</v>
      </c>
    </row>
    <row r="145" ht="12.75">
      <c r="A145" s="581"/>
    </row>
    <row r="146" ht="12.75">
      <c r="A146" s="593" t="s">
        <v>358</v>
      </c>
    </row>
    <row r="147" ht="12.75">
      <c r="A147" s="581"/>
    </row>
    <row r="148" ht="63.75">
      <c r="A148" s="581" t="s">
        <v>985</v>
      </c>
    </row>
    <row r="149" ht="12.75">
      <c r="A149" s="581"/>
    </row>
    <row r="150" ht="12.75">
      <c r="A150" s="593" t="s">
        <v>190</v>
      </c>
    </row>
    <row r="151" ht="12.75">
      <c r="A151" s="581"/>
    </row>
    <row r="152" ht="51">
      <c r="A152" s="581" t="s">
        <v>986</v>
      </c>
    </row>
    <row r="153" ht="12.75">
      <c r="A153" s="581"/>
    </row>
    <row r="154" ht="25.5">
      <c r="A154" s="581" t="s">
        <v>987</v>
      </c>
    </row>
    <row r="155" ht="12.75">
      <c r="A155" s="594"/>
    </row>
    <row r="156" ht="12.75">
      <c r="A156" s="594"/>
    </row>
    <row r="157" ht="12.75">
      <c r="A157" s="594"/>
    </row>
    <row r="158" ht="12.75">
      <c r="A158" s="594"/>
    </row>
  </sheetData>
  <sheetProtection/>
  <mergeCells count="1">
    <mergeCell ref="A11:E1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H174"/>
  <sheetViews>
    <sheetView view="pageBreakPreview" zoomScaleNormal="75" zoomScaleSheetLayoutView="100" zoomScalePageLayoutView="0" workbookViewId="0" topLeftCell="A134">
      <selection activeCell="B147" sqref="B147"/>
    </sheetView>
  </sheetViews>
  <sheetFormatPr defaultColWidth="11.421875" defaultRowHeight="12.75"/>
  <cols>
    <col min="1" max="1" width="26.28125" style="0" bestFit="1" customWidth="1"/>
    <col min="2" max="2" width="52.7109375" style="0" customWidth="1"/>
    <col min="3" max="3" width="23.7109375" style="0" bestFit="1" customWidth="1"/>
    <col min="4" max="4" width="24.00390625" style="0" bestFit="1" customWidth="1"/>
    <col min="5" max="5" width="9.8515625" style="0" bestFit="1" customWidth="1"/>
  </cols>
  <sheetData>
    <row r="1" spans="1:5" ht="12.75">
      <c r="A1" s="595" t="s">
        <v>0</v>
      </c>
      <c r="B1" s="596"/>
      <c r="C1" s="596"/>
      <c r="D1" s="596"/>
      <c r="E1" s="597"/>
    </row>
    <row r="2" spans="1:6" ht="12.75">
      <c r="A2" s="598" t="s">
        <v>1</v>
      </c>
      <c r="B2" s="599"/>
      <c r="C2" s="599"/>
      <c r="D2" s="599"/>
      <c r="E2" s="600"/>
      <c r="F2" s="205"/>
    </row>
    <row r="3" spans="1:6" ht="12.75">
      <c r="A3" s="598" t="s">
        <v>637</v>
      </c>
      <c r="B3" s="599"/>
      <c r="C3" s="599"/>
      <c r="D3" s="599"/>
      <c r="E3" s="601"/>
      <c r="F3" s="205"/>
    </row>
    <row r="4" spans="1:6" ht="12.75">
      <c r="A4" s="598"/>
      <c r="B4" s="602"/>
      <c r="C4" s="602"/>
      <c r="D4" s="602"/>
      <c r="E4" s="600"/>
      <c r="F4" s="205"/>
    </row>
    <row r="5" spans="1:6" ht="12.75">
      <c r="A5" s="598" t="s">
        <v>2</v>
      </c>
      <c r="B5" s="599"/>
      <c r="C5" s="599"/>
      <c r="D5" s="599"/>
      <c r="E5" s="601"/>
      <c r="F5" s="205"/>
    </row>
    <row r="6" spans="1:5" ht="13.5" thickBot="1">
      <c r="A6" s="327"/>
      <c r="B6" s="323"/>
      <c r="C6" s="323"/>
      <c r="D6" s="323"/>
      <c r="E6" s="328"/>
    </row>
    <row r="7" spans="1:5" ht="13.5" thickBot="1">
      <c r="A7" s="329" t="s">
        <v>3</v>
      </c>
      <c r="B7" s="48" t="s">
        <v>4</v>
      </c>
      <c r="C7" s="48" t="s">
        <v>5</v>
      </c>
      <c r="D7" s="48" t="s">
        <v>6</v>
      </c>
      <c r="E7" s="50" t="s">
        <v>7</v>
      </c>
    </row>
    <row r="8" spans="1:5" ht="12.75">
      <c r="A8" s="31"/>
      <c r="B8" s="32"/>
      <c r="C8" s="32"/>
      <c r="D8" s="32"/>
      <c r="E8" s="33"/>
    </row>
    <row r="9" spans="1:5" ht="12.75">
      <c r="A9" s="5" t="s">
        <v>8</v>
      </c>
      <c r="B9" s="6" t="s">
        <v>9</v>
      </c>
      <c r="C9" s="7"/>
      <c r="D9" s="8">
        <f>SUM(D11+D44+D111)</f>
        <v>22012774376</v>
      </c>
      <c r="E9" s="9">
        <f>SUM(D9*100)/$D$174</f>
        <v>95.35187340156467</v>
      </c>
    </row>
    <row r="10" spans="1:5" ht="12.75">
      <c r="A10" s="1"/>
      <c r="B10" s="2" t="s">
        <v>10</v>
      </c>
      <c r="C10" s="2"/>
      <c r="D10" s="2"/>
      <c r="E10" s="4"/>
    </row>
    <row r="11" spans="1:5" ht="12.75">
      <c r="A11" s="5" t="s">
        <v>11</v>
      </c>
      <c r="B11" s="6" t="s">
        <v>12</v>
      </c>
      <c r="C11" s="7"/>
      <c r="D11" s="8">
        <f>SUM(D13+D37+D19)</f>
        <v>11912200000</v>
      </c>
      <c r="E11" s="9">
        <f>SUM(D11*100)/$D$174</f>
        <v>51.59961061394012</v>
      </c>
    </row>
    <row r="12" spans="1:5" ht="12.75">
      <c r="A12" s="1"/>
      <c r="B12" s="2"/>
      <c r="C12" s="2"/>
      <c r="D12" s="2"/>
      <c r="E12" s="4"/>
    </row>
    <row r="13" spans="1:5" ht="12.75">
      <c r="A13" s="5" t="s">
        <v>13</v>
      </c>
      <c r="B13" s="7" t="s">
        <v>14</v>
      </c>
      <c r="C13" s="7"/>
      <c r="D13" s="8">
        <f>+C15</f>
        <v>5915000000</v>
      </c>
      <c r="E13" s="9">
        <f>SUM(D13*100)/$D$174</f>
        <v>25.621774045218835</v>
      </c>
    </row>
    <row r="14" spans="1:5" ht="12.75">
      <c r="A14" s="1"/>
      <c r="B14" s="2"/>
      <c r="C14" s="2"/>
      <c r="D14" s="2"/>
      <c r="E14" s="4"/>
    </row>
    <row r="15" spans="1:5" s="195" customFormat="1" ht="12" customHeight="1">
      <c r="A15" s="10" t="s">
        <v>15</v>
      </c>
      <c r="B15" s="11" t="s">
        <v>16</v>
      </c>
      <c r="C15" s="12">
        <f>+C16+C17</f>
        <v>5915000000</v>
      </c>
      <c r="D15" s="13"/>
      <c r="E15" s="14">
        <f>SUM(C15*100)/$D$174</f>
        <v>25.621774045218835</v>
      </c>
    </row>
    <row r="16" spans="1:5" s="206" customFormat="1" ht="12.75">
      <c r="A16" s="15" t="s">
        <v>17</v>
      </c>
      <c r="B16" s="16" t="s">
        <v>18</v>
      </c>
      <c r="C16" s="17">
        <f>+'[4]JUSTIFICACION'!$H$24</f>
        <v>5915000000</v>
      </c>
      <c r="D16" s="16"/>
      <c r="E16" s="18">
        <f>SUM(C16*100)/$D$174</f>
        <v>25.621774045218835</v>
      </c>
    </row>
    <row r="17" spans="1:5" s="206" customFormat="1" ht="12.75" hidden="1">
      <c r="A17" s="15" t="s">
        <v>19</v>
      </c>
      <c r="B17" s="16" t="s">
        <v>20</v>
      </c>
      <c r="C17" s="17">
        <f>+'[4]JUSTIFICACION'!$H$32</f>
        <v>0</v>
      </c>
      <c r="D17" s="16"/>
      <c r="E17" s="18">
        <f>SUM(C17*100)/$D$174</f>
        <v>0</v>
      </c>
    </row>
    <row r="18" spans="1:5" ht="12.75">
      <c r="A18" s="1"/>
      <c r="B18" s="2"/>
      <c r="C18" s="2"/>
      <c r="D18" s="2"/>
      <c r="E18" s="4"/>
    </row>
    <row r="19" spans="1:5" ht="12.75">
      <c r="A19" s="5" t="s">
        <v>21</v>
      </c>
      <c r="B19" s="7" t="s">
        <v>22</v>
      </c>
      <c r="C19" s="7"/>
      <c r="D19" s="8">
        <f>+C21+C31</f>
        <v>5438200000</v>
      </c>
      <c r="E19" s="9">
        <f>SUM(D19*100)/$D$174</f>
        <v>23.556438142469833</v>
      </c>
    </row>
    <row r="20" spans="1:5" ht="12.75">
      <c r="A20" s="1"/>
      <c r="B20" s="2"/>
      <c r="C20" s="2"/>
      <c r="D20" s="2"/>
      <c r="E20" s="4"/>
    </row>
    <row r="21" spans="1:5" ht="35.25" customHeight="1">
      <c r="A21" s="10" t="s">
        <v>23</v>
      </c>
      <c r="B21" s="11" t="s">
        <v>24</v>
      </c>
      <c r="C21" s="19">
        <f>+C22+C28</f>
        <v>912000000</v>
      </c>
      <c r="D21" s="2"/>
      <c r="E21" s="14">
        <f aca="true" t="shared" si="0" ref="E21:E26">SUM(C21*100)/$D$174</f>
        <v>3.950474713311847</v>
      </c>
    </row>
    <row r="22" spans="1:5" ht="25.5">
      <c r="A22" s="10" t="s">
        <v>25</v>
      </c>
      <c r="B22" s="11" t="s">
        <v>26</v>
      </c>
      <c r="C22" s="19">
        <f>+C23+C24+C26</f>
        <v>872000000</v>
      </c>
      <c r="D22" s="2"/>
      <c r="E22" s="14">
        <f t="shared" si="0"/>
        <v>3.777208278517468</v>
      </c>
    </row>
    <row r="23" spans="1:5" ht="25.5">
      <c r="A23" s="10" t="s">
        <v>27</v>
      </c>
      <c r="B23" s="20" t="s">
        <v>28</v>
      </c>
      <c r="C23" s="21">
        <f>+'[4]JUSTIFICACION'!$H$42</f>
        <v>120000000</v>
      </c>
      <c r="D23" s="2"/>
      <c r="E23" s="22">
        <f t="shared" si="0"/>
        <v>0.5197993043831378</v>
      </c>
    </row>
    <row r="24" spans="1:5" ht="10.5" customHeight="1">
      <c r="A24" s="10" t="s">
        <v>29</v>
      </c>
      <c r="B24" s="20" t="s">
        <v>30</v>
      </c>
      <c r="C24" s="21">
        <f>+C25</f>
        <v>5000000</v>
      </c>
      <c r="D24" s="2"/>
      <c r="E24" s="22">
        <f t="shared" si="0"/>
        <v>0.02165830434929741</v>
      </c>
    </row>
    <row r="25" spans="1:5" s="206" customFormat="1" ht="12.75">
      <c r="A25" s="15" t="s">
        <v>29</v>
      </c>
      <c r="B25" s="16" t="s">
        <v>31</v>
      </c>
      <c r="C25" s="17">
        <f>+'[4]JUSTIFICACION'!$H$53</f>
        <v>5000000</v>
      </c>
      <c r="D25" s="16"/>
      <c r="E25" s="18">
        <f t="shared" si="0"/>
        <v>0.02165830434929741</v>
      </c>
    </row>
    <row r="26" spans="1:5" ht="12.75">
      <c r="A26" s="10" t="s">
        <v>32</v>
      </c>
      <c r="B26" s="2" t="s">
        <v>33</v>
      </c>
      <c r="C26" s="21">
        <f>+'[4]JUSTIFICACION'!$H$62</f>
        <v>747000000</v>
      </c>
      <c r="D26" s="2"/>
      <c r="E26" s="22">
        <f t="shared" si="0"/>
        <v>3.235750669785033</v>
      </c>
    </row>
    <row r="27" spans="1:5" ht="12.75">
      <c r="A27" s="1"/>
      <c r="B27" s="2"/>
      <c r="C27" s="2"/>
      <c r="D27" s="2"/>
      <c r="E27" s="4"/>
    </row>
    <row r="28" spans="1:5" ht="25.5">
      <c r="A28" s="10" t="s">
        <v>34</v>
      </c>
      <c r="B28" s="11" t="s">
        <v>35</v>
      </c>
      <c r="C28" s="12">
        <f>+C29</f>
        <v>40000000</v>
      </c>
      <c r="D28" s="2"/>
      <c r="E28" s="14">
        <f>SUM(C28*100)/$D$174</f>
        <v>0.17326643479437928</v>
      </c>
    </row>
    <row r="29" spans="1:5" ht="25.5">
      <c r="A29" s="10" t="s">
        <v>36</v>
      </c>
      <c r="B29" s="20" t="s">
        <v>37</v>
      </c>
      <c r="C29" s="21">
        <f>+'[4]JUSTIFICACION'!$H$73</f>
        <v>40000000</v>
      </c>
      <c r="D29" s="2"/>
      <c r="E29" s="22">
        <f>SUM(C29*100)/$D$174</f>
        <v>0.17326643479437928</v>
      </c>
    </row>
    <row r="30" spans="1:5" ht="12.75">
      <c r="A30" s="10"/>
      <c r="B30" s="20"/>
      <c r="C30" s="21"/>
      <c r="D30" s="2"/>
      <c r="E30" s="22"/>
    </row>
    <row r="31" spans="1:5" ht="35.25" customHeight="1">
      <c r="A31" s="10" t="s">
        <v>38</v>
      </c>
      <c r="B31" s="11" t="s">
        <v>39</v>
      </c>
      <c r="C31" s="19">
        <f>+C32</f>
        <v>4526200000</v>
      </c>
      <c r="D31" s="2"/>
      <c r="E31" s="14">
        <f>SUM(C31*100)/$D$174</f>
        <v>19.60596342915799</v>
      </c>
    </row>
    <row r="32" spans="1:5" ht="35.25" customHeight="1">
      <c r="A32" s="10" t="s">
        <v>40</v>
      </c>
      <c r="B32" s="11" t="s">
        <v>455</v>
      </c>
      <c r="C32" s="19">
        <f>+C33+C34</f>
        <v>4526200000</v>
      </c>
      <c r="D32" s="2"/>
      <c r="E32" s="14">
        <f>SUM(C32*100)/$D$174</f>
        <v>19.60596342915799</v>
      </c>
    </row>
    <row r="33" spans="1:5" s="206" customFormat="1" ht="12.75">
      <c r="A33" s="15" t="s">
        <v>41</v>
      </c>
      <c r="B33" s="23" t="s">
        <v>42</v>
      </c>
      <c r="C33" s="17">
        <f>+'[4]JUSTIFICACION'!$H$83</f>
        <v>1200000</v>
      </c>
      <c r="D33" s="16"/>
      <c r="E33" s="18">
        <f>SUM(C33*100)/$D$174</f>
        <v>0.005197993043831378</v>
      </c>
    </row>
    <row r="34" spans="1:5" s="206" customFormat="1" ht="12.75">
      <c r="A34" s="15" t="s">
        <v>43</v>
      </c>
      <c r="B34" s="16" t="s">
        <v>44</v>
      </c>
      <c r="C34" s="17">
        <f>+'[4]JUSTIFICACION'!$H$94</f>
        <v>4525000000</v>
      </c>
      <c r="D34" s="16"/>
      <c r="E34" s="18">
        <f>SUM(C34*100)/$D$174</f>
        <v>19.600765436114155</v>
      </c>
    </row>
    <row r="35" spans="1:5" ht="12.75">
      <c r="A35" s="1"/>
      <c r="B35" s="2"/>
      <c r="C35" s="2"/>
      <c r="D35" s="2"/>
      <c r="E35" s="4"/>
    </row>
    <row r="36" spans="1:5" ht="12.75">
      <c r="A36" s="1"/>
      <c r="B36" s="2"/>
      <c r="C36" s="2"/>
      <c r="D36" s="2"/>
      <c r="E36" s="4"/>
    </row>
    <row r="37" spans="1:5" ht="12.75">
      <c r="A37" s="5" t="s">
        <v>45</v>
      </c>
      <c r="B37" s="7" t="s">
        <v>46</v>
      </c>
      <c r="C37" s="7"/>
      <c r="D37" s="8">
        <f>+C39</f>
        <v>559000000</v>
      </c>
      <c r="E37" s="9">
        <f>SUM(D37*100)/$D$174</f>
        <v>2.4213984262514505</v>
      </c>
    </row>
    <row r="38" spans="1:5" ht="12.75">
      <c r="A38" s="1"/>
      <c r="B38" s="2"/>
      <c r="C38" s="2"/>
      <c r="D38" s="2"/>
      <c r="E38" s="4"/>
    </row>
    <row r="39" spans="1:5" s="195" customFormat="1" ht="12.75">
      <c r="A39" s="10" t="s">
        <v>47</v>
      </c>
      <c r="B39" s="13" t="s">
        <v>48</v>
      </c>
      <c r="C39" s="12">
        <f>SUM(C40:C41)</f>
        <v>559000000</v>
      </c>
      <c r="D39" s="13"/>
      <c r="E39" s="14">
        <f>SUM(C39*100)/$D$174</f>
        <v>2.4213984262514505</v>
      </c>
    </row>
    <row r="40" spans="1:5" s="206" customFormat="1" ht="12.75">
      <c r="A40" s="10" t="s">
        <v>49</v>
      </c>
      <c r="B40" s="16" t="s">
        <v>50</v>
      </c>
      <c r="C40" s="17">
        <f>+'[4]JUSTIFICACION'!$H$106</f>
        <v>475000000</v>
      </c>
      <c r="D40" s="16"/>
      <c r="E40" s="18">
        <f>SUM(C40*100)/$D$174</f>
        <v>2.057538913183254</v>
      </c>
    </row>
    <row r="41" spans="1:5" s="206" customFormat="1" ht="12.75">
      <c r="A41" s="10" t="s">
        <v>51</v>
      </c>
      <c r="B41" s="16" t="s">
        <v>52</v>
      </c>
      <c r="C41" s="17">
        <f>+'[4]JUSTIFICACION'!$H$115</f>
        <v>84000000</v>
      </c>
      <c r="D41" s="16"/>
      <c r="E41" s="18">
        <f>SUM(C41*100)/$D$174</f>
        <v>0.36385951306819647</v>
      </c>
    </row>
    <row r="42" spans="1:5" ht="12.75">
      <c r="A42" s="1"/>
      <c r="B42" s="2"/>
      <c r="C42" s="2"/>
      <c r="D42" s="2"/>
      <c r="E42" s="4"/>
    </row>
    <row r="43" spans="1:5" ht="12.75">
      <c r="A43" s="1"/>
      <c r="B43" s="2"/>
      <c r="C43" s="2"/>
      <c r="D43" s="2"/>
      <c r="E43" s="4"/>
    </row>
    <row r="44" spans="1:5" ht="12.75">
      <c r="A44" s="5" t="s">
        <v>53</v>
      </c>
      <c r="B44" s="6" t="s">
        <v>54</v>
      </c>
      <c r="C44" s="7"/>
      <c r="D44" s="8">
        <f>+D46+D89+D96+D107</f>
        <v>9976860000</v>
      </c>
      <c r="E44" s="9">
        <f>SUM(D44*100)/$D$174</f>
        <v>43.21637406606627</v>
      </c>
    </row>
    <row r="45" spans="1:5" ht="12.75">
      <c r="A45" s="1"/>
      <c r="B45" s="2"/>
      <c r="C45" s="2"/>
      <c r="D45" s="2"/>
      <c r="E45" s="4"/>
    </row>
    <row r="46" spans="1:5" ht="12.75">
      <c r="A46" s="5" t="s">
        <v>55</v>
      </c>
      <c r="B46" s="7" t="s">
        <v>56</v>
      </c>
      <c r="C46" s="7"/>
      <c r="D46" s="8">
        <f>+D48+D52+D74</f>
        <v>8292010000</v>
      </c>
      <c r="E46" s="9">
        <f>SUM(D46*100)/$D$174</f>
        <v>35.918175249483525</v>
      </c>
    </row>
    <row r="47" spans="1:5" ht="12.75">
      <c r="A47" s="1"/>
      <c r="B47" s="2"/>
      <c r="C47" s="2"/>
      <c r="D47" s="2"/>
      <c r="E47" s="4"/>
    </row>
    <row r="48" spans="1:5" ht="12.75">
      <c r="A48" s="5" t="s">
        <v>57</v>
      </c>
      <c r="B48" s="7" t="s">
        <v>58</v>
      </c>
      <c r="C48" s="7"/>
      <c r="D48" s="8">
        <f>SUM(C50)</f>
        <v>2665000000</v>
      </c>
      <c r="E48" s="9">
        <f>SUM(D48*100)/$D$174</f>
        <v>11.54387621817552</v>
      </c>
    </row>
    <row r="49" spans="1:5" ht="12.75">
      <c r="A49" s="1"/>
      <c r="B49" s="2"/>
      <c r="C49" s="2"/>
      <c r="D49" s="2"/>
      <c r="E49" s="4"/>
    </row>
    <row r="50" spans="1:5" ht="12.75">
      <c r="A50" s="10" t="s">
        <v>59</v>
      </c>
      <c r="B50" s="13" t="s">
        <v>60</v>
      </c>
      <c r="C50" s="12">
        <f>+'[4]JUSTIFICACION'!$H$126</f>
        <v>2665000000</v>
      </c>
      <c r="D50" s="2"/>
      <c r="E50" s="14">
        <f>SUM(C50*100)/$D$174</f>
        <v>11.54387621817552</v>
      </c>
    </row>
    <row r="51" spans="1:5" ht="12.75">
      <c r="A51" s="1"/>
      <c r="B51" s="2"/>
      <c r="C51" s="2"/>
      <c r="D51" s="2"/>
      <c r="E51" s="4"/>
    </row>
    <row r="52" spans="1:5" ht="12.75">
      <c r="A52" s="5" t="s">
        <v>61</v>
      </c>
      <c r="B52" s="7" t="s">
        <v>62</v>
      </c>
      <c r="C52" s="7"/>
      <c r="D52" s="8">
        <f>+C54+C59+C71</f>
        <v>5346260000</v>
      </c>
      <c r="E52" s="9">
        <f>SUM(D52*100)/$D$174</f>
        <v>23.15818524209495</v>
      </c>
    </row>
    <row r="53" spans="1:5" ht="12.75">
      <c r="A53" s="1"/>
      <c r="B53" s="2"/>
      <c r="C53" s="2"/>
      <c r="D53" s="2"/>
      <c r="E53" s="4"/>
    </row>
    <row r="54" spans="1:5" s="195" customFormat="1" ht="12.75">
      <c r="A54" s="10" t="s">
        <v>63</v>
      </c>
      <c r="B54" s="13" t="s">
        <v>64</v>
      </c>
      <c r="C54" s="19">
        <f>+C55+C58</f>
        <v>278160000</v>
      </c>
      <c r="D54" s="13"/>
      <c r="E54" s="14">
        <f aca="true" t="shared" si="1" ref="E54:E72">SUM(C54*100)/$D$174</f>
        <v>1.2048947875601135</v>
      </c>
    </row>
    <row r="55" spans="1:5" s="207" customFormat="1" ht="12.75">
      <c r="A55" s="10" t="s">
        <v>65</v>
      </c>
      <c r="B55" s="24" t="s">
        <v>66</v>
      </c>
      <c r="C55" s="25">
        <f>+C56+C57</f>
        <v>277360000</v>
      </c>
      <c r="D55" s="24"/>
      <c r="E55" s="26">
        <f t="shared" si="1"/>
        <v>1.2014294588642258</v>
      </c>
    </row>
    <row r="56" spans="1:5" s="206" customFormat="1" ht="12.75">
      <c r="A56" s="15" t="s">
        <v>67</v>
      </c>
      <c r="B56" s="16" t="s">
        <v>68</v>
      </c>
      <c r="C56" s="17">
        <f>+'[4]JUSTIFICACION'!$H$136</f>
        <v>277360000</v>
      </c>
      <c r="D56" s="16"/>
      <c r="E56" s="18">
        <f t="shared" si="1"/>
        <v>1.2014294588642258</v>
      </c>
    </row>
    <row r="57" spans="1:5" s="206" customFormat="1" ht="12.75" hidden="1">
      <c r="A57" s="15" t="s">
        <v>69</v>
      </c>
      <c r="B57" s="16" t="s">
        <v>70</v>
      </c>
      <c r="C57" s="17">
        <f>+'[4]JUSTIFICACION'!$H$146</f>
        <v>0</v>
      </c>
      <c r="D57" s="16"/>
      <c r="E57" s="18">
        <f t="shared" si="1"/>
        <v>0</v>
      </c>
    </row>
    <row r="58" spans="1:5" s="207" customFormat="1" ht="12.75">
      <c r="A58" s="10" t="s">
        <v>71</v>
      </c>
      <c r="B58" s="24" t="s">
        <v>72</v>
      </c>
      <c r="C58" s="27">
        <f>+'[4]JUSTIFICACION'!$H$155</f>
        <v>800000</v>
      </c>
      <c r="D58" s="24"/>
      <c r="E58" s="26">
        <f t="shared" si="1"/>
        <v>0.0034653286958875856</v>
      </c>
    </row>
    <row r="59" spans="1:5" s="195" customFormat="1" ht="12.75">
      <c r="A59" s="10" t="s">
        <v>73</v>
      </c>
      <c r="B59" s="13" t="s">
        <v>74</v>
      </c>
      <c r="C59" s="12">
        <f>+C60+C63+C66</f>
        <v>5058100000</v>
      </c>
      <c r="D59" s="13"/>
      <c r="E59" s="14">
        <f t="shared" si="1"/>
        <v>21.909973845836245</v>
      </c>
    </row>
    <row r="60" spans="1:5" s="207" customFormat="1" ht="12.75">
      <c r="A60" s="10" t="s">
        <v>75</v>
      </c>
      <c r="B60" s="24" t="s">
        <v>76</v>
      </c>
      <c r="C60" s="27">
        <f>SUM(C61:C62)</f>
        <v>1193600000</v>
      </c>
      <c r="D60" s="24"/>
      <c r="E60" s="26">
        <f t="shared" si="1"/>
        <v>5.1702704142642775</v>
      </c>
    </row>
    <row r="61" spans="1:5" s="206" customFormat="1" ht="12.75">
      <c r="A61" s="28" t="s">
        <v>77</v>
      </c>
      <c r="B61" s="16" t="s">
        <v>78</v>
      </c>
      <c r="C61" s="17">
        <f>+'[4]JUSTIFICACION'!$H$165</f>
        <v>650000000</v>
      </c>
      <c r="D61" s="16"/>
      <c r="E61" s="18">
        <f t="shared" si="1"/>
        <v>2.815579565408663</v>
      </c>
    </row>
    <row r="62" spans="1:5" s="206" customFormat="1" ht="12.75">
      <c r="A62" s="28" t="s">
        <v>514</v>
      </c>
      <c r="B62" s="16" t="s">
        <v>515</v>
      </c>
      <c r="C62" s="17">
        <f>+'[4]JUSTIFICACION'!$G$168</f>
        <v>543600000</v>
      </c>
      <c r="D62" s="16"/>
      <c r="E62" s="18"/>
    </row>
    <row r="63" spans="1:5" ht="11.25" customHeight="1">
      <c r="A63" s="10" t="s">
        <v>79</v>
      </c>
      <c r="B63" s="2" t="s">
        <v>80</v>
      </c>
      <c r="C63" s="21">
        <f>SUM(C64:C65)</f>
        <v>60000000</v>
      </c>
      <c r="D63" s="2"/>
      <c r="E63" s="22">
        <f t="shared" si="1"/>
        <v>0.2598996521915689</v>
      </c>
    </row>
    <row r="64" spans="1:5" s="206" customFormat="1" ht="12.75">
      <c r="A64" s="28" t="s">
        <v>81</v>
      </c>
      <c r="B64" s="16" t="s">
        <v>82</v>
      </c>
      <c r="C64" s="17">
        <f>+'[4]JUSTIFICACION'!$H$185</f>
        <v>60000000</v>
      </c>
      <c r="D64" s="16"/>
      <c r="E64" s="22">
        <f t="shared" si="1"/>
        <v>0.2598996521915689</v>
      </c>
    </row>
    <row r="65" spans="1:5" s="206" customFormat="1" ht="12.75" hidden="1">
      <c r="A65" s="28" t="s">
        <v>83</v>
      </c>
      <c r="B65" s="16" t="s">
        <v>84</v>
      </c>
      <c r="C65" s="17">
        <f>+'[4]JUSTIFICACION'!$H$196</f>
        <v>0</v>
      </c>
      <c r="D65" s="16"/>
      <c r="E65" s="22">
        <f t="shared" si="1"/>
        <v>0</v>
      </c>
    </row>
    <row r="66" spans="1:5" ht="12.75">
      <c r="A66" s="10" t="s">
        <v>85</v>
      </c>
      <c r="B66" s="29" t="s">
        <v>86</v>
      </c>
      <c r="C66" s="27">
        <f>SUM(C67:C70)</f>
        <v>3804500000</v>
      </c>
      <c r="D66" s="2"/>
      <c r="E66" s="26">
        <f t="shared" si="1"/>
        <v>16.479803779380397</v>
      </c>
    </row>
    <row r="67" spans="1:5" s="206" customFormat="1" ht="12.75">
      <c r="A67" s="28" t="s">
        <v>87</v>
      </c>
      <c r="B67" s="16" t="s">
        <v>88</v>
      </c>
      <c r="C67" s="17">
        <f>+'[4]JUSTIFICACION'!$H$207</f>
        <v>3080000000</v>
      </c>
      <c r="D67" s="16"/>
      <c r="E67" s="18">
        <f t="shared" si="1"/>
        <v>13.341515479167205</v>
      </c>
    </row>
    <row r="68" spans="1:5" s="206" customFormat="1" ht="12.75">
      <c r="A68" s="28" t="s">
        <v>89</v>
      </c>
      <c r="B68" s="16" t="s">
        <v>90</v>
      </c>
      <c r="C68" s="17">
        <f>+'[4]JUSTIFICACION'!$H$216</f>
        <v>456500000</v>
      </c>
      <c r="D68" s="16"/>
      <c r="E68" s="18">
        <f t="shared" si="1"/>
        <v>1.9774031870908535</v>
      </c>
    </row>
    <row r="69" spans="1:5" s="206" customFormat="1" ht="12.75">
      <c r="A69" s="28" t="s">
        <v>91</v>
      </c>
      <c r="B69" s="23" t="s">
        <v>92</v>
      </c>
      <c r="C69" s="17">
        <f>+'[4]JUSTIFICACION'!$H$226</f>
        <v>239500000</v>
      </c>
      <c r="D69" s="16"/>
      <c r="E69" s="18">
        <f t="shared" si="1"/>
        <v>1.037432778331346</v>
      </c>
    </row>
    <row r="70" spans="1:5" ht="12.75">
      <c r="A70" s="28" t="s">
        <v>93</v>
      </c>
      <c r="B70" s="23" t="s">
        <v>94</v>
      </c>
      <c r="C70" s="17">
        <f>+'[4]JUSTIFICACION'!$H$237</f>
        <v>28500000</v>
      </c>
      <c r="D70" s="2"/>
      <c r="E70" s="22">
        <f>SUM(C70*100)/$D$174</f>
        <v>0.12345233479099522</v>
      </c>
    </row>
    <row r="71" spans="1:5" s="206" customFormat="1" ht="12.75">
      <c r="A71" s="10" t="s">
        <v>95</v>
      </c>
      <c r="B71" s="30" t="s">
        <v>96</v>
      </c>
      <c r="C71" s="12">
        <f>+C72</f>
        <v>10000000</v>
      </c>
      <c r="D71" s="16"/>
      <c r="E71" s="14">
        <f t="shared" si="1"/>
        <v>0.04331660869859482</v>
      </c>
    </row>
    <row r="72" spans="1:5" ht="12.75">
      <c r="A72" s="10" t="s">
        <v>97</v>
      </c>
      <c r="B72" s="2" t="s">
        <v>98</v>
      </c>
      <c r="C72" s="21">
        <f>+'[4]JUSTIFICACION'!$H$246</f>
        <v>10000000</v>
      </c>
      <c r="D72" s="2"/>
      <c r="E72" s="22">
        <f t="shared" si="1"/>
        <v>0.04331660869859482</v>
      </c>
    </row>
    <row r="73" spans="1:5" ht="12.75">
      <c r="A73" s="1"/>
      <c r="B73" s="2"/>
      <c r="C73" s="2"/>
      <c r="D73" s="2"/>
      <c r="E73" s="4"/>
    </row>
    <row r="74" spans="1:5" ht="12.75">
      <c r="A74" s="5" t="s">
        <v>100</v>
      </c>
      <c r="B74" s="7" t="s">
        <v>101</v>
      </c>
      <c r="C74" s="7"/>
      <c r="D74" s="8">
        <f>+C75+C78</f>
        <v>280750000</v>
      </c>
      <c r="E74" s="9">
        <f>SUM(D74*100)/$D$174</f>
        <v>1.2161137892130496</v>
      </c>
    </row>
    <row r="75" spans="1:5" ht="24.75" customHeight="1">
      <c r="A75" s="10" t="s">
        <v>102</v>
      </c>
      <c r="B75" s="11" t="s">
        <v>103</v>
      </c>
      <c r="C75" s="12">
        <f>+C76</f>
        <v>268750000</v>
      </c>
      <c r="D75" s="2"/>
      <c r="E75" s="4"/>
    </row>
    <row r="76" spans="1:5" ht="25.5">
      <c r="A76" s="10" t="s">
        <v>104</v>
      </c>
      <c r="B76" s="37" t="s">
        <v>105</v>
      </c>
      <c r="C76" s="21">
        <f>+C77</f>
        <v>268750000</v>
      </c>
      <c r="D76" s="2"/>
      <c r="E76" s="26">
        <f>SUM(C76*100)/$D$174</f>
        <v>1.1641338587747356</v>
      </c>
    </row>
    <row r="77" spans="1:5" s="206" customFormat="1" ht="12.75">
      <c r="A77" s="28" t="s">
        <v>106</v>
      </c>
      <c r="B77" s="16" t="s">
        <v>107</v>
      </c>
      <c r="C77" s="17">
        <f>+'[4]JUSTIFICACION'!$H$257</f>
        <v>268750000</v>
      </c>
      <c r="D77" s="16"/>
      <c r="E77" s="18">
        <f>SUM(C77*100)/$D$174</f>
        <v>1.1641338587747356</v>
      </c>
    </row>
    <row r="78" spans="1:5" ht="27.75" customHeight="1" thickBot="1">
      <c r="A78" s="57" t="s">
        <v>108</v>
      </c>
      <c r="B78" s="330" t="s">
        <v>109</v>
      </c>
      <c r="C78" s="331">
        <f>+C86</f>
        <v>12000000</v>
      </c>
      <c r="D78" s="323"/>
      <c r="E78" s="332">
        <f>SUM(C78*100)/$D$174</f>
        <v>0.05197993043831378</v>
      </c>
    </row>
    <row r="79" spans="1:5" ht="12.75">
      <c r="A79" s="31"/>
      <c r="B79" s="32"/>
      <c r="C79" s="32"/>
      <c r="D79" s="32"/>
      <c r="E79" s="33"/>
    </row>
    <row r="80" spans="1:6" ht="12.75">
      <c r="A80" s="598" t="s">
        <v>0</v>
      </c>
      <c r="B80" s="599"/>
      <c r="C80" s="599"/>
      <c r="D80" s="599"/>
      <c r="E80" s="600"/>
      <c r="F80" s="205"/>
    </row>
    <row r="81" spans="1:6" ht="12.75">
      <c r="A81" s="598" t="s">
        <v>1</v>
      </c>
      <c r="B81" s="599"/>
      <c r="C81" s="599"/>
      <c r="D81" s="599"/>
      <c r="E81" s="600"/>
      <c r="F81" s="205"/>
    </row>
    <row r="82" spans="1:6" ht="12.75">
      <c r="A82" s="598" t="s">
        <v>638</v>
      </c>
      <c r="B82" s="599"/>
      <c r="C82" s="599"/>
      <c r="D82" s="599"/>
      <c r="E82" s="600"/>
      <c r="F82" s="205"/>
    </row>
    <row r="83" spans="1:6" ht="12.75">
      <c r="A83" s="598" t="s">
        <v>99</v>
      </c>
      <c r="B83" s="602"/>
      <c r="C83" s="602"/>
      <c r="D83" s="602"/>
      <c r="E83" s="600"/>
      <c r="F83" s="205"/>
    </row>
    <row r="84" spans="1:5" ht="12.75">
      <c r="A84" s="10"/>
      <c r="B84" s="13"/>
      <c r="C84" s="13"/>
      <c r="D84" s="13"/>
      <c r="E84" s="3"/>
    </row>
    <row r="85" spans="1:5" ht="13.5" thickBot="1">
      <c r="A85" s="34" t="s">
        <v>3</v>
      </c>
      <c r="B85" s="35" t="s">
        <v>4</v>
      </c>
      <c r="C85" s="35" t="s">
        <v>5</v>
      </c>
      <c r="D85" s="35" t="s">
        <v>6</v>
      </c>
      <c r="E85" s="36" t="s">
        <v>7</v>
      </c>
    </row>
    <row r="86" spans="1:5" s="206" customFormat="1" ht="29.25" customHeight="1" thickTop="1">
      <c r="A86" s="10" t="s">
        <v>110</v>
      </c>
      <c r="B86" s="37" t="s">
        <v>111</v>
      </c>
      <c r="C86" s="27">
        <f>+C87</f>
        <v>12000000</v>
      </c>
      <c r="D86" s="16"/>
      <c r="E86" s="22">
        <f>SUM(C86*100)/$D$174</f>
        <v>0.05197993043831378</v>
      </c>
    </row>
    <row r="87" spans="1:5" s="206" customFormat="1" ht="12.75">
      <c r="A87" s="28" t="s">
        <v>112</v>
      </c>
      <c r="B87" s="16" t="s">
        <v>113</v>
      </c>
      <c r="C87" s="17">
        <f>+'[4]JUSTIFICACION'!$H$267</f>
        <v>12000000</v>
      </c>
      <c r="D87" s="16"/>
      <c r="E87" s="18">
        <f>SUM(C87*100)/$D$174</f>
        <v>0.05197993043831378</v>
      </c>
    </row>
    <row r="88" spans="1:5" s="206" customFormat="1" ht="12.75">
      <c r="A88" s="28"/>
      <c r="B88" s="16"/>
      <c r="C88" s="17"/>
      <c r="D88" s="16"/>
      <c r="E88" s="18"/>
    </row>
    <row r="89" spans="1:5" ht="12.75">
      <c r="A89" s="5" t="s">
        <v>114</v>
      </c>
      <c r="B89" s="7" t="s">
        <v>115</v>
      </c>
      <c r="C89" s="7"/>
      <c r="D89" s="8">
        <f>+D91</f>
        <v>600000000</v>
      </c>
      <c r="E89" s="9">
        <f>SUM(D89*100)/$D$174</f>
        <v>2.598996521915689</v>
      </c>
    </row>
    <row r="90" spans="1:5" ht="12.75">
      <c r="A90" s="1"/>
      <c r="B90" s="2"/>
      <c r="C90" s="2"/>
      <c r="D90" s="2"/>
      <c r="E90" s="4"/>
    </row>
    <row r="91" spans="1:5" ht="11.25" customHeight="1">
      <c r="A91" s="5" t="s">
        <v>116</v>
      </c>
      <c r="B91" s="7" t="s">
        <v>117</v>
      </c>
      <c r="C91" s="7"/>
      <c r="D91" s="8">
        <f>+C93</f>
        <v>600000000</v>
      </c>
      <c r="E91" s="9">
        <f>SUM(D91*100)/$D$174</f>
        <v>2.598996521915689</v>
      </c>
    </row>
    <row r="92" spans="1:5" ht="12.75">
      <c r="A92" s="10"/>
      <c r="B92" s="37"/>
      <c r="C92" s="21"/>
      <c r="D92" s="2"/>
      <c r="E92" s="4"/>
    </row>
    <row r="93" spans="1:5" ht="12.75">
      <c r="A93" s="10" t="s">
        <v>118</v>
      </c>
      <c r="B93" s="37" t="s">
        <v>119</v>
      </c>
      <c r="C93" s="21">
        <f>+C94</f>
        <v>600000000</v>
      </c>
      <c r="D93" s="2"/>
      <c r="E93" s="22">
        <f>SUM(C93*100)/$D$174</f>
        <v>2.598996521915689</v>
      </c>
    </row>
    <row r="94" spans="1:5" ht="25.5">
      <c r="A94" s="10" t="s">
        <v>120</v>
      </c>
      <c r="B94" s="37" t="s">
        <v>121</v>
      </c>
      <c r="C94" s="21">
        <f>+'[4]JUSTIFICACION'!$H$278</f>
        <v>600000000</v>
      </c>
      <c r="D94" s="2"/>
      <c r="E94" s="22">
        <f>SUM(C94*100)/$D$174</f>
        <v>2.598996521915689</v>
      </c>
    </row>
    <row r="95" spans="1:5" ht="12.75">
      <c r="A95" s="1"/>
      <c r="B95" s="2"/>
      <c r="C95" s="2"/>
      <c r="D95" s="2"/>
      <c r="E95" s="4"/>
    </row>
    <row r="96" spans="1:5" ht="12.75">
      <c r="A96" s="5" t="s">
        <v>122</v>
      </c>
      <c r="B96" s="7" t="s">
        <v>123</v>
      </c>
      <c r="C96" s="7"/>
      <c r="D96" s="8">
        <f>+D98</f>
        <v>469850000</v>
      </c>
      <c r="E96" s="9">
        <f>SUM(D96*100)/$D$174</f>
        <v>2.0352308597034776</v>
      </c>
    </row>
    <row r="97" spans="1:5" ht="12.75">
      <c r="A97" s="1"/>
      <c r="B97" s="2"/>
      <c r="C97" s="2"/>
      <c r="D97" s="2"/>
      <c r="E97" s="4"/>
    </row>
    <row r="98" spans="1:5" ht="12.75">
      <c r="A98" s="5" t="s">
        <v>124</v>
      </c>
      <c r="B98" s="7" t="s">
        <v>125</v>
      </c>
      <c r="C98" s="7"/>
      <c r="D98" s="8">
        <f>+C100+C102+C104</f>
        <v>469850000</v>
      </c>
      <c r="E98" s="9">
        <f>SUM(D98*100)/$D$174</f>
        <v>2.0352308597034776</v>
      </c>
    </row>
    <row r="99" spans="1:5" ht="12.75">
      <c r="A99" s="1"/>
      <c r="B99" s="2"/>
      <c r="C99" s="2"/>
      <c r="D99" s="2"/>
      <c r="E99" s="4"/>
    </row>
    <row r="100" spans="1:5" ht="12.75">
      <c r="A100" s="10" t="s">
        <v>126</v>
      </c>
      <c r="B100" s="13" t="s">
        <v>127</v>
      </c>
      <c r="C100" s="12">
        <f>+C101</f>
        <v>221850000</v>
      </c>
      <c r="D100" s="2"/>
      <c r="E100" s="14">
        <f>SUM(C100*100)/$D$174</f>
        <v>0.960978963978326</v>
      </c>
    </row>
    <row r="101" spans="1:5" s="206" customFormat="1" ht="12.75">
      <c r="A101" s="15" t="s">
        <v>128</v>
      </c>
      <c r="B101" s="16" t="s">
        <v>129</v>
      </c>
      <c r="C101" s="17">
        <f>+'[4]JUSTIFICACION'!$H$289</f>
        <v>221850000</v>
      </c>
      <c r="D101" s="16"/>
      <c r="E101" s="18">
        <f>SUM(C101*100)/$D$174</f>
        <v>0.960978963978326</v>
      </c>
    </row>
    <row r="102" spans="1:5" ht="12.75">
      <c r="A102" s="10" t="s">
        <v>130</v>
      </c>
      <c r="B102" s="13" t="s">
        <v>131</v>
      </c>
      <c r="C102" s="12">
        <f>+C103</f>
        <v>110000000</v>
      </c>
      <c r="D102" s="2"/>
      <c r="E102" s="14">
        <f>SUM(C102*100)/$D$174</f>
        <v>0.476482695684543</v>
      </c>
    </row>
    <row r="103" spans="1:5" s="206" customFormat="1" ht="12.75">
      <c r="A103" s="15" t="s">
        <v>132</v>
      </c>
      <c r="B103" s="16" t="s">
        <v>133</v>
      </c>
      <c r="C103" s="17">
        <f>+'[4]JUSTIFICACION'!$G$292</f>
        <v>110000000</v>
      </c>
      <c r="D103" s="16"/>
      <c r="E103" s="18">
        <f>SUM(C103*100)/$D$174</f>
        <v>0.476482695684543</v>
      </c>
    </row>
    <row r="104" spans="1:5" ht="12.75">
      <c r="A104" s="10" t="s">
        <v>456</v>
      </c>
      <c r="B104" s="13" t="s">
        <v>457</v>
      </c>
      <c r="C104" s="12">
        <f>SUM(C105)</f>
        <v>138000000</v>
      </c>
      <c r="D104" s="2"/>
      <c r="E104" s="14">
        <f>SUM(C104*100)/$D$174</f>
        <v>0.5977692000406085</v>
      </c>
    </row>
    <row r="105" spans="1:5" s="206" customFormat="1" ht="12.75">
      <c r="A105" s="15" t="s">
        <v>458</v>
      </c>
      <c r="B105" s="16" t="s">
        <v>459</v>
      </c>
      <c r="C105" s="17">
        <f>+'[4]JUSTIFICACION'!$H$312</f>
        <v>138000000</v>
      </c>
      <c r="D105" s="16"/>
      <c r="E105" s="208"/>
    </row>
    <row r="106" spans="1:5" ht="12.75">
      <c r="A106" s="10"/>
      <c r="B106" s="13"/>
      <c r="C106" s="12"/>
      <c r="D106" s="2"/>
      <c r="E106" s="22"/>
    </row>
    <row r="107" spans="1:5" ht="12.75">
      <c r="A107" s="5" t="s">
        <v>134</v>
      </c>
      <c r="B107" s="7" t="s">
        <v>135</v>
      </c>
      <c r="C107" s="7"/>
      <c r="D107" s="8">
        <f>+C109</f>
        <v>615000000</v>
      </c>
      <c r="E107" s="9">
        <f>SUM(D107*100)/$D$174</f>
        <v>2.6639714349635812</v>
      </c>
    </row>
    <row r="108" spans="1:5" ht="12.75">
      <c r="A108" s="1"/>
      <c r="B108" s="2"/>
      <c r="C108" s="21"/>
      <c r="D108" s="2"/>
      <c r="E108" s="22"/>
    </row>
    <row r="109" spans="1:5" ht="12.75">
      <c r="A109" s="10" t="s">
        <v>136</v>
      </c>
      <c r="B109" s="13" t="s">
        <v>137</v>
      </c>
      <c r="C109" s="12">
        <f>+'[4]JUSTIFICACION'!$H$335</f>
        <v>615000000</v>
      </c>
      <c r="D109" s="2"/>
      <c r="E109" s="22">
        <f>SUM(C109*100)/$D$174</f>
        <v>2.6639714349635812</v>
      </c>
    </row>
    <row r="110" spans="1:5" ht="12.75">
      <c r="A110" s="1"/>
      <c r="B110" s="2"/>
      <c r="C110" s="2"/>
      <c r="D110" s="2"/>
      <c r="E110" s="4"/>
    </row>
    <row r="111" spans="1:5" ht="12.75">
      <c r="A111" s="5" t="s">
        <v>138</v>
      </c>
      <c r="B111" s="6" t="s">
        <v>139</v>
      </c>
      <c r="C111" s="7"/>
      <c r="D111" s="8">
        <f>SUM(D113)</f>
        <v>123714376</v>
      </c>
      <c r="E111" s="9">
        <f>SUM(D111*100)/$D$174</f>
        <v>0.535888721558283</v>
      </c>
    </row>
    <row r="112" spans="1:5" ht="12.75">
      <c r="A112" s="1"/>
      <c r="B112" s="2"/>
      <c r="C112" s="2"/>
      <c r="D112" s="2"/>
      <c r="E112" s="4"/>
    </row>
    <row r="113" spans="1:5" ht="12.75">
      <c r="A113" s="5" t="s">
        <v>140</v>
      </c>
      <c r="B113" s="7" t="s">
        <v>141</v>
      </c>
      <c r="C113" s="7"/>
      <c r="D113" s="8">
        <f>+C115+C118</f>
        <v>123714376</v>
      </c>
      <c r="E113" s="9">
        <f>SUM(D113*100)/$D$174</f>
        <v>0.535888721558283</v>
      </c>
    </row>
    <row r="114" spans="1:5" ht="12.75">
      <c r="A114" s="1"/>
      <c r="B114" s="2"/>
      <c r="C114" s="2"/>
      <c r="D114" s="2"/>
      <c r="E114" s="4"/>
    </row>
    <row r="115" spans="1:5" ht="27.75" customHeight="1">
      <c r="A115" s="10" t="s">
        <v>142</v>
      </c>
      <c r="B115" s="11" t="s">
        <v>143</v>
      </c>
      <c r="C115" s="12">
        <f>SUM(C116:C117)</f>
        <v>66500000</v>
      </c>
      <c r="D115" s="2"/>
      <c r="E115" s="14">
        <f>SUM(C115*100)/$D$174</f>
        <v>0.28805544784565557</v>
      </c>
    </row>
    <row r="116" spans="1:5" s="206" customFormat="1" ht="14.25" customHeight="1">
      <c r="A116" s="28" t="s">
        <v>144</v>
      </c>
      <c r="B116" s="16" t="s">
        <v>639</v>
      </c>
      <c r="C116" s="17">
        <f>+'[4]JUSTIFICACION'!$H$344</f>
        <v>60000000</v>
      </c>
      <c r="D116" s="16" t="s">
        <v>146</v>
      </c>
      <c r="E116" s="18">
        <f>SUM(C116*100)/$D$174</f>
        <v>0.2598996521915689</v>
      </c>
    </row>
    <row r="117" spans="1:5" s="206" customFormat="1" ht="12.75">
      <c r="A117" s="28" t="s">
        <v>516</v>
      </c>
      <c r="B117" s="42" t="s">
        <v>461</v>
      </c>
      <c r="C117" s="43">
        <f>+'[4]JUSTIFICACION'!$H$397</f>
        <v>6500000</v>
      </c>
      <c r="D117" s="16"/>
      <c r="E117" s="18"/>
    </row>
    <row r="118" spans="1:5" ht="25.5">
      <c r="A118" s="10" t="s">
        <v>147</v>
      </c>
      <c r="B118" s="11" t="s">
        <v>460</v>
      </c>
      <c r="C118" s="12">
        <f>+C119</f>
        <v>57214376</v>
      </c>
      <c r="D118" s="2"/>
      <c r="E118" s="14">
        <f>SUM(C118*100)/$D$174</f>
        <v>0.24783327371262745</v>
      </c>
    </row>
    <row r="119" spans="1:5" ht="12.75">
      <c r="A119" s="28" t="s">
        <v>148</v>
      </c>
      <c r="B119" s="2" t="s">
        <v>149</v>
      </c>
      <c r="C119" s="21">
        <f>+'[4]JUSTIFICACION'!$H$354</f>
        <v>57214376</v>
      </c>
      <c r="D119" s="2"/>
      <c r="E119" s="22">
        <f>SUM(C119*100)/$D$174</f>
        <v>0.24783327371262745</v>
      </c>
    </row>
    <row r="120" spans="1:5" ht="12.75">
      <c r="A120" s="1"/>
      <c r="B120" s="2"/>
      <c r="C120" s="2"/>
      <c r="D120" s="2"/>
      <c r="E120" s="4"/>
    </row>
    <row r="121" spans="1:5" ht="12.75">
      <c r="A121" s="5" t="s">
        <v>150</v>
      </c>
      <c r="B121" s="6" t="s">
        <v>151</v>
      </c>
      <c r="C121" s="7"/>
      <c r="D121" s="8">
        <f>+D141+D131+D123</f>
        <v>1073058750</v>
      </c>
      <c r="E121" s="9">
        <f>SUM(D121*100)/$D$174</f>
        <v>4.648126598435328</v>
      </c>
    </row>
    <row r="122" spans="1:5" ht="12.75">
      <c r="A122" s="1"/>
      <c r="B122" s="2"/>
      <c r="C122" s="21"/>
      <c r="D122" s="2"/>
      <c r="E122" s="4"/>
    </row>
    <row r="123" spans="1:5" ht="12.75" hidden="1">
      <c r="A123" s="5" t="s">
        <v>152</v>
      </c>
      <c r="B123" s="7" t="s">
        <v>153</v>
      </c>
      <c r="C123" s="7"/>
      <c r="D123" s="8">
        <f>+D125</f>
        <v>0</v>
      </c>
      <c r="E123" s="9">
        <f>SUM(D123*100)/$D$174</f>
        <v>0</v>
      </c>
    </row>
    <row r="124" spans="1:5" ht="12.75" hidden="1">
      <c r="A124" s="1"/>
      <c r="B124" s="2"/>
      <c r="C124" s="2"/>
      <c r="D124" s="2"/>
      <c r="E124" s="4"/>
    </row>
    <row r="125" spans="1:5" ht="12.75" hidden="1">
      <c r="A125" s="5" t="s">
        <v>154</v>
      </c>
      <c r="B125" s="7" t="s">
        <v>155</v>
      </c>
      <c r="C125" s="7"/>
      <c r="D125" s="8">
        <f>+C126</f>
        <v>0</v>
      </c>
      <c r="E125" s="9">
        <f>SUM(D125*100)/$D$174</f>
        <v>0</v>
      </c>
    </row>
    <row r="126" spans="1:5" s="195" customFormat="1" ht="10.5" customHeight="1" hidden="1">
      <c r="A126" s="10" t="s">
        <v>156</v>
      </c>
      <c r="B126" s="13" t="s">
        <v>157</v>
      </c>
      <c r="C126" s="12">
        <f>+C127</f>
        <v>0</v>
      </c>
      <c r="D126" s="13"/>
      <c r="E126" s="14">
        <f>SUM(C126*100)/$D$174</f>
        <v>0</v>
      </c>
    </row>
    <row r="127" spans="1:5" s="206" customFormat="1" ht="12.75" hidden="1">
      <c r="A127" s="15" t="s">
        <v>158</v>
      </c>
      <c r="B127" s="16" t="s">
        <v>159</v>
      </c>
      <c r="C127" s="17">
        <f>+'[4]JUSTIFICACION'!$H$364</f>
        <v>0</v>
      </c>
      <c r="D127" s="16"/>
      <c r="E127" s="18">
        <f>SUM(C127*100)/$D$174</f>
        <v>0</v>
      </c>
    </row>
    <row r="128" spans="1:5" s="206" customFormat="1" ht="12.75">
      <c r="A128" s="15"/>
      <c r="B128" s="16"/>
      <c r="C128" s="17"/>
      <c r="D128" s="16"/>
      <c r="E128" s="18"/>
    </row>
    <row r="129" spans="1:5" ht="29.25" customHeight="1">
      <c r="A129" s="5" t="s">
        <v>160</v>
      </c>
      <c r="B129" s="38" t="s">
        <v>161</v>
      </c>
      <c r="C129" s="7"/>
      <c r="D129" s="8">
        <f>+D131</f>
        <v>4000000</v>
      </c>
      <c r="E129" s="9">
        <f>SUM(D129*100)/$D$174</f>
        <v>0.017326643479437926</v>
      </c>
    </row>
    <row r="130" spans="1:5" s="206" customFormat="1" ht="12.75">
      <c r="A130" s="15"/>
      <c r="B130" s="16"/>
      <c r="C130" s="17"/>
      <c r="D130" s="16"/>
      <c r="E130" s="18"/>
    </row>
    <row r="131" spans="1:5" ht="10.5" customHeight="1">
      <c r="A131" s="5" t="s">
        <v>162</v>
      </c>
      <c r="B131" s="39" t="s">
        <v>163</v>
      </c>
      <c r="C131" s="40" t="s">
        <v>146</v>
      </c>
      <c r="D131" s="8">
        <f>SUM(C132)</f>
        <v>4000000</v>
      </c>
      <c r="E131" s="9">
        <f>SUM(D131*100)/$D$174</f>
        <v>0.017326643479437926</v>
      </c>
    </row>
    <row r="132" spans="1:5" s="206" customFormat="1" ht="12.75">
      <c r="A132" s="28" t="s">
        <v>164</v>
      </c>
      <c r="B132" s="16" t="s">
        <v>165</v>
      </c>
      <c r="C132" s="17">
        <f>+'[4]JUSTIFICACION'!$H$375</f>
        <v>4000000</v>
      </c>
      <c r="D132" s="16"/>
      <c r="E132" s="18">
        <f>SUM(C132*100)/$D$174</f>
        <v>0.017326643479437926</v>
      </c>
    </row>
    <row r="133" spans="1:5" ht="12.75">
      <c r="A133" s="1"/>
      <c r="B133" s="2"/>
      <c r="C133" s="2"/>
      <c r="D133" s="2"/>
      <c r="E133" s="4"/>
    </row>
    <row r="134" spans="1:5" ht="21" customHeight="1">
      <c r="A134" s="1"/>
      <c r="B134" s="2"/>
      <c r="C134" s="2"/>
      <c r="D134" s="2"/>
      <c r="E134" s="4"/>
    </row>
    <row r="135" spans="1:6" ht="12.75">
      <c r="A135" s="598" t="s">
        <v>0</v>
      </c>
      <c r="B135" s="599"/>
      <c r="C135" s="599"/>
      <c r="D135" s="599"/>
      <c r="E135" s="600"/>
      <c r="F135" s="205"/>
    </row>
    <row r="136" spans="1:6" ht="12.75">
      <c r="A136" s="598" t="s">
        <v>1</v>
      </c>
      <c r="B136" s="599"/>
      <c r="C136" s="599"/>
      <c r="D136" s="599"/>
      <c r="E136" s="600"/>
      <c r="F136" s="205"/>
    </row>
    <row r="137" spans="1:6" ht="12.75">
      <c r="A137" s="598" t="s">
        <v>638</v>
      </c>
      <c r="B137" s="599"/>
      <c r="C137" s="599"/>
      <c r="D137" s="599"/>
      <c r="E137" s="600"/>
      <c r="F137" s="205"/>
    </row>
    <row r="138" spans="1:6" ht="12.75">
      <c r="A138" s="598" t="s">
        <v>99</v>
      </c>
      <c r="B138" s="602"/>
      <c r="C138" s="602"/>
      <c r="D138" s="602"/>
      <c r="E138" s="600"/>
      <c r="F138" s="205"/>
    </row>
    <row r="139" spans="1:5" ht="14.25" customHeight="1">
      <c r="A139" s="10"/>
      <c r="B139" s="13"/>
      <c r="C139" s="13"/>
      <c r="D139" s="13"/>
      <c r="E139" s="4"/>
    </row>
    <row r="140" spans="1:5" ht="11.25" customHeight="1">
      <c r="A140" s="133" t="s">
        <v>3</v>
      </c>
      <c r="B140" s="134" t="s">
        <v>4</v>
      </c>
      <c r="C140" s="134" t="s">
        <v>5</v>
      </c>
      <c r="D140" s="134" t="s">
        <v>6</v>
      </c>
      <c r="E140" s="274" t="s">
        <v>7</v>
      </c>
    </row>
    <row r="141" spans="1:5" ht="12.75">
      <c r="A141" s="5" t="s">
        <v>166</v>
      </c>
      <c r="B141" s="6" t="s">
        <v>167</v>
      </c>
      <c r="C141" s="7"/>
      <c r="D141" s="8">
        <f>SUM(D143)+D158</f>
        <v>1069058750</v>
      </c>
      <c r="E141" s="9">
        <f>SUM(D141*100)/$D$174</f>
        <v>4.63079995495589</v>
      </c>
    </row>
    <row r="142" spans="1:5" ht="12.75">
      <c r="A142" s="1"/>
      <c r="B142" s="2"/>
      <c r="C142" s="2"/>
      <c r="D142" s="2"/>
      <c r="E142" s="4"/>
    </row>
    <row r="143" spans="1:5" ht="12.75">
      <c r="A143" s="5" t="s">
        <v>571</v>
      </c>
      <c r="B143" s="7" t="s">
        <v>168</v>
      </c>
      <c r="C143" s="7"/>
      <c r="D143" s="8">
        <f>SUM(C145+C153)+C149</f>
        <v>1017352270</v>
      </c>
      <c r="E143" s="9">
        <f>SUM(D143*100)/$D$174</f>
        <v>4.406825018821718</v>
      </c>
    </row>
    <row r="144" spans="1:5" ht="12.75">
      <c r="A144" s="1"/>
      <c r="B144" s="2"/>
      <c r="C144" s="2"/>
      <c r="D144" s="2"/>
      <c r="E144" s="4"/>
    </row>
    <row r="145" spans="1:5" s="195" customFormat="1" ht="12.75">
      <c r="A145" s="10" t="s">
        <v>169</v>
      </c>
      <c r="B145" s="13" t="s">
        <v>170</v>
      </c>
      <c r="C145" s="41">
        <f>SUM(C146:C147)</f>
        <v>915000000</v>
      </c>
      <c r="D145" s="13"/>
      <c r="E145" s="14">
        <f>SUM(C145*100)/$D$174</f>
        <v>3.9634696959214257</v>
      </c>
    </row>
    <row r="146" spans="1:5" s="206" customFormat="1" ht="12.75">
      <c r="A146" s="28" t="s">
        <v>171</v>
      </c>
      <c r="B146" s="42" t="s">
        <v>172</v>
      </c>
      <c r="C146" s="43">
        <f>+'[4]JUSTIFICACION'!$H$386</f>
        <v>325000000</v>
      </c>
      <c r="D146" s="44"/>
      <c r="E146" s="45">
        <f>SUM(C146*100)/$D$174</f>
        <v>1.4077897827043315</v>
      </c>
    </row>
    <row r="147" spans="1:5" s="206" customFormat="1" ht="12.75">
      <c r="A147" s="28" t="s">
        <v>517</v>
      </c>
      <c r="B147" s="42" t="s">
        <v>462</v>
      </c>
      <c r="C147" s="43">
        <f>+'[4]JUSTIFICACION'!$H$410</f>
        <v>590000000</v>
      </c>
      <c r="D147" s="44"/>
      <c r="E147" s="45"/>
    </row>
    <row r="148" spans="1:5" ht="12.75">
      <c r="A148" s="1"/>
      <c r="B148" s="2"/>
      <c r="C148" s="2"/>
      <c r="D148" s="2"/>
      <c r="E148" s="4"/>
    </row>
    <row r="149" spans="1:5" s="195" customFormat="1" ht="12.75">
      <c r="A149" s="10" t="s">
        <v>640</v>
      </c>
      <c r="B149" s="11" t="s">
        <v>641</v>
      </c>
      <c r="C149" s="41">
        <f>+C150</f>
        <v>89964000</v>
      </c>
      <c r="D149" s="13"/>
      <c r="E149" s="14">
        <f>SUM(C149*100)/$D$174</f>
        <v>0.38969353849603844</v>
      </c>
    </row>
    <row r="150" spans="1:5" s="206" customFormat="1" ht="12.75">
      <c r="A150" s="28" t="s">
        <v>642</v>
      </c>
      <c r="B150" s="16" t="s">
        <v>643</v>
      </c>
      <c r="C150" s="17">
        <f>+'[4]JUSTIFICACION'!$H$419</f>
        <v>89964000</v>
      </c>
      <c r="D150" s="16"/>
      <c r="E150" s="18">
        <f>SUM(C150*100)/$D$174</f>
        <v>0.38969353849603844</v>
      </c>
    </row>
    <row r="151" spans="1:5" ht="12.75">
      <c r="A151" s="1"/>
      <c r="B151" s="16"/>
      <c r="C151" s="2"/>
      <c r="D151" s="2"/>
      <c r="E151" s="4"/>
    </row>
    <row r="152" spans="1:5" ht="12.75">
      <c r="A152" s="1"/>
      <c r="B152" s="16"/>
      <c r="C152" s="2"/>
      <c r="D152" s="2"/>
      <c r="E152" s="4"/>
    </row>
    <row r="153" spans="1:5" s="195" customFormat="1" ht="25.5">
      <c r="A153" s="10" t="s">
        <v>173</v>
      </c>
      <c r="B153" s="11" t="s">
        <v>174</v>
      </c>
      <c r="C153" s="41">
        <f>+C154</f>
        <v>12388270</v>
      </c>
      <c r="D153" s="13"/>
      <c r="E153" s="14">
        <f>SUM(C153*100)/$D$174</f>
        <v>0.05366178440425412</v>
      </c>
    </row>
    <row r="154" spans="1:5" s="206" customFormat="1" ht="12.75">
      <c r="A154" s="28" t="s">
        <v>175</v>
      </c>
      <c r="B154" s="16" t="s">
        <v>176</v>
      </c>
      <c r="C154" s="17">
        <f>+'[4]JUSTIFICACION'!$H$430</f>
        <v>12388270</v>
      </c>
      <c r="D154" s="16"/>
      <c r="E154" s="18">
        <f>SUM(C154*100)/$D$174</f>
        <v>0.05366178440425412</v>
      </c>
    </row>
    <row r="155" spans="1:5" ht="12.75">
      <c r="A155" s="1"/>
      <c r="B155" s="16" t="s">
        <v>177</v>
      </c>
      <c r="C155" s="2"/>
      <c r="D155" s="2"/>
      <c r="E155" s="4"/>
    </row>
    <row r="156" spans="1:5" ht="12.75">
      <c r="A156" s="1"/>
      <c r="B156" s="16"/>
      <c r="C156" s="2"/>
      <c r="D156" s="2"/>
      <c r="E156" s="4"/>
    </row>
    <row r="157" spans="1:5" ht="12.75">
      <c r="A157" s="1"/>
      <c r="B157" s="16"/>
      <c r="C157" s="2"/>
      <c r="D157" s="2"/>
      <c r="E157" s="4"/>
    </row>
    <row r="158" spans="1:5" ht="12.75">
      <c r="A158" s="5" t="s">
        <v>572</v>
      </c>
      <c r="B158" s="7" t="s">
        <v>573</v>
      </c>
      <c r="C158" s="7"/>
      <c r="D158" s="8">
        <f>+D159</f>
        <v>51706480</v>
      </c>
      <c r="E158" s="9"/>
    </row>
    <row r="159" spans="1:5" ht="12.75">
      <c r="A159" s="344" t="s">
        <v>574</v>
      </c>
      <c r="B159" s="7" t="s">
        <v>644</v>
      </c>
      <c r="C159" s="7"/>
      <c r="D159" s="8">
        <f>+C160</f>
        <v>51706480</v>
      </c>
      <c r="E159" s="9"/>
    </row>
    <row r="160" spans="1:5" ht="12.75">
      <c r="A160" s="344" t="s">
        <v>645</v>
      </c>
      <c r="B160" s="16" t="s">
        <v>646</v>
      </c>
      <c r="C160" s="17">
        <f>+'[4]ESTIMACION'!$H$117</f>
        <v>51706480</v>
      </c>
      <c r="D160" s="2"/>
      <c r="E160" s="4"/>
    </row>
    <row r="161" spans="1:5" ht="12.75">
      <c r="A161" s="344"/>
      <c r="B161" s="345"/>
      <c r="C161" s="2"/>
      <c r="D161" s="2"/>
      <c r="E161" s="4"/>
    </row>
    <row r="162" spans="1:5" ht="12.75" hidden="1">
      <c r="A162" s="5" t="s">
        <v>576</v>
      </c>
      <c r="B162" s="7" t="s">
        <v>577</v>
      </c>
      <c r="C162" s="7"/>
      <c r="D162" s="8">
        <f>+D164+D167</f>
        <v>0</v>
      </c>
      <c r="E162" s="9"/>
    </row>
    <row r="163" spans="1:5" ht="12.75" hidden="1">
      <c r="A163" s="1"/>
      <c r="B163" s="2"/>
      <c r="C163" s="2"/>
      <c r="D163" s="2"/>
      <c r="E163" s="4"/>
    </row>
    <row r="164" spans="1:5" ht="12.75" hidden="1">
      <c r="A164" s="5" t="s">
        <v>578</v>
      </c>
      <c r="B164" s="6" t="s">
        <v>579</v>
      </c>
      <c r="C164" s="7"/>
      <c r="D164" s="8">
        <f>+C165</f>
        <v>0</v>
      </c>
      <c r="E164" s="9"/>
    </row>
    <row r="165" spans="1:5" ht="12.75" hidden="1">
      <c r="A165" s="5" t="s">
        <v>580</v>
      </c>
      <c r="B165" s="7" t="s">
        <v>581</v>
      </c>
      <c r="C165" s="8">
        <f>+C166</f>
        <v>0</v>
      </c>
      <c r="D165" s="8"/>
      <c r="E165" s="9"/>
    </row>
    <row r="166" spans="1:5" ht="12.75" hidden="1">
      <c r="A166" s="344" t="s">
        <v>582</v>
      </c>
      <c r="B166" s="16" t="s">
        <v>583</v>
      </c>
      <c r="C166" s="17">
        <f>+'[4]ESTIMACION'!$H$123</f>
        <v>0</v>
      </c>
      <c r="D166" s="2"/>
      <c r="E166" s="4"/>
    </row>
    <row r="167" spans="1:5" ht="12.75" hidden="1">
      <c r="A167" s="397" t="s">
        <v>647</v>
      </c>
      <c r="B167" s="398" t="s">
        <v>648</v>
      </c>
      <c r="C167" s="399"/>
      <c r="D167" s="400">
        <f>+C169</f>
        <v>0</v>
      </c>
      <c r="E167" s="401">
        <v>98.31</v>
      </c>
    </row>
    <row r="168" spans="1:5" ht="12.75" hidden="1">
      <c r="A168" s="1"/>
      <c r="C168" s="402"/>
      <c r="E168" s="4"/>
    </row>
    <row r="169" spans="1:8" ht="12.75" hidden="1">
      <c r="A169" s="10" t="s">
        <v>649</v>
      </c>
      <c r="B169" s="195" t="s">
        <v>650</v>
      </c>
      <c r="C169" s="403">
        <f>+'[4]JUSTIFICACION'!$H$438</f>
        <v>0</v>
      </c>
      <c r="D169" s="195"/>
      <c r="E169" s="14">
        <v>28.86</v>
      </c>
      <c r="F169" s="195"/>
      <c r="G169" s="195"/>
      <c r="H169" s="195"/>
    </row>
    <row r="170" spans="1:5" ht="12.75">
      <c r="A170" s="404"/>
      <c r="B170" s="16"/>
      <c r="C170" s="17"/>
      <c r="D170" s="2"/>
      <c r="E170" s="4"/>
    </row>
    <row r="171" spans="1:5" ht="12.75">
      <c r="A171" s="404"/>
      <c r="B171" s="16"/>
      <c r="C171" s="17"/>
      <c r="D171" s="2"/>
      <c r="E171" s="4"/>
    </row>
    <row r="172" spans="1:5" ht="12.75">
      <c r="A172" s="1"/>
      <c r="B172" s="16"/>
      <c r="C172" s="2"/>
      <c r="D172" s="2"/>
      <c r="E172" s="4"/>
    </row>
    <row r="173" spans="1:5" ht="13.5" thickBot="1">
      <c r="A173" s="327"/>
      <c r="B173" s="323"/>
      <c r="C173" s="323"/>
      <c r="D173" s="323"/>
      <c r="E173" s="328"/>
    </row>
    <row r="174" spans="1:5" ht="13.5" thickBot="1">
      <c r="A174" s="333"/>
      <c r="B174" s="334" t="s">
        <v>178</v>
      </c>
      <c r="C174" s="334"/>
      <c r="D174" s="335">
        <f>SUM(D9+D121+D162)</f>
        <v>23085833126</v>
      </c>
      <c r="E174" s="46">
        <f>SUM(D174*100)/$D$174</f>
        <v>100</v>
      </c>
    </row>
  </sheetData>
  <sheetProtection/>
  <mergeCells count="13">
    <mergeCell ref="A1:E1"/>
    <mergeCell ref="A2:E2"/>
    <mergeCell ref="A3:E3"/>
    <mergeCell ref="A4:E4"/>
    <mergeCell ref="A5:E5"/>
    <mergeCell ref="A80:E80"/>
    <mergeCell ref="A138:E138"/>
    <mergeCell ref="A81:E81"/>
    <mergeCell ref="A82:E82"/>
    <mergeCell ref="A83:E83"/>
    <mergeCell ref="A135:E135"/>
    <mergeCell ref="A136:E136"/>
    <mergeCell ref="A137:E137"/>
  </mergeCells>
  <printOptions horizontalCentered="1" verticalCentered="1"/>
  <pageMargins left="0.75" right="0.75" top="1" bottom="1" header="0" footer="0"/>
  <pageSetup horizontalDpi="300" verticalDpi="300" orientation="portrait" scale="55" r:id="rId1"/>
  <rowBreaks count="1" manualBreakCount="1">
    <brk id="78" max="255" man="1"/>
  </rowBreaks>
</worksheet>
</file>

<file path=xl/worksheets/sheet3.xml><?xml version="1.0" encoding="utf-8"?>
<worksheet xmlns="http://schemas.openxmlformats.org/spreadsheetml/2006/main" xmlns:r="http://schemas.openxmlformats.org/officeDocument/2006/relationships">
  <dimension ref="A1:H27"/>
  <sheetViews>
    <sheetView zoomScalePageLayoutView="0" workbookViewId="0" topLeftCell="A16">
      <selection activeCell="E21" sqref="E21"/>
    </sheetView>
  </sheetViews>
  <sheetFormatPr defaultColWidth="11.421875" defaultRowHeight="12.75"/>
  <cols>
    <col min="3" max="3" width="18.421875" style="0" customWidth="1"/>
    <col min="4" max="6" width="15.28125" style="0" bestFit="1" customWidth="1"/>
    <col min="7" max="7" width="16.57421875" style="0" bestFit="1" customWidth="1"/>
    <col min="8" max="8" width="16.421875" style="0" bestFit="1" customWidth="1"/>
  </cols>
  <sheetData>
    <row r="1" spans="1:7" ht="12.75">
      <c r="A1" s="595" t="s">
        <v>0</v>
      </c>
      <c r="B1" s="596"/>
      <c r="C1" s="596"/>
      <c r="D1" s="596"/>
      <c r="E1" s="596"/>
      <c r="F1" s="596"/>
      <c r="G1" s="611"/>
    </row>
    <row r="2" spans="1:7" ht="12.75">
      <c r="A2" s="598" t="s">
        <v>179</v>
      </c>
      <c r="B2" s="599"/>
      <c r="C2" s="599"/>
      <c r="D2" s="599"/>
      <c r="E2" s="599"/>
      <c r="F2" s="599"/>
      <c r="G2" s="601"/>
    </row>
    <row r="3" spans="1:7" ht="12.75">
      <c r="A3" s="598" t="s">
        <v>637</v>
      </c>
      <c r="B3" s="599"/>
      <c r="C3" s="599"/>
      <c r="D3" s="599"/>
      <c r="E3" s="599"/>
      <c r="F3" s="599"/>
      <c r="G3" s="601"/>
    </row>
    <row r="4" spans="1:7" ht="12.75">
      <c r="A4" s="598" t="s">
        <v>180</v>
      </c>
      <c r="B4" s="599"/>
      <c r="C4" s="599"/>
      <c r="D4" s="599"/>
      <c r="E4" s="599"/>
      <c r="F4" s="599"/>
      <c r="G4" s="601"/>
    </row>
    <row r="5" spans="1:7" ht="13.5" thickBot="1">
      <c r="A5" s="10"/>
      <c r="B5" s="2"/>
      <c r="C5" s="2"/>
      <c r="D5" s="2"/>
      <c r="E5" s="2"/>
      <c r="F5" s="2"/>
      <c r="G5" s="4"/>
    </row>
    <row r="6" spans="1:7" ht="13.5" thickBot="1">
      <c r="A6" s="47"/>
      <c r="B6" s="605"/>
      <c r="C6" s="606"/>
      <c r="D6" s="49"/>
      <c r="E6" s="49"/>
      <c r="F6" s="49"/>
      <c r="G6" s="50"/>
    </row>
    <row r="7" spans="1:7" ht="13.5" thickBot="1">
      <c r="A7" s="196"/>
      <c r="B7" s="607" t="s">
        <v>181</v>
      </c>
      <c r="C7" s="608"/>
      <c r="D7" s="197"/>
      <c r="E7" s="197"/>
      <c r="F7" s="197"/>
      <c r="G7" s="198"/>
    </row>
    <row r="8" spans="1:7" ht="36.75">
      <c r="A8" s="63"/>
      <c r="B8" s="609"/>
      <c r="C8" s="609"/>
      <c r="D8" s="64" t="s">
        <v>191</v>
      </c>
      <c r="E8" s="64" t="s">
        <v>192</v>
      </c>
      <c r="F8" s="64" t="s">
        <v>193</v>
      </c>
      <c r="G8" s="65" t="s">
        <v>195</v>
      </c>
    </row>
    <row r="9" spans="1:8" ht="12.75">
      <c r="A9" s="10"/>
      <c r="B9" s="610" t="s">
        <v>194</v>
      </c>
      <c r="C9" s="610"/>
      <c r="D9" s="53">
        <f>SUM(D11:D27)</f>
        <v>8047458649.416355</v>
      </c>
      <c r="E9" s="53">
        <f>SUM(E11:E27)</f>
        <v>9629773700.105263</v>
      </c>
      <c r="F9" s="53">
        <f>SUM(F11:F27)</f>
        <v>5408600776.479141</v>
      </c>
      <c r="G9" s="59">
        <f>SUM(D9:F9)</f>
        <v>23085833126.00076</v>
      </c>
      <c r="H9" s="202">
        <f>+G9-'[1]general'!$I$243</f>
        <v>0</v>
      </c>
    </row>
    <row r="10" spans="1:7" ht="12.75">
      <c r="A10" s="10"/>
      <c r="B10" s="51"/>
      <c r="C10" s="51"/>
      <c r="D10" s="58"/>
      <c r="E10" s="58"/>
      <c r="F10" s="58"/>
      <c r="G10" s="60"/>
    </row>
    <row r="11" spans="1:8" ht="12.75">
      <c r="A11" s="10">
        <v>0</v>
      </c>
      <c r="B11" s="604" t="s">
        <v>182</v>
      </c>
      <c r="C11" s="604"/>
      <c r="D11" s="53">
        <f>+'[5]ProgramaI'!$E$8</f>
        <v>4393652373.828072</v>
      </c>
      <c r="E11" s="53">
        <f>+'[5]Programa II'!$E$8</f>
        <v>3230659280.9414625</v>
      </c>
      <c r="F11" s="53">
        <f>+'[5]Programa III'!$E8</f>
        <v>1341004745.2471404</v>
      </c>
      <c r="G11" s="59">
        <f>SUM(D11:F11)</f>
        <v>8965316400.016674</v>
      </c>
      <c r="H11" s="202">
        <f>SUM(G11:G27)</f>
        <v>23085833126.000755</v>
      </c>
    </row>
    <row r="12" spans="1:7" ht="12.75">
      <c r="A12" s="10"/>
      <c r="B12" s="603"/>
      <c r="C12" s="603"/>
      <c r="D12" s="51"/>
      <c r="E12" s="51"/>
      <c r="F12" s="54"/>
      <c r="G12" s="60"/>
    </row>
    <row r="13" spans="1:7" ht="12.75">
      <c r="A13" s="10">
        <v>1</v>
      </c>
      <c r="B13" s="604" t="s">
        <v>183</v>
      </c>
      <c r="C13" s="604"/>
      <c r="D13" s="53">
        <f>+'[5]ProgramaI'!$E$10</f>
        <v>1355124280.055</v>
      </c>
      <c r="E13" s="53">
        <f>+'[5]Programa II'!$E10</f>
        <v>3997610356.0638003</v>
      </c>
      <c r="F13" s="53">
        <f>+'[5]Programa III'!$E10</f>
        <v>608084723.7820001</v>
      </c>
      <c r="G13" s="59">
        <f>SUM(D13:F13)</f>
        <v>5960819359.900801</v>
      </c>
    </row>
    <row r="14" spans="1:7" ht="12.75">
      <c r="A14" s="10"/>
      <c r="B14" s="52"/>
      <c r="C14" s="52"/>
      <c r="D14" s="53"/>
      <c r="E14" s="52"/>
      <c r="F14" s="53"/>
      <c r="G14" s="59"/>
    </row>
    <row r="15" spans="1:7" ht="12.75">
      <c r="A15" s="10">
        <v>2</v>
      </c>
      <c r="B15" s="604" t="s">
        <v>184</v>
      </c>
      <c r="C15" s="604"/>
      <c r="D15" s="53">
        <f>+'[5]ProgramaI'!$E12</f>
        <v>113181481.30000001</v>
      </c>
      <c r="E15" s="53">
        <f>+'[5]Programa II'!$E12</f>
        <v>439141940.7</v>
      </c>
      <c r="F15" s="53">
        <f>+'[5]Programa III'!$E12</f>
        <v>429109800</v>
      </c>
      <c r="G15" s="59">
        <f>SUM(D15:F15)</f>
        <v>981433222</v>
      </c>
    </row>
    <row r="16" spans="1:7" ht="12.75">
      <c r="A16" s="10"/>
      <c r="B16" s="603"/>
      <c r="C16" s="603"/>
      <c r="D16" s="55"/>
      <c r="E16" s="51"/>
      <c r="F16" s="55"/>
      <c r="G16" s="61"/>
    </row>
    <row r="17" spans="1:7" ht="12.75">
      <c r="A17" s="10">
        <v>3</v>
      </c>
      <c r="B17" s="604" t="s">
        <v>185</v>
      </c>
      <c r="C17" s="604"/>
      <c r="D17" s="53">
        <v>0</v>
      </c>
      <c r="E17" s="53">
        <f>+'[5]Programa II'!$E14</f>
        <v>446000000</v>
      </c>
      <c r="F17" s="53">
        <f>+'[5]Programa III'!$E14</f>
        <v>0</v>
      </c>
      <c r="G17" s="59">
        <f>SUM(E17:F17)</f>
        <v>446000000</v>
      </c>
    </row>
    <row r="18" spans="1:7" ht="12.75">
      <c r="A18" s="10"/>
      <c r="B18" s="603"/>
      <c r="C18" s="603"/>
      <c r="D18" s="55"/>
      <c r="E18" s="51"/>
      <c r="F18" s="53"/>
      <c r="G18" s="61"/>
    </row>
    <row r="19" spans="1:7" ht="12.75">
      <c r="A19" s="10">
        <v>5</v>
      </c>
      <c r="B19" s="604" t="s">
        <v>186</v>
      </c>
      <c r="C19" s="604"/>
      <c r="D19" s="53">
        <f>+'[5]ProgramaI'!$E16</f>
        <v>165252457.95</v>
      </c>
      <c r="E19" s="53">
        <f>+'[5]Programa II'!$E16</f>
        <v>611791969.2</v>
      </c>
      <c r="F19" s="53">
        <f>+'[5]Programa III'!$E16</f>
        <v>1158745805.19</v>
      </c>
      <c r="G19" s="59">
        <f>SUM(D19:F19)</f>
        <v>1935790232.3400002</v>
      </c>
    </row>
    <row r="20" spans="1:7" ht="12.75">
      <c r="A20" s="10"/>
      <c r="B20" s="603" t="s">
        <v>146</v>
      </c>
      <c r="C20" s="603"/>
      <c r="D20" s="55" t="s">
        <v>146</v>
      </c>
      <c r="E20" s="51"/>
      <c r="F20" s="55" t="s">
        <v>146</v>
      </c>
      <c r="G20" s="61" t="s">
        <v>146</v>
      </c>
    </row>
    <row r="21" spans="1:7" ht="12.75">
      <c r="A21" s="10">
        <v>6</v>
      </c>
      <c r="B21" s="604" t="s">
        <v>187</v>
      </c>
      <c r="C21" s="604"/>
      <c r="D21" s="53">
        <f>+'[5]ProgramaI'!$E18</f>
        <v>2020248056.2832835</v>
      </c>
      <c r="E21" s="53">
        <f>+'[5]Programa II'!$E18</f>
        <v>488170153.2</v>
      </c>
      <c r="F21" s="53">
        <f>+'[5]Programa III'!$E$18</f>
        <v>38269307.56</v>
      </c>
      <c r="G21" s="59">
        <f>SUM(D21:F21)</f>
        <v>2546687517.0432835</v>
      </c>
    </row>
    <row r="22" spans="1:7" ht="12.75">
      <c r="A22" s="10"/>
      <c r="B22" s="52"/>
      <c r="C22" s="52"/>
      <c r="D22" s="52"/>
      <c r="E22" s="52"/>
      <c r="F22" s="52"/>
      <c r="G22" s="61"/>
    </row>
    <row r="23" spans="1:7" ht="12.75">
      <c r="A23" s="56">
        <v>7</v>
      </c>
      <c r="B23" s="604" t="s">
        <v>188</v>
      </c>
      <c r="C23" s="604"/>
      <c r="D23" s="53">
        <v>0</v>
      </c>
      <c r="E23" s="53">
        <f>+'[5]Programa II'!$E20</f>
        <v>0</v>
      </c>
      <c r="F23" s="53">
        <f>+'[5]Programa III'!$E$27</f>
        <v>1699692244.6000001</v>
      </c>
      <c r="G23" s="59">
        <f>SUM(F23)</f>
        <v>1699692244.6000001</v>
      </c>
    </row>
    <row r="24" spans="1:7" ht="12.75">
      <c r="A24" s="10"/>
      <c r="B24" s="603"/>
      <c r="C24" s="603"/>
      <c r="D24" s="51"/>
      <c r="E24" s="51"/>
      <c r="F24" s="51"/>
      <c r="G24" s="60"/>
    </row>
    <row r="25" spans="1:7" ht="12.75">
      <c r="A25" s="10">
        <v>8</v>
      </c>
      <c r="B25" s="604" t="s">
        <v>189</v>
      </c>
      <c r="C25" s="604"/>
      <c r="D25" s="53">
        <v>0</v>
      </c>
      <c r="E25" s="53">
        <f>+'[5]Programa II'!$E$31</f>
        <v>416400000</v>
      </c>
      <c r="F25" s="53">
        <v>0</v>
      </c>
      <c r="G25" s="59">
        <f>SUM(E25:F25)</f>
        <v>416400000</v>
      </c>
    </row>
    <row r="26" spans="1:7" ht="12.75">
      <c r="A26" s="1"/>
      <c r="B26" s="2"/>
      <c r="C26" s="2"/>
      <c r="D26" s="2"/>
      <c r="E26" s="2"/>
      <c r="F26" s="2"/>
      <c r="G26" s="59"/>
    </row>
    <row r="27" spans="1:7" s="195" customFormat="1" ht="13.5" thickBot="1">
      <c r="A27" s="57">
        <v>9</v>
      </c>
      <c r="B27" s="199" t="s">
        <v>190</v>
      </c>
      <c r="C27" s="199"/>
      <c r="D27" s="201">
        <f>+'[1]PRG1'!$H$221</f>
        <v>0</v>
      </c>
      <c r="E27" s="201">
        <f>+'[5]Programa II'!$E$33</f>
        <v>0</v>
      </c>
      <c r="F27" s="201">
        <f>+'[5]Programa III'!$E$43</f>
        <v>133694150.1</v>
      </c>
      <c r="G27" s="62">
        <f>SUM(D27:F27)</f>
        <v>133694150.1</v>
      </c>
    </row>
  </sheetData>
  <sheetProtection/>
  <mergeCells count="21">
    <mergeCell ref="B6:C6"/>
    <mergeCell ref="B7:C7"/>
    <mergeCell ref="B8:C8"/>
    <mergeCell ref="B9:C9"/>
    <mergeCell ref="A1:G1"/>
    <mergeCell ref="A2:G2"/>
    <mergeCell ref="A3:G3"/>
    <mergeCell ref="A4:G4"/>
    <mergeCell ref="B11:C11"/>
    <mergeCell ref="B12:C12"/>
    <mergeCell ref="B16:C16"/>
    <mergeCell ref="B17:C17"/>
    <mergeCell ref="B13:C13"/>
    <mergeCell ref="B15:C15"/>
    <mergeCell ref="B18:C18"/>
    <mergeCell ref="B19:C19"/>
    <mergeCell ref="B25:C25"/>
    <mergeCell ref="B20:C20"/>
    <mergeCell ref="B21:C21"/>
    <mergeCell ref="B23:C23"/>
    <mergeCell ref="B24:C24"/>
  </mergeCells>
  <printOptions horizontalCentered="1" verticalCentered="1"/>
  <pageMargins left="0.7874015748031497" right="0.7874015748031497" top="0.984251968503937" bottom="0.984251968503937" header="0" footer="0"/>
  <pageSetup horizontalDpi="300" verticalDpi="300" orientation="landscape" scale="90" r:id="rId1"/>
</worksheet>
</file>

<file path=xl/worksheets/sheet4.xml><?xml version="1.0" encoding="utf-8"?>
<worksheet xmlns="http://schemas.openxmlformats.org/spreadsheetml/2006/main" xmlns:r="http://schemas.openxmlformats.org/officeDocument/2006/relationships">
  <dimension ref="A1:K259"/>
  <sheetViews>
    <sheetView view="pageBreakPreview" zoomScale="96" zoomScaleSheetLayoutView="96" zoomScalePageLayoutView="0" workbookViewId="0" topLeftCell="A215">
      <selection activeCell="I255" sqref="I255:I260"/>
    </sheetView>
  </sheetViews>
  <sheetFormatPr defaultColWidth="11.421875" defaultRowHeight="12.75"/>
  <cols>
    <col min="1" max="2" width="3.8515625" style="83" customWidth="1"/>
    <col min="3" max="3" width="4.8515625" style="83" bestFit="1" customWidth="1"/>
    <col min="4" max="4" width="3.7109375" style="67" customWidth="1"/>
    <col min="5" max="5" width="36.7109375" style="67" customWidth="1"/>
    <col min="6" max="6" width="23.00390625" style="67" bestFit="1" customWidth="1"/>
    <col min="7" max="7" width="23.421875" style="67" bestFit="1" customWidth="1"/>
    <col min="8" max="8" width="23.28125" style="83" bestFit="1" customWidth="1"/>
    <col min="9" max="9" width="23.57421875" style="83" bestFit="1" customWidth="1"/>
    <col min="10" max="10" width="18.7109375" style="67" bestFit="1" customWidth="1"/>
    <col min="11" max="11" width="18.8515625" style="67" bestFit="1" customWidth="1"/>
    <col min="12" max="16384" width="11.421875" style="67" customWidth="1"/>
  </cols>
  <sheetData>
    <row r="1" spans="1:11" ht="12.75">
      <c r="A1" s="624" t="s">
        <v>0</v>
      </c>
      <c r="B1" s="625"/>
      <c r="C1" s="625"/>
      <c r="D1" s="625"/>
      <c r="E1" s="625"/>
      <c r="F1" s="625"/>
      <c r="G1" s="625"/>
      <c r="H1" s="625"/>
      <c r="I1" s="626"/>
      <c r="J1" s="66"/>
      <c r="K1" s="66"/>
    </row>
    <row r="2" spans="1:11" ht="12.75">
      <c r="A2" s="612" t="s">
        <v>196</v>
      </c>
      <c r="B2" s="613"/>
      <c r="C2" s="613"/>
      <c r="D2" s="613"/>
      <c r="E2" s="613"/>
      <c r="F2" s="613"/>
      <c r="G2" s="613"/>
      <c r="H2" s="613"/>
      <c r="I2" s="614"/>
      <c r="J2" s="66"/>
      <c r="K2" s="66"/>
    </row>
    <row r="3" spans="1:11" ht="12.75">
      <c r="A3" s="612" t="s">
        <v>638</v>
      </c>
      <c r="B3" s="613"/>
      <c r="C3" s="613"/>
      <c r="D3" s="613"/>
      <c r="E3" s="613"/>
      <c r="F3" s="613"/>
      <c r="G3" s="613"/>
      <c r="H3" s="613"/>
      <c r="I3" s="614"/>
      <c r="J3" s="66"/>
      <c r="K3" s="66"/>
    </row>
    <row r="4" spans="1:11" ht="12.75">
      <c r="A4" s="68"/>
      <c r="B4" s="66"/>
      <c r="C4" s="66"/>
      <c r="D4" s="66"/>
      <c r="E4" s="66"/>
      <c r="F4" s="66"/>
      <c r="G4" s="66"/>
      <c r="H4" s="66"/>
      <c r="I4" s="69"/>
      <c r="J4" s="66"/>
      <c r="K4" s="66"/>
    </row>
    <row r="5" spans="1:11" ht="12.75">
      <c r="A5" s="615" t="s">
        <v>197</v>
      </c>
      <c r="B5" s="616"/>
      <c r="C5" s="616"/>
      <c r="D5" s="616"/>
      <c r="E5" s="616"/>
      <c r="F5" s="616"/>
      <c r="G5" s="616"/>
      <c r="H5" s="616"/>
      <c r="I5" s="617"/>
      <c r="J5" s="66"/>
      <c r="K5" s="66"/>
    </row>
    <row r="6" spans="1:9" ht="12.75">
      <c r="A6" s="70"/>
      <c r="B6" s="71"/>
      <c r="C6" s="71"/>
      <c r="D6" s="72"/>
      <c r="E6" s="72"/>
      <c r="F6" s="72"/>
      <c r="G6" s="72"/>
      <c r="H6" s="71"/>
      <c r="I6" s="73"/>
    </row>
    <row r="7" spans="1:9" ht="12.75">
      <c r="A7" s="70" t="s">
        <v>198</v>
      </c>
      <c r="B7" s="71"/>
      <c r="C7" s="71"/>
      <c r="D7" s="72"/>
      <c r="E7" s="72"/>
      <c r="F7" s="72"/>
      <c r="G7" s="72"/>
      <c r="H7" s="71"/>
      <c r="I7" s="73"/>
    </row>
    <row r="8" spans="1:9" ht="12.75">
      <c r="A8" s="70"/>
      <c r="B8" s="71"/>
      <c r="C8" s="71"/>
      <c r="D8" s="72"/>
      <c r="E8" s="72"/>
      <c r="F8" s="72"/>
      <c r="G8" s="72"/>
      <c r="H8" s="71"/>
      <c r="I8" s="73"/>
    </row>
    <row r="9" spans="1:9" ht="12.75">
      <c r="A9" s="70"/>
      <c r="B9" s="71"/>
      <c r="C9" s="71"/>
      <c r="D9" s="72"/>
      <c r="E9" s="72"/>
      <c r="F9" s="72"/>
      <c r="G9" s="72"/>
      <c r="H9" s="71"/>
      <c r="I9" s="73"/>
    </row>
    <row r="10" spans="1:9" ht="12.75">
      <c r="A10" s="618" t="s">
        <v>3</v>
      </c>
      <c r="B10" s="619"/>
      <c r="C10" s="619"/>
      <c r="D10" s="619"/>
      <c r="E10" s="74" t="s">
        <v>199</v>
      </c>
      <c r="F10" s="619" t="s">
        <v>200</v>
      </c>
      <c r="G10" s="619"/>
      <c r="H10" s="619"/>
      <c r="I10" s="620"/>
    </row>
    <row r="11" spans="1:9" ht="13.5" thickBot="1">
      <c r="A11" s="75"/>
      <c r="B11" s="76"/>
      <c r="C11" s="76"/>
      <c r="D11" s="76"/>
      <c r="E11" s="77"/>
      <c r="F11" s="76" t="s">
        <v>201</v>
      </c>
      <c r="G11" s="76" t="s">
        <v>202</v>
      </c>
      <c r="H11" s="76" t="s">
        <v>203</v>
      </c>
      <c r="I11" s="78" t="s">
        <v>6</v>
      </c>
    </row>
    <row r="12" spans="1:9" ht="14.25" thickBot="1" thickTop="1">
      <c r="A12" s="68"/>
      <c r="B12" s="66"/>
      <c r="C12" s="66"/>
      <c r="D12" s="217"/>
      <c r="E12" s="72"/>
      <c r="F12" s="72"/>
      <c r="G12" s="72"/>
      <c r="H12" s="71"/>
      <c r="I12" s="73"/>
    </row>
    <row r="13" spans="1:9" ht="12.75">
      <c r="A13" s="210">
        <v>1</v>
      </c>
      <c r="B13" s="211">
        <v>0</v>
      </c>
      <c r="C13" s="211" t="s">
        <v>146</v>
      </c>
      <c r="D13" s="216" t="s">
        <v>146</v>
      </c>
      <c r="E13" s="405" t="s">
        <v>182</v>
      </c>
      <c r="F13" s="406">
        <f>+F15+F20+F25+F31+F34+F41</f>
        <v>4393652373.828072</v>
      </c>
      <c r="G13" s="406">
        <f>+G15+G20+G25+G31+G34+G41</f>
        <v>3230659280.9414625</v>
      </c>
      <c r="H13" s="406">
        <f>+H15+H20+H25+H31+H34+H41</f>
        <v>1341004745.2471404</v>
      </c>
      <c r="I13" s="204">
        <f>SUM(F13:H13)</f>
        <v>8965316400.016674</v>
      </c>
    </row>
    <row r="14" spans="1:10" ht="12.75">
      <c r="A14" s="68"/>
      <c r="B14" s="66"/>
      <c r="C14" s="66"/>
      <c r="D14" s="217"/>
      <c r="E14" s="72"/>
      <c r="F14" s="72"/>
      <c r="G14" s="72"/>
      <c r="H14" s="72"/>
      <c r="I14" s="73"/>
      <c r="J14" s="80">
        <f>+I13-I24</f>
        <v>8502560980.106674</v>
      </c>
    </row>
    <row r="15" spans="1:10" s="83" customFormat="1" ht="12.75">
      <c r="A15" s="68" t="s">
        <v>146</v>
      </c>
      <c r="B15" s="66"/>
      <c r="C15" s="66">
        <v>1</v>
      </c>
      <c r="D15" s="66"/>
      <c r="E15" s="71" t="s">
        <v>204</v>
      </c>
      <c r="F15" s="81">
        <f>SUM(F16:F19)</f>
        <v>1662450157.54</v>
      </c>
      <c r="G15" s="81">
        <f>SUM(G16:G19)</f>
        <v>1456372100</v>
      </c>
      <c r="H15" s="81">
        <f>SUM(H16:H19)</f>
        <v>583554600</v>
      </c>
      <c r="I15" s="79">
        <f>SUM(F15:H15)</f>
        <v>3702376857.54</v>
      </c>
      <c r="J15" s="82"/>
    </row>
    <row r="16" spans="1:11" ht="12.75">
      <c r="A16" s="68"/>
      <c r="B16" s="66"/>
      <c r="C16" s="66" t="s">
        <v>146</v>
      </c>
      <c r="D16" s="217">
        <v>1</v>
      </c>
      <c r="E16" s="72" t="s">
        <v>205</v>
      </c>
      <c r="F16" s="84">
        <f>+'[1]PRG1'!F16+'[1]Auditoría'!F16</f>
        <v>1371425681.54</v>
      </c>
      <c r="G16" s="84">
        <f>+'[1]PRG2'!F16</f>
        <v>1378939800</v>
      </c>
      <c r="H16" s="84">
        <f>+'[1]PROG3'!F16</f>
        <v>569679600</v>
      </c>
      <c r="I16" s="79">
        <f>SUM(F16:H16)</f>
        <v>3320045081.54</v>
      </c>
      <c r="J16" s="85"/>
      <c r="K16" s="80">
        <f>+I13+F49+F58+F59+F61+F73</f>
        <v>9459505765.706675</v>
      </c>
    </row>
    <row r="17" spans="1:11" ht="12.75" hidden="1">
      <c r="A17" s="68"/>
      <c r="B17" s="66"/>
      <c r="C17" s="66"/>
      <c r="D17" s="217">
        <v>2</v>
      </c>
      <c r="E17" s="72" t="s">
        <v>206</v>
      </c>
      <c r="F17" s="84">
        <f>+'[1]PRG1'!F17+'[1]Auditoría'!F17</f>
        <v>0</v>
      </c>
      <c r="G17" s="84">
        <f>+'[1]PRG2'!F17</f>
        <v>0</v>
      </c>
      <c r="H17" s="84">
        <f>+'[1]PROG3'!F17</f>
        <v>0</v>
      </c>
      <c r="I17" s="79">
        <f aca="true" t="shared" si="0" ref="I17:I81">SUM(F17:H17)</f>
        <v>0</v>
      </c>
      <c r="J17" s="85"/>
      <c r="K17" s="80"/>
    </row>
    <row r="18" spans="1:10" ht="12.75">
      <c r="A18" s="68"/>
      <c r="B18" s="66"/>
      <c r="C18" s="66"/>
      <c r="D18" s="217">
        <v>3</v>
      </c>
      <c r="E18" s="72" t="s">
        <v>207</v>
      </c>
      <c r="F18" s="84">
        <f>+'[1]PRG1'!F18+'[1]Auditoría'!F18</f>
        <v>218362476</v>
      </c>
      <c r="G18" s="84">
        <f>+'[1]PRG2'!F18</f>
        <v>0</v>
      </c>
      <c r="H18" s="84">
        <f>+'[1]PROG3'!F18</f>
        <v>0</v>
      </c>
      <c r="I18" s="79">
        <f t="shared" si="0"/>
        <v>218362476</v>
      </c>
      <c r="J18" s="85">
        <f>SUM(F16:F24)</f>
        <v>2752434197.3599997</v>
      </c>
    </row>
    <row r="19" spans="1:10" ht="12.75">
      <c r="A19" s="68"/>
      <c r="B19" s="66"/>
      <c r="C19" s="66"/>
      <c r="D19" s="217">
        <v>5</v>
      </c>
      <c r="E19" s="72" t="s">
        <v>208</v>
      </c>
      <c r="F19" s="84">
        <f>+'[1]PRG1'!F19+'[1]Auditoría'!F19</f>
        <v>72662000</v>
      </c>
      <c r="G19" s="84">
        <f>+'[1]PRG2'!F19</f>
        <v>77432300</v>
      </c>
      <c r="H19" s="84">
        <f>+'[1]PROG3'!F19</f>
        <v>13875000</v>
      </c>
      <c r="I19" s="79">
        <f t="shared" si="0"/>
        <v>163969300</v>
      </c>
      <c r="J19" s="85"/>
    </row>
    <row r="20" spans="1:10" s="83" customFormat="1" ht="12.75">
      <c r="A20" s="68"/>
      <c r="B20" s="66"/>
      <c r="C20" s="66">
        <v>2</v>
      </c>
      <c r="D20" s="66"/>
      <c r="E20" s="71" t="s">
        <v>209</v>
      </c>
      <c r="F20" s="81">
        <f>SUM(F21:F24)</f>
        <v>544992019.9100001</v>
      </c>
      <c r="G20" s="81">
        <f>SUM(G21:G24)</f>
        <v>117591478.84</v>
      </c>
      <c r="H20" s="81">
        <f>SUM(H21:H24)</f>
        <v>22767800</v>
      </c>
      <c r="I20" s="79">
        <f t="shared" si="0"/>
        <v>685351298.7500001</v>
      </c>
      <c r="J20" s="86"/>
    </row>
    <row r="21" spans="1:11" ht="12.75">
      <c r="A21" s="68"/>
      <c r="B21" s="66"/>
      <c r="C21" s="66"/>
      <c r="D21" s="217">
        <v>1</v>
      </c>
      <c r="E21" s="72" t="s">
        <v>210</v>
      </c>
      <c r="F21" s="84">
        <f>+'[1]PRG1'!F21+'[1]Auditoría'!F21</f>
        <v>53000000</v>
      </c>
      <c r="G21" s="84">
        <f>+'[1]PRG2'!F21</f>
        <v>89258578.84</v>
      </c>
      <c r="H21" s="84">
        <f>+'[1]PROG3'!F21</f>
        <v>5945500</v>
      </c>
      <c r="I21" s="79">
        <f t="shared" si="0"/>
        <v>148204078.84</v>
      </c>
      <c r="J21" s="85"/>
      <c r="K21" s="80">
        <f>+I15+I21+I22+I26+I27+I29+I30</f>
        <v>6367824003.360001</v>
      </c>
    </row>
    <row r="22" spans="1:11" ht="12.75">
      <c r="A22" s="68"/>
      <c r="B22" s="66"/>
      <c r="C22" s="66"/>
      <c r="D22" s="217">
        <v>2</v>
      </c>
      <c r="E22" s="72" t="s">
        <v>211</v>
      </c>
      <c r="F22" s="84">
        <f>+'[1]PRG1'!F22+'[1]Auditoría'!F22</f>
        <v>8122000</v>
      </c>
      <c r="G22" s="84">
        <f>+'[1]PRG2'!F22</f>
        <v>9195600</v>
      </c>
      <c r="H22" s="84">
        <f>+'[1]PROG3'!F22</f>
        <v>2795200</v>
      </c>
      <c r="I22" s="79">
        <f t="shared" si="0"/>
        <v>20112800</v>
      </c>
      <c r="K22" s="85">
        <f>+K21-'[3]OTROS CALC.'!$B$10</f>
        <v>-54279000</v>
      </c>
    </row>
    <row r="23" spans="1:10" ht="12.75">
      <c r="A23" s="68"/>
      <c r="B23" s="66"/>
      <c r="C23" s="66"/>
      <c r="D23" s="217">
        <v>3</v>
      </c>
      <c r="E23" s="72" t="s">
        <v>518</v>
      </c>
      <c r="F23" s="84">
        <f>+'[1]PRG1'!F23+'[1]Auditoría'!F23</f>
        <v>21114600</v>
      </c>
      <c r="G23" s="84">
        <f>+'[1]PRG2'!F23</f>
        <v>19137300</v>
      </c>
      <c r="H23" s="84">
        <f>+'[1]PROG3'!F23</f>
        <v>14027100</v>
      </c>
      <c r="I23" s="79">
        <f t="shared" si="0"/>
        <v>54279000</v>
      </c>
      <c r="J23" s="80">
        <f>+I22+I19</f>
        <v>184082100</v>
      </c>
    </row>
    <row r="24" spans="1:10" ht="12.75">
      <c r="A24" s="68"/>
      <c r="B24" s="66"/>
      <c r="C24" s="66"/>
      <c r="D24" s="217">
        <v>5</v>
      </c>
      <c r="E24" s="72" t="s">
        <v>212</v>
      </c>
      <c r="F24" s="84">
        <f>+'[1]PRG1'!F24+'[1]Auditoría'!F24</f>
        <v>462755419.91</v>
      </c>
      <c r="G24" s="84">
        <f>+'[1]PRG2'!F24</f>
        <v>0</v>
      </c>
      <c r="H24" s="84">
        <f>+'[1]PROG3'!F24</f>
        <v>0</v>
      </c>
      <c r="I24" s="79">
        <f t="shared" si="0"/>
        <v>462755419.91</v>
      </c>
      <c r="J24" s="85"/>
    </row>
    <row r="25" spans="1:10" s="83" customFormat="1" ht="12.75">
      <c r="A25" s="68"/>
      <c r="B25" s="66"/>
      <c r="C25" s="66">
        <v>3</v>
      </c>
      <c r="D25" s="66"/>
      <c r="E25" s="71" t="s">
        <v>213</v>
      </c>
      <c r="F25" s="81">
        <f>SUM(F26:F30)</f>
        <v>1479628517.502872</v>
      </c>
      <c r="G25" s="81">
        <f>SUM(G26:G30)</f>
        <v>1064004343.8412982</v>
      </c>
      <c r="H25" s="81">
        <f>SUM(H26:H30)</f>
        <v>488663979.6291802</v>
      </c>
      <c r="I25" s="79">
        <f t="shared" si="0"/>
        <v>3032296840.9733505</v>
      </c>
      <c r="J25" s="86"/>
    </row>
    <row r="26" spans="1:11" ht="12.75">
      <c r="A26" s="68"/>
      <c r="B26" s="66"/>
      <c r="C26" s="66"/>
      <c r="D26" s="217">
        <v>1</v>
      </c>
      <c r="E26" s="72" t="s">
        <v>214</v>
      </c>
      <c r="F26" s="84">
        <f>+'[1]PRG1'!F26+'[1]Auditoría'!F26</f>
        <v>595345682.75</v>
      </c>
      <c r="G26" s="84">
        <f>+'[1]PRG2'!F26</f>
        <v>488029381.5</v>
      </c>
      <c r="H26" s="84">
        <f>+'[1]PROG3'!F26</f>
        <v>205972540.5</v>
      </c>
      <c r="I26" s="79">
        <f t="shared" si="0"/>
        <v>1289347604.75</v>
      </c>
      <c r="J26" s="87">
        <f>+I13+F49</f>
        <v>8965316400.016674</v>
      </c>
      <c r="K26" s="67">
        <f>2625183600+950936210+414441210+193889574</f>
        <v>4184450594</v>
      </c>
    </row>
    <row r="27" spans="1:10" ht="12.75">
      <c r="A27" s="68"/>
      <c r="B27" s="66"/>
      <c r="C27" s="66"/>
      <c r="D27" s="217">
        <v>2</v>
      </c>
      <c r="E27" s="72" t="s">
        <v>215</v>
      </c>
      <c r="F27" s="84">
        <f>+'[1]PRG1'!F27+'[1]Auditoría'!F27</f>
        <v>321794360</v>
      </c>
      <c r="G27" s="84">
        <f>+'[1]PRG2'!F27</f>
        <v>129349130</v>
      </c>
      <c r="H27" s="84">
        <f>+'[1]PROG3'!F27</f>
        <v>92887740</v>
      </c>
      <c r="I27" s="79">
        <f t="shared" si="0"/>
        <v>544031230</v>
      </c>
      <c r="J27" s="87"/>
    </row>
    <row r="28" spans="1:9" ht="12.75">
      <c r="A28" s="68"/>
      <c r="B28" s="66"/>
      <c r="C28" s="66"/>
      <c r="D28" s="217">
        <v>3</v>
      </c>
      <c r="E28" s="72" t="s">
        <v>216</v>
      </c>
      <c r="F28" s="84">
        <f>+'[1]PRG1'!F28+'[1]Auditoría'!F28</f>
        <v>248020504.54287186</v>
      </c>
      <c r="G28" s="84">
        <f>+'[1]PRG2'!F28</f>
        <v>202917149.22129816</v>
      </c>
      <c r="H28" s="84">
        <f>+'[1]PROG3'!F28</f>
        <v>84228920.22918019</v>
      </c>
      <c r="I28" s="79">
        <f t="shared" si="0"/>
        <v>535166573.99335027</v>
      </c>
    </row>
    <row r="29" spans="1:10" ht="12.75">
      <c r="A29" s="68"/>
      <c r="B29" s="66"/>
      <c r="C29" s="66"/>
      <c r="D29" s="217">
        <v>4</v>
      </c>
      <c r="E29" s="72" t="s">
        <v>217</v>
      </c>
      <c r="F29" s="84">
        <f>+'[1]PRG1'!F29+'[1]Auditoría'!F29</f>
        <v>207080018.21</v>
      </c>
      <c r="G29" s="84">
        <f>+'[1]PRG2'!F29</f>
        <v>175036379.12</v>
      </c>
      <c r="H29" s="84">
        <f>+'[1]PROG3'!F29</f>
        <v>75017474.9</v>
      </c>
      <c r="I29" s="79">
        <f t="shared" si="0"/>
        <v>457133872.23</v>
      </c>
      <c r="J29" s="275">
        <f>+I35+I32</f>
        <v>920929570.6818241</v>
      </c>
    </row>
    <row r="30" spans="1:10" ht="12.75">
      <c r="A30" s="68"/>
      <c r="B30" s="66"/>
      <c r="C30" s="66"/>
      <c r="D30" s="217">
        <v>99</v>
      </c>
      <c r="E30" s="72" t="s">
        <v>218</v>
      </c>
      <c r="F30" s="84">
        <f>+'[1]PRG1'!F30+'[1]Auditoría'!F30</f>
        <v>107387952</v>
      </c>
      <c r="G30" s="84">
        <f>+'[1]PRG2'!F30</f>
        <v>68672304</v>
      </c>
      <c r="H30" s="84">
        <f>+'[1]PROG3'!F30</f>
        <v>30557304</v>
      </c>
      <c r="I30" s="79">
        <f t="shared" si="0"/>
        <v>206617560</v>
      </c>
      <c r="J30" s="80">
        <f>+F30+F49</f>
        <v>107387952</v>
      </c>
    </row>
    <row r="31" spans="1:10" s="83" customFormat="1" ht="25.5">
      <c r="A31" s="68"/>
      <c r="B31" s="66"/>
      <c r="C31" s="66">
        <v>4</v>
      </c>
      <c r="D31" s="66"/>
      <c r="E31" s="88" t="s">
        <v>219</v>
      </c>
      <c r="F31" s="81">
        <f>SUM(F32:F33)</f>
        <v>290188740.12375003</v>
      </c>
      <c r="G31" s="81">
        <f>SUM(G32:G33)</f>
        <v>237417450.41235</v>
      </c>
      <c r="H31" s="81">
        <f>SUM(H32:H33)</f>
        <v>98548852.29150002</v>
      </c>
      <c r="I31" s="79">
        <f t="shared" si="0"/>
        <v>626155042.8276</v>
      </c>
      <c r="J31" s="82"/>
    </row>
    <row r="32" spans="1:10" ht="12.75">
      <c r="A32" s="68"/>
      <c r="B32" s="66"/>
      <c r="C32" s="66"/>
      <c r="D32" s="217">
        <v>1</v>
      </c>
      <c r="E32" s="72" t="s">
        <v>220</v>
      </c>
      <c r="F32" s="84">
        <f>+'[1]PRG1'!F32+'[1]Auditoría'!F32</f>
        <v>275307266.27125</v>
      </c>
      <c r="G32" s="84">
        <f>+'[1]PRG2'!F32</f>
        <v>225242196.54505</v>
      </c>
      <c r="H32" s="84">
        <f>+'[1]PROG3'!F32</f>
        <v>93495064.99450001</v>
      </c>
      <c r="I32" s="79">
        <f t="shared" si="0"/>
        <v>594044527.8108001</v>
      </c>
      <c r="J32" s="80"/>
    </row>
    <row r="33" spans="1:10" ht="12.75">
      <c r="A33" s="68"/>
      <c r="B33" s="66"/>
      <c r="C33" s="66"/>
      <c r="D33" s="217">
        <v>5</v>
      </c>
      <c r="E33" s="72" t="s">
        <v>221</v>
      </c>
      <c r="F33" s="84">
        <f>+'[1]PRG1'!F33+'[1]Auditoría'!F33</f>
        <v>14881473.8525</v>
      </c>
      <c r="G33" s="84">
        <f>+'[1]PRG2'!F33</f>
        <v>12175253.867299996</v>
      </c>
      <c r="H33" s="84">
        <f>+'[1]PROG3'!F33</f>
        <v>5053787.297</v>
      </c>
      <c r="I33" s="79">
        <f t="shared" si="0"/>
        <v>32110515.016799994</v>
      </c>
      <c r="J33" s="80"/>
    </row>
    <row r="34" spans="1:10" s="83" customFormat="1" ht="38.25">
      <c r="A34" s="68"/>
      <c r="B34" s="66"/>
      <c r="C34" s="66">
        <v>5</v>
      </c>
      <c r="D34" s="66"/>
      <c r="E34" s="88" t="s">
        <v>222</v>
      </c>
      <c r="F34" s="81">
        <f>SUM(F35:F39)</f>
        <v>416392938.75145006</v>
      </c>
      <c r="G34" s="81">
        <f>SUM(G35:G39)</f>
        <v>355273907.847814</v>
      </c>
      <c r="H34" s="81">
        <f>SUM(H35:H39)</f>
        <v>147469513.32646</v>
      </c>
      <c r="I34" s="79">
        <f t="shared" si="0"/>
        <v>919136359.9257241</v>
      </c>
      <c r="J34" s="82"/>
    </row>
    <row r="35" spans="1:10" ht="12.75">
      <c r="A35" s="68"/>
      <c r="B35" s="66"/>
      <c r="C35" s="66"/>
      <c r="D35" s="217">
        <v>1</v>
      </c>
      <c r="E35" s="72" t="s">
        <v>223</v>
      </c>
      <c r="F35" s="84">
        <f>+'[1]PRG1'!F35+'[1]Auditoría'!F35</f>
        <v>151493403.81845003</v>
      </c>
      <c r="G35" s="84">
        <f>+'[1]PRG2'!F35</f>
        <v>123944084.36911401</v>
      </c>
      <c r="H35" s="84">
        <f>+'[1]PROG3'!F35</f>
        <v>51447554.683460005</v>
      </c>
      <c r="I35" s="79">
        <f t="shared" si="0"/>
        <v>326885042.871024</v>
      </c>
      <c r="J35" s="80"/>
    </row>
    <row r="36" spans="1:10" ht="12.75">
      <c r="A36" s="68"/>
      <c r="B36" s="66"/>
      <c r="C36" s="66"/>
      <c r="D36" s="217">
        <v>2</v>
      </c>
      <c r="E36" s="72" t="s">
        <v>224</v>
      </c>
      <c r="F36" s="84">
        <f>+'[1]PRG1'!F36+'[1]Auditoría'!F36</f>
        <v>44644421.5575</v>
      </c>
      <c r="G36" s="84">
        <f>+'[1]PRG2'!F36</f>
        <v>36525761.6019</v>
      </c>
      <c r="H36" s="84">
        <f>+'[1]PROG3'!F36</f>
        <v>15161361.890999999</v>
      </c>
      <c r="I36" s="79">
        <f t="shared" si="0"/>
        <v>96331545.05039999</v>
      </c>
      <c r="J36" s="80"/>
    </row>
    <row r="37" spans="1:10" ht="12.75">
      <c r="A37" s="68"/>
      <c r="B37" s="66"/>
      <c r="C37" s="66"/>
      <c r="D37" s="217">
        <v>3</v>
      </c>
      <c r="E37" s="72" t="s">
        <v>225</v>
      </c>
      <c r="F37" s="84">
        <f>+'[1]PRG1'!F37+'[1]Auditoría'!F37</f>
        <v>89288843.115</v>
      </c>
      <c r="G37" s="84">
        <f>+'[1]PRG2'!F37</f>
        <v>73051523.2038</v>
      </c>
      <c r="H37" s="84">
        <f>+'[1]PROG3'!F37</f>
        <v>30322723.781999998</v>
      </c>
      <c r="I37" s="79">
        <f t="shared" si="0"/>
        <v>192663090.10079998</v>
      </c>
      <c r="J37" s="80"/>
    </row>
    <row r="38" spans="1:10" ht="25.5" hidden="1">
      <c r="A38" s="68"/>
      <c r="B38" s="66"/>
      <c r="C38" s="66"/>
      <c r="D38" s="217">
        <v>4</v>
      </c>
      <c r="E38" s="89" t="s">
        <v>226</v>
      </c>
      <c r="F38" s="84">
        <f>+'[1]PRG1'!F38+'[1]Auditoría'!F38</f>
        <v>0</v>
      </c>
      <c r="G38" s="84">
        <f>+'[1]PRG2'!F38</f>
        <v>0</v>
      </c>
      <c r="H38" s="84">
        <f>+'[1]PROG3'!F38</f>
        <v>0</v>
      </c>
      <c r="I38" s="79">
        <f t="shared" si="0"/>
        <v>0</v>
      </c>
      <c r="J38" s="80"/>
    </row>
    <row r="39" spans="1:10" ht="25.5">
      <c r="A39" s="68"/>
      <c r="B39" s="66"/>
      <c r="C39" s="66"/>
      <c r="D39" s="217">
        <v>5</v>
      </c>
      <c r="E39" s="89" t="s">
        <v>227</v>
      </c>
      <c r="F39" s="84">
        <f>+'[1]PRG1'!F39+'[1]Auditoría'!F39</f>
        <v>130966270.26050001</v>
      </c>
      <c r="G39" s="84">
        <f>+'[1]PRG2'!F39</f>
        <v>121752538.673</v>
      </c>
      <c r="H39" s="84">
        <f>+'[1]PROG3'!F39</f>
        <v>50537872.970000006</v>
      </c>
      <c r="I39" s="79">
        <f t="shared" si="0"/>
        <v>303256681.9035</v>
      </c>
      <c r="J39" s="80"/>
    </row>
    <row r="40" spans="1:10" ht="12.75">
      <c r="A40" s="68"/>
      <c r="B40" s="66"/>
      <c r="C40" s="66"/>
      <c r="D40" s="217"/>
      <c r="E40" s="72"/>
      <c r="F40" s="84"/>
      <c r="G40" s="84" t="s">
        <v>146</v>
      </c>
      <c r="H40" s="84" t="s">
        <v>146</v>
      </c>
      <c r="I40" s="79" t="s">
        <v>146</v>
      </c>
      <c r="J40" s="80"/>
    </row>
    <row r="41" spans="1:10" s="83" customFormat="1" ht="12.75" hidden="1">
      <c r="A41" s="68"/>
      <c r="B41" s="66"/>
      <c r="C41" s="66">
        <v>99</v>
      </c>
      <c r="D41" s="66"/>
      <c r="E41" s="71" t="s">
        <v>228</v>
      </c>
      <c r="F41" s="81">
        <f>SUM(F42:F43)</f>
        <v>0</v>
      </c>
      <c r="G41" s="81">
        <f>SUM(G42:G43)</f>
        <v>0</v>
      </c>
      <c r="H41" s="81">
        <f>SUM(H42:H43)</f>
        <v>0</v>
      </c>
      <c r="I41" s="79">
        <f t="shared" si="0"/>
        <v>0</v>
      </c>
      <c r="J41" s="82"/>
    </row>
    <row r="42" spans="1:10" ht="12.75" hidden="1">
      <c r="A42" s="68"/>
      <c r="B42" s="66"/>
      <c r="C42" s="66"/>
      <c r="D42" s="217">
        <v>1</v>
      </c>
      <c r="E42" s="72" t="s">
        <v>229</v>
      </c>
      <c r="F42" s="84">
        <f>+'[1]PRG1'!F42+'[1]Auditoría'!F42</f>
        <v>0</v>
      </c>
      <c r="G42" s="84">
        <f>+'[1]PRG2'!F42</f>
        <v>0</v>
      </c>
      <c r="H42" s="84">
        <f>+'[1]PROG3'!F42</f>
        <v>0</v>
      </c>
      <c r="I42" s="79">
        <f t="shared" si="0"/>
        <v>0</v>
      </c>
      <c r="J42" s="80"/>
    </row>
    <row r="43" spans="1:10" ht="12.75" hidden="1">
      <c r="A43" s="68"/>
      <c r="B43" s="66"/>
      <c r="C43" s="66"/>
      <c r="D43" s="217">
        <v>99</v>
      </c>
      <c r="E43" s="72" t="s">
        <v>230</v>
      </c>
      <c r="F43" s="84">
        <f>+'[1]PRG1'!F43+'[1]Auditoría'!F43</f>
        <v>0</v>
      </c>
      <c r="G43" s="84">
        <f>+'[1]PRG2'!F43</f>
        <v>0</v>
      </c>
      <c r="H43" s="84">
        <f>+'[1]PROG3'!F43</f>
        <v>0</v>
      </c>
      <c r="I43" s="79">
        <f t="shared" si="0"/>
        <v>0</v>
      </c>
      <c r="J43" s="80"/>
    </row>
    <row r="44" spans="1:9" ht="12.75" hidden="1">
      <c r="A44" s="68"/>
      <c r="B44" s="66"/>
      <c r="C44" s="66"/>
      <c r="D44" s="217"/>
      <c r="E44" s="72"/>
      <c r="F44" s="84"/>
      <c r="G44" s="84">
        <f>+'[1]PRG2'!F44</f>
        <v>0</v>
      </c>
      <c r="H44" s="84">
        <f>+'[1]PROG3'!F44</f>
        <v>0</v>
      </c>
      <c r="I44" s="79">
        <f t="shared" si="0"/>
        <v>0</v>
      </c>
    </row>
    <row r="45" spans="1:9" ht="12.75">
      <c r="A45" s="68" t="s">
        <v>146</v>
      </c>
      <c r="B45" s="66">
        <v>1</v>
      </c>
      <c r="C45" s="66"/>
      <c r="D45" s="217"/>
      <c r="E45" s="90" t="s">
        <v>231</v>
      </c>
      <c r="F45" s="81">
        <f>+F46+F52+F58+F66+F74+F79+F81+F85+F106+F108</f>
        <v>1355124280.055</v>
      </c>
      <c r="G45" s="81">
        <f>+G46+G52+G58+G66+G74+G79+G81+G85+G106+G108</f>
        <v>3997610356.0638003</v>
      </c>
      <c r="H45" s="81">
        <f>+H46+H52+H58+H66+H74+H79+H81+H85+H106+H108</f>
        <v>608084723.7820001</v>
      </c>
      <c r="I45" s="79">
        <f t="shared" si="0"/>
        <v>5960819359.900801</v>
      </c>
    </row>
    <row r="46" spans="1:9" ht="12.75">
      <c r="A46" s="68"/>
      <c r="B46" s="66"/>
      <c r="C46" s="66">
        <v>1</v>
      </c>
      <c r="D46" s="217"/>
      <c r="E46" s="90" t="s">
        <v>64</v>
      </c>
      <c r="F46" s="81">
        <f>SUM(F47:F51)</f>
        <v>341400000</v>
      </c>
      <c r="G46" s="81">
        <f>SUM(G47:G51)</f>
        <v>37500000</v>
      </c>
      <c r="H46" s="81">
        <f>SUM(H47:H51)</f>
        <v>0</v>
      </c>
      <c r="I46" s="79">
        <f t="shared" si="0"/>
        <v>378900000</v>
      </c>
    </row>
    <row r="47" spans="1:9" ht="12.75">
      <c r="A47" s="68"/>
      <c r="B47" s="66"/>
      <c r="C47" s="66"/>
      <c r="D47" s="217">
        <v>1</v>
      </c>
      <c r="E47" s="91" t="s">
        <v>232</v>
      </c>
      <c r="F47" s="84">
        <f>+'[1]PRG1'!F47+'[1]Auditoría'!F47</f>
        <v>340300000</v>
      </c>
      <c r="G47" s="84">
        <f>+'[1]PRG2'!F47</f>
        <v>26000000</v>
      </c>
      <c r="H47" s="84">
        <f>+'[1]PROG3'!F47</f>
        <v>0</v>
      </c>
      <c r="I47" s="79">
        <f t="shared" si="0"/>
        <v>366300000</v>
      </c>
    </row>
    <row r="48" spans="1:11" ht="12.75">
      <c r="A48" s="68"/>
      <c r="B48" s="66"/>
      <c r="C48" s="66"/>
      <c r="D48" s="217">
        <v>2</v>
      </c>
      <c r="E48" s="91" t="s">
        <v>519</v>
      </c>
      <c r="F48" s="84">
        <f>+'[1]PRG1'!F48+'[1]Auditoría'!F48</f>
        <v>1100000</v>
      </c>
      <c r="G48" s="84">
        <f>+'[1]PRG2'!F48</f>
        <v>11500000</v>
      </c>
      <c r="H48" s="84">
        <f>+'[1]PROG3'!F48</f>
        <v>0</v>
      </c>
      <c r="I48" s="79">
        <f t="shared" si="0"/>
        <v>12600000</v>
      </c>
      <c r="K48" s="80">
        <f>+F48+F50+I52+I54+K57+I85</f>
        <v>609666918.2</v>
      </c>
    </row>
    <row r="49" spans="1:9" ht="12.75" hidden="1">
      <c r="A49" s="68"/>
      <c r="B49" s="66"/>
      <c r="C49" s="66"/>
      <c r="D49" s="217">
        <v>3</v>
      </c>
      <c r="E49" s="91" t="s">
        <v>233</v>
      </c>
      <c r="F49" s="84">
        <f>+'[1]PRG1'!F49+'[1]Auditoría'!F49</f>
        <v>0</v>
      </c>
      <c r="G49" s="84">
        <f>+'[1]PRG2'!F49</f>
        <v>0</v>
      </c>
      <c r="H49" s="84">
        <f>+'[1]PROG3'!F49</f>
        <v>0</v>
      </c>
      <c r="I49" s="79">
        <f t="shared" si="0"/>
        <v>0</v>
      </c>
    </row>
    <row r="50" spans="1:10" ht="12.75" hidden="1">
      <c r="A50" s="68"/>
      <c r="B50" s="66"/>
      <c r="C50" s="66"/>
      <c r="D50" s="217">
        <v>4</v>
      </c>
      <c r="E50" s="91" t="s">
        <v>234</v>
      </c>
      <c r="F50" s="84">
        <f>+'[1]PRG1'!F50+'[1]Auditoría'!F50</f>
        <v>0</v>
      </c>
      <c r="G50" s="84">
        <f>+'[1]PRG2'!F50</f>
        <v>0</v>
      </c>
      <c r="H50" s="84">
        <f>+'[1]PROG3'!F50</f>
        <v>0</v>
      </c>
      <c r="I50" s="79">
        <f t="shared" si="0"/>
        <v>0</v>
      </c>
      <c r="J50" s="80">
        <f>+I47+I48+I50</f>
        <v>378900000</v>
      </c>
    </row>
    <row r="51" spans="1:9" ht="12.75" hidden="1">
      <c r="A51" s="68"/>
      <c r="B51" s="66"/>
      <c r="C51" s="66"/>
      <c r="D51" s="217">
        <v>99</v>
      </c>
      <c r="E51" s="91" t="s">
        <v>235</v>
      </c>
      <c r="F51" s="84">
        <f>+'[1]PRG1'!F51+'[1]Auditoría'!F51</f>
        <v>0</v>
      </c>
      <c r="G51" s="84">
        <f>+'[1]PRG2'!F51</f>
        <v>0</v>
      </c>
      <c r="H51" s="84">
        <f>+'[1]PROG3'!F51</f>
        <v>0</v>
      </c>
      <c r="I51" s="79">
        <f t="shared" si="0"/>
        <v>0</v>
      </c>
    </row>
    <row r="52" spans="1:11" ht="12.75">
      <c r="A52" s="68"/>
      <c r="B52" s="66"/>
      <c r="C52" s="66">
        <v>2</v>
      </c>
      <c r="D52" s="217"/>
      <c r="E52" s="90" t="s">
        <v>236</v>
      </c>
      <c r="F52" s="81">
        <f>SUM(F53:F57)</f>
        <v>135419250</v>
      </c>
      <c r="G52" s="81">
        <f>SUM(G53:G57)</f>
        <v>237911956</v>
      </c>
      <c r="H52" s="81">
        <f>SUM(H53:H57)</f>
        <v>0</v>
      </c>
      <c r="I52" s="79">
        <f t="shared" si="0"/>
        <v>373331206</v>
      </c>
      <c r="K52" s="80">
        <f>+F48+F50+I52+I54</f>
        <v>705031206</v>
      </c>
    </row>
    <row r="53" spans="1:9" ht="12.75">
      <c r="A53" s="68"/>
      <c r="B53" s="66"/>
      <c r="C53" s="66"/>
      <c r="D53" s="217">
        <v>1</v>
      </c>
      <c r="E53" s="91" t="s">
        <v>237</v>
      </c>
      <c r="F53" s="84">
        <f>+'[1]PRG1'!F53+'[1]Auditoría'!F53</f>
        <v>0</v>
      </c>
      <c r="G53" s="84">
        <f>+'[1]PRG2'!F53</f>
        <v>900000</v>
      </c>
      <c r="H53" s="84">
        <f>+'[1]PROG3'!F53</f>
        <v>0</v>
      </c>
      <c r="I53" s="79">
        <f t="shared" si="0"/>
        <v>900000</v>
      </c>
    </row>
    <row r="54" spans="1:9" ht="12.75">
      <c r="A54" s="68"/>
      <c r="B54" s="66"/>
      <c r="C54" s="66"/>
      <c r="D54" s="217">
        <v>2</v>
      </c>
      <c r="E54" s="91" t="s">
        <v>238</v>
      </c>
      <c r="F54" s="84">
        <f>+'[1]PRG1'!F54+'[1]Auditoría'!F54</f>
        <v>99000000</v>
      </c>
      <c r="G54" s="84">
        <f>+'[1]PRG2'!F54</f>
        <v>231600000</v>
      </c>
      <c r="H54" s="84">
        <f>+'[1]PROG3'!F54</f>
        <v>0</v>
      </c>
      <c r="I54" s="79">
        <f t="shared" si="0"/>
        <v>330600000</v>
      </c>
    </row>
    <row r="55" spans="1:10" ht="12.75">
      <c r="A55" s="68"/>
      <c r="B55" s="66"/>
      <c r="C55" s="66"/>
      <c r="D55" s="217">
        <v>3</v>
      </c>
      <c r="E55" s="91" t="s">
        <v>239</v>
      </c>
      <c r="F55" s="84">
        <f>+'[1]PRG1'!F55+'[1]Auditoría'!F55</f>
        <v>119250</v>
      </c>
      <c r="G55" s="84">
        <f>+'[1]PRG2'!F55</f>
        <v>0</v>
      </c>
      <c r="H55" s="84">
        <f>+'[1]PROG3'!F55</f>
        <v>0</v>
      </c>
      <c r="I55" s="79">
        <f t="shared" si="0"/>
        <v>119250</v>
      </c>
      <c r="J55" s="80">
        <f>+I53+I54+I55+I56</f>
        <v>373331206</v>
      </c>
    </row>
    <row r="56" spans="1:9" ht="12.75">
      <c r="A56" s="68"/>
      <c r="B56" s="66"/>
      <c r="C56" s="66"/>
      <c r="D56" s="217">
        <v>4</v>
      </c>
      <c r="E56" s="91" t="s">
        <v>240</v>
      </c>
      <c r="F56" s="84">
        <f>+'[1]PRG1'!F56+'[1]Auditoría'!F56</f>
        <v>36300000</v>
      </c>
      <c r="G56" s="84">
        <f>+'[1]PRG2'!F56</f>
        <v>5411956</v>
      </c>
      <c r="H56" s="84">
        <f>+'[1]PROG3'!F56</f>
        <v>0</v>
      </c>
      <c r="I56" s="79">
        <f t="shared" si="0"/>
        <v>41711956</v>
      </c>
    </row>
    <row r="57" spans="1:11" ht="12.75" hidden="1">
      <c r="A57" s="68"/>
      <c r="B57" s="66"/>
      <c r="C57" s="66"/>
      <c r="D57" s="217">
        <v>99</v>
      </c>
      <c r="E57" s="91" t="s">
        <v>241</v>
      </c>
      <c r="F57" s="84">
        <f>+'[1]PRG1'!F57+'[1]Auditoría'!F57</f>
        <v>0</v>
      </c>
      <c r="G57" s="84">
        <f>+'[1]PRG2'!F57</f>
        <v>0</v>
      </c>
      <c r="H57" s="84">
        <f>+'[1]PROG3'!F57</f>
        <v>0</v>
      </c>
      <c r="I57" s="79">
        <f t="shared" si="0"/>
        <v>0</v>
      </c>
      <c r="K57" s="80">
        <f>+I56-F59-F58-F61-F73</f>
        <v>-452477409.69</v>
      </c>
    </row>
    <row r="58" spans="1:9" ht="12.75">
      <c r="A58" s="68"/>
      <c r="B58" s="66"/>
      <c r="C58" s="66">
        <v>3</v>
      </c>
      <c r="D58" s="217"/>
      <c r="E58" s="90" t="s">
        <v>242</v>
      </c>
      <c r="F58" s="81">
        <f>SUM(F59:F65)</f>
        <v>383587686.94</v>
      </c>
      <c r="G58" s="81">
        <f>SUM(G59:G65)</f>
        <v>45838000</v>
      </c>
      <c r="H58" s="81">
        <f>SUM(H59:H65)</f>
        <v>16040000</v>
      </c>
      <c r="I58" s="79">
        <f t="shared" si="0"/>
        <v>445465686.94</v>
      </c>
    </row>
    <row r="59" spans="1:10" ht="12.75">
      <c r="A59" s="68"/>
      <c r="B59" s="66"/>
      <c r="C59" s="66"/>
      <c r="D59" s="217">
        <v>1</v>
      </c>
      <c r="E59" s="91" t="s">
        <v>243</v>
      </c>
      <c r="F59" s="84">
        <f>+'[1]PRG1'!F59+'[1]Auditoría'!F59</f>
        <v>36139900</v>
      </c>
      <c r="G59" s="84">
        <f>+'[1]PRG2'!F59</f>
        <v>13099000</v>
      </c>
      <c r="H59" s="84">
        <f>+'[1]PROG3'!F59</f>
        <v>0</v>
      </c>
      <c r="I59" s="79">
        <f t="shared" si="0"/>
        <v>49238900</v>
      </c>
      <c r="J59" s="87" t="s">
        <v>146</v>
      </c>
    </row>
    <row r="60" spans="1:10" ht="12.75">
      <c r="A60" s="68"/>
      <c r="B60" s="66"/>
      <c r="C60" s="66"/>
      <c r="D60" s="217">
        <v>2</v>
      </c>
      <c r="E60" s="91" t="s">
        <v>244</v>
      </c>
      <c r="F60" s="84">
        <f>+'[1]PRG1'!F60+'[1]Auditoría'!F60</f>
        <v>37800000</v>
      </c>
      <c r="G60" s="84">
        <f>+'[1]PRG2'!F60</f>
        <v>10600000</v>
      </c>
      <c r="H60" s="84">
        <f>+'[1]PROG3'!F60</f>
        <v>0</v>
      </c>
      <c r="I60" s="79">
        <f t="shared" si="0"/>
        <v>48400000</v>
      </c>
      <c r="J60" s="80"/>
    </row>
    <row r="61" spans="1:11" ht="12.75">
      <c r="A61" s="68"/>
      <c r="B61" s="66"/>
      <c r="C61" s="66"/>
      <c r="D61" s="217">
        <v>3</v>
      </c>
      <c r="E61" s="91" t="s">
        <v>245</v>
      </c>
      <c r="F61" s="84">
        <f>+'[1]PRG1'!F61+'[1]Auditoría'!F61</f>
        <v>34321778.75</v>
      </c>
      <c r="G61" s="84">
        <f>+'[1]PRG2'!F61</f>
        <v>12139000</v>
      </c>
      <c r="H61" s="84">
        <f>+'[1]PROG3'!F61</f>
        <v>16040000</v>
      </c>
      <c r="I61" s="79">
        <f t="shared" si="0"/>
        <v>62500778.75</v>
      </c>
      <c r="K61" s="80">
        <f>+I59+I61+I62+I64+I65+K68+I60</f>
        <v>445465686.94</v>
      </c>
    </row>
    <row r="62" spans="1:9" ht="12.75">
      <c r="A62" s="68"/>
      <c r="B62" s="66"/>
      <c r="C62" s="66"/>
      <c r="D62" s="217">
        <v>4</v>
      </c>
      <c r="E62" s="91" t="s">
        <v>246</v>
      </c>
      <c r="F62" s="84">
        <f>+'[1]PRG1'!F62+'[1]Auditoría'!F62</f>
        <v>220000</v>
      </c>
      <c r="G62" s="84">
        <f>+'[1]PRG2'!F62</f>
        <v>10000000</v>
      </c>
      <c r="H62" s="84">
        <f>+'[1]PROG3'!F62</f>
        <v>0</v>
      </c>
      <c r="I62" s="79">
        <f t="shared" si="0"/>
        <v>10220000</v>
      </c>
    </row>
    <row r="63" spans="1:9" ht="12.75" hidden="1">
      <c r="A63" s="68"/>
      <c r="B63" s="66"/>
      <c r="C63" s="66"/>
      <c r="D63" s="217">
        <v>5</v>
      </c>
      <c r="E63" s="91" t="s">
        <v>247</v>
      </c>
      <c r="F63" s="84">
        <f>+'[1]PRG1'!F63+'[1]Auditoría'!F63</f>
        <v>0</v>
      </c>
      <c r="G63" s="84">
        <f>+'[1]PRG2'!F63</f>
        <v>0</v>
      </c>
      <c r="H63" s="84">
        <f>+'[1]PROG3'!F63</f>
        <v>0</v>
      </c>
      <c r="I63" s="79">
        <f t="shared" si="0"/>
        <v>0</v>
      </c>
    </row>
    <row r="64" spans="1:9" ht="25.5">
      <c r="A64" s="68"/>
      <c r="B64" s="66"/>
      <c r="C64" s="66"/>
      <c r="D64" s="217">
        <v>6</v>
      </c>
      <c r="E64" s="91" t="s">
        <v>248</v>
      </c>
      <c r="F64" s="84">
        <f>+'[1]PRG1'!F64+'[1]Auditoría'!F64</f>
        <v>261715305.19</v>
      </c>
      <c r="G64" s="84">
        <f>+'[1]PRG2'!F64</f>
        <v>0</v>
      </c>
      <c r="H64" s="84">
        <f>+'[1]PROG3'!F64</f>
        <v>0</v>
      </c>
      <c r="I64" s="79">
        <f t="shared" si="0"/>
        <v>261715305.19</v>
      </c>
    </row>
    <row r="65" spans="1:11" ht="25.5">
      <c r="A65" s="68"/>
      <c r="B65" s="66"/>
      <c r="C65" s="66"/>
      <c r="D65" s="217">
        <v>7</v>
      </c>
      <c r="E65" s="91" t="s">
        <v>249</v>
      </c>
      <c r="F65" s="84">
        <f>+'[1]PRG1'!F65+'[1]Auditoría'!F65</f>
        <v>13390703</v>
      </c>
      <c r="G65" s="84">
        <f>+'[1]PRG2'!F65</f>
        <v>0</v>
      </c>
      <c r="H65" s="84">
        <f>+'[1]PROG3'!F65</f>
        <v>0</v>
      </c>
      <c r="I65" s="79">
        <f t="shared" si="0"/>
        <v>13390703</v>
      </c>
      <c r="K65" s="87">
        <f>SUM(F65:F83)-F73</f>
        <v>847210389.23</v>
      </c>
    </row>
    <row r="66" spans="1:9" ht="12.75">
      <c r="A66" s="68"/>
      <c r="B66" s="66"/>
      <c r="C66" s="66">
        <v>4</v>
      </c>
      <c r="D66" s="217"/>
      <c r="E66" s="90" t="s">
        <v>250</v>
      </c>
      <c r="F66" s="81">
        <f>SUM(F67:F73)</f>
        <v>265302000</v>
      </c>
      <c r="G66" s="81">
        <f>SUM(G67:G73)</f>
        <v>3263011251.4700003</v>
      </c>
      <c r="H66" s="81">
        <f>SUM(H67:H73)</f>
        <v>432200000</v>
      </c>
      <c r="I66" s="79">
        <f t="shared" si="0"/>
        <v>3960513251.4700003</v>
      </c>
    </row>
    <row r="67" spans="1:9" ht="12.75">
      <c r="A67" s="68"/>
      <c r="B67" s="66"/>
      <c r="C67" s="66"/>
      <c r="D67" s="217">
        <v>1</v>
      </c>
      <c r="E67" s="91" t="s">
        <v>251</v>
      </c>
      <c r="F67" s="84">
        <f>+'[1]PRG1'!F67+'[1]Auditoría'!F67</f>
        <v>0</v>
      </c>
      <c r="G67" s="84">
        <f>+'[1]PRG2'!F67</f>
        <v>7260000</v>
      </c>
      <c r="H67" s="84">
        <f>+'[1]PROG3'!F67</f>
        <v>0</v>
      </c>
      <c r="I67" s="79">
        <f t="shared" si="0"/>
        <v>7260000</v>
      </c>
    </row>
    <row r="68" spans="1:9" ht="12.75">
      <c r="A68" s="68"/>
      <c r="B68" s="66"/>
      <c r="C68" s="66"/>
      <c r="D68" s="217">
        <v>2</v>
      </c>
      <c r="E68" s="91" t="s">
        <v>252</v>
      </c>
      <c r="F68" s="84">
        <f>+'[1]PRG1'!F68+'[1]Auditoría'!F68</f>
        <v>25000000</v>
      </c>
      <c r="G68" s="84">
        <f>+'[1]PRG2'!F68</f>
        <v>2000000</v>
      </c>
      <c r="H68" s="84">
        <f>+'[1]PROG3'!F68</f>
        <v>0</v>
      </c>
      <c r="I68" s="79">
        <f t="shared" si="0"/>
        <v>27000000</v>
      </c>
    </row>
    <row r="69" spans="1:9" ht="12.75">
      <c r="A69" s="68"/>
      <c r="B69" s="66"/>
      <c r="C69" s="66"/>
      <c r="D69" s="217">
        <v>3</v>
      </c>
      <c r="E69" s="91" t="s">
        <v>253</v>
      </c>
      <c r="F69" s="84">
        <f>+'[1]PRG1'!F69+'[1]Auditoría'!F69</f>
        <v>20000000</v>
      </c>
      <c r="G69" s="84">
        <f>+'[1]PRG2'!F69</f>
        <v>48000000</v>
      </c>
      <c r="H69" s="84">
        <f>+'[1]PROG3'!F69</f>
        <v>20000000</v>
      </c>
      <c r="I69" s="79">
        <f t="shared" si="0"/>
        <v>88000000</v>
      </c>
    </row>
    <row r="70" spans="1:9" ht="12.75">
      <c r="A70" s="68"/>
      <c r="B70" s="66"/>
      <c r="C70" s="66"/>
      <c r="D70" s="217">
        <v>4</v>
      </c>
      <c r="E70" s="91" t="s">
        <v>254</v>
      </c>
      <c r="F70" s="84">
        <f>+'[1]PRG1'!F70+'[1]Auditoría'!F70</f>
        <v>25700000</v>
      </c>
      <c r="G70" s="84">
        <f>+'[1]PRG2'!F70</f>
        <v>48500000</v>
      </c>
      <c r="H70" s="84">
        <f>+'[1]PROG3'!F70</f>
        <v>0</v>
      </c>
      <c r="I70" s="79">
        <f t="shared" si="0"/>
        <v>74200000</v>
      </c>
    </row>
    <row r="71" spans="1:9" ht="25.5" hidden="1">
      <c r="A71" s="68"/>
      <c r="B71" s="66"/>
      <c r="C71" s="66"/>
      <c r="D71" s="217">
        <v>5</v>
      </c>
      <c r="E71" s="91" t="s">
        <v>255</v>
      </c>
      <c r="F71" s="84">
        <f>+'[1]PRG1'!F71+'[1]Auditoría'!F71</f>
        <v>0</v>
      </c>
      <c r="G71" s="84">
        <f>+'[1]PRG2'!F71</f>
        <v>0</v>
      </c>
      <c r="H71" s="84">
        <f>+'[1]PROG3'!F71</f>
        <v>0</v>
      </c>
      <c r="I71" s="79">
        <f t="shared" si="0"/>
        <v>0</v>
      </c>
    </row>
    <row r="72" spans="1:11" ht="12.75">
      <c r="A72" s="68"/>
      <c r="B72" s="66"/>
      <c r="C72" s="66"/>
      <c r="D72" s="217">
        <v>6</v>
      </c>
      <c r="E72" s="91" t="s">
        <v>256</v>
      </c>
      <c r="F72" s="84">
        <f>+'[1]PRG1'!F72+'[1]Auditoría'!F72</f>
        <v>154462000</v>
      </c>
      <c r="G72" s="84">
        <f>+'[1]PRG2'!F72</f>
        <v>219495290.21</v>
      </c>
      <c r="H72" s="84">
        <f>+'[1]PROG3'!F72</f>
        <v>8500000</v>
      </c>
      <c r="I72" s="79">
        <f t="shared" si="0"/>
        <v>382457290.21000004</v>
      </c>
      <c r="K72" s="277">
        <f>+I67+I68+I69+I70+I71+I72+I73</f>
        <v>3960513251.4700003</v>
      </c>
    </row>
    <row r="73" spans="1:10" ht="12.75">
      <c r="A73" s="68"/>
      <c r="B73" s="66"/>
      <c r="C73" s="66"/>
      <c r="D73" s="217">
        <v>99</v>
      </c>
      <c r="E73" s="91" t="s">
        <v>257</v>
      </c>
      <c r="F73" s="84">
        <f>+'[1]PRG1'!F73+'[1]Auditoría'!F73</f>
        <v>40140000</v>
      </c>
      <c r="G73" s="84">
        <f>+'[1]PRG2'!F73</f>
        <v>2937755961.26</v>
      </c>
      <c r="H73" s="84">
        <f>+'[1]PROG3'!F73</f>
        <v>403700000</v>
      </c>
      <c r="I73" s="79">
        <f t="shared" si="0"/>
        <v>3381595961.26</v>
      </c>
      <c r="J73" s="92"/>
    </row>
    <row r="74" spans="1:9" ht="12.75">
      <c r="A74" s="68"/>
      <c r="B74" s="66"/>
      <c r="C74" s="66">
        <v>5</v>
      </c>
      <c r="D74" s="218"/>
      <c r="E74" s="90" t="s">
        <v>258</v>
      </c>
      <c r="F74" s="81">
        <f>SUM(F75:F78)</f>
        <v>7480000</v>
      </c>
      <c r="G74" s="81">
        <f>SUM(G75:G78)</f>
        <v>4000000</v>
      </c>
      <c r="H74" s="81">
        <f>SUM(H75:H78)</f>
        <v>0</v>
      </c>
      <c r="I74" s="79">
        <f t="shared" si="0"/>
        <v>11480000</v>
      </c>
    </row>
    <row r="75" spans="1:9" ht="12.75">
      <c r="A75" s="68"/>
      <c r="B75" s="66"/>
      <c r="C75" s="66"/>
      <c r="D75" s="218">
        <v>1</v>
      </c>
      <c r="E75" s="91" t="s">
        <v>259</v>
      </c>
      <c r="F75" s="84">
        <f>+'[1]PRG1'!F75+'[1]Auditoría'!F75</f>
        <v>100000</v>
      </c>
      <c r="G75" s="84">
        <f>+'[1]PRG2'!F75</f>
        <v>0</v>
      </c>
      <c r="H75" s="84">
        <f>+'[1]PROG3'!F75</f>
        <v>0</v>
      </c>
      <c r="I75" s="79">
        <f t="shared" si="0"/>
        <v>100000</v>
      </c>
    </row>
    <row r="76" spans="1:9" ht="12.75">
      <c r="A76" s="68"/>
      <c r="B76" s="66"/>
      <c r="C76" s="66"/>
      <c r="D76" s="218">
        <v>2</v>
      </c>
      <c r="E76" s="91" t="s">
        <v>260</v>
      </c>
      <c r="F76" s="84">
        <f>+'[1]PRG1'!F76+'[1]Auditoría'!F76</f>
        <v>7380000</v>
      </c>
      <c r="G76" s="84">
        <f>+'[1]PRG2'!F76</f>
        <v>4000000</v>
      </c>
      <c r="H76" s="84">
        <f>+'[1]PROG3'!F76</f>
        <v>0</v>
      </c>
      <c r="I76" s="79">
        <f t="shared" si="0"/>
        <v>11380000</v>
      </c>
    </row>
    <row r="77" spans="1:9" ht="12.75" hidden="1">
      <c r="A77" s="68"/>
      <c r="B77" s="66"/>
      <c r="C77" s="66"/>
      <c r="D77" s="218">
        <v>3</v>
      </c>
      <c r="E77" s="91" t="s">
        <v>261</v>
      </c>
      <c r="F77" s="84">
        <f>+'[1]PRG1'!F77+'[1]Auditoría'!F77</f>
        <v>0</v>
      </c>
      <c r="G77" s="84">
        <f>+'[1]PRG2'!F77</f>
        <v>0</v>
      </c>
      <c r="H77" s="84">
        <f>+'[1]PROG3'!F77</f>
        <v>0</v>
      </c>
      <c r="I77" s="79">
        <f t="shared" si="0"/>
        <v>0</v>
      </c>
    </row>
    <row r="78" spans="1:9" ht="12.75" hidden="1">
      <c r="A78" s="68"/>
      <c r="B78" s="66"/>
      <c r="C78" s="66"/>
      <c r="D78" s="218">
        <v>4</v>
      </c>
      <c r="E78" s="91" t="s">
        <v>262</v>
      </c>
      <c r="F78" s="84">
        <f>+'[1]PRG1'!F78+'[1]Auditoría'!F78</f>
        <v>0</v>
      </c>
      <c r="G78" s="84">
        <f>+'[1]PRG2'!F78</f>
        <v>0</v>
      </c>
      <c r="H78" s="84">
        <f>+'[1]PROG3'!F78</f>
        <v>0</v>
      </c>
      <c r="I78" s="79">
        <f t="shared" si="0"/>
        <v>0</v>
      </c>
    </row>
    <row r="79" spans="1:9" ht="12.75">
      <c r="A79" s="68"/>
      <c r="B79" s="66"/>
      <c r="C79" s="66">
        <v>6</v>
      </c>
      <c r="D79" s="218"/>
      <c r="E79" s="90" t="s">
        <v>263</v>
      </c>
      <c r="F79" s="81">
        <f>SUM(F80)</f>
        <v>117633843.115</v>
      </c>
      <c r="G79" s="81">
        <f>SUM(G80)</f>
        <v>116561523.2038</v>
      </c>
      <c r="H79" s="81">
        <f>SUM(H80)</f>
        <v>55727723.782000005</v>
      </c>
      <c r="I79" s="79">
        <f t="shared" si="0"/>
        <v>289923090.1008</v>
      </c>
    </row>
    <row r="80" spans="1:9" ht="12.75">
      <c r="A80" s="68"/>
      <c r="B80" s="66"/>
      <c r="C80" s="66"/>
      <c r="D80" s="217">
        <v>1</v>
      </c>
      <c r="E80" s="91" t="s">
        <v>264</v>
      </c>
      <c r="F80" s="84">
        <f>+'[1]PRG1'!F80+'[1]Auditoría'!F80</f>
        <v>117633843.115</v>
      </c>
      <c r="G80" s="84">
        <f>+'[1]PRG2'!F80</f>
        <v>116561523.2038</v>
      </c>
      <c r="H80" s="84">
        <f>+'[1]PROG3'!F80</f>
        <v>55727723.782000005</v>
      </c>
      <c r="I80" s="79">
        <f t="shared" si="0"/>
        <v>289923090.1008</v>
      </c>
    </row>
    <row r="81" spans="1:9" ht="12.75">
      <c r="A81" s="68"/>
      <c r="B81" s="66"/>
      <c r="C81" s="66">
        <v>7</v>
      </c>
      <c r="D81" s="217"/>
      <c r="E81" s="90" t="s">
        <v>265</v>
      </c>
      <c r="F81" s="81">
        <f>SUM(F82:F84)</f>
        <v>49064000</v>
      </c>
      <c r="G81" s="81">
        <f>SUM(G82:G84)</f>
        <v>69379003.5</v>
      </c>
      <c r="H81" s="81">
        <f>SUM(H82:H84)</f>
        <v>7000000</v>
      </c>
      <c r="I81" s="79">
        <f t="shared" si="0"/>
        <v>125443003.5</v>
      </c>
    </row>
    <row r="82" spans="1:9" ht="12.75">
      <c r="A82" s="68"/>
      <c r="B82" s="66"/>
      <c r="C82" s="66"/>
      <c r="D82" s="217">
        <v>1</v>
      </c>
      <c r="E82" s="91" t="s">
        <v>266</v>
      </c>
      <c r="F82" s="84">
        <f>+'[1]PRG1'!F82+'[1]Auditoría'!F82</f>
        <v>35569000</v>
      </c>
      <c r="G82" s="84">
        <f>+'[1]PRG2'!F82</f>
        <v>62879003.5</v>
      </c>
      <c r="H82" s="84">
        <f>+'[1]PROG3'!F82</f>
        <v>7000000</v>
      </c>
      <c r="I82" s="79">
        <f aca="true" t="shared" si="1" ref="I82:I160">SUM(F82:H82)</f>
        <v>105448003.5</v>
      </c>
    </row>
    <row r="83" spans="1:9" ht="12.75">
      <c r="A83" s="68"/>
      <c r="B83" s="66"/>
      <c r="C83" s="66"/>
      <c r="D83" s="217">
        <v>2</v>
      </c>
      <c r="E83" s="91" t="s">
        <v>267</v>
      </c>
      <c r="F83" s="84">
        <f>+'[1]PRG1'!F83+'[1]Auditoría'!F83</f>
        <v>8495000</v>
      </c>
      <c r="G83" s="84">
        <f>+'[1]PRG2'!F83</f>
        <v>6500000</v>
      </c>
      <c r="H83" s="84">
        <f>+'[1]PROG3'!F83</f>
        <v>0</v>
      </c>
      <c r="I83" s="79">
        <f t="shared" si="1"/>
        <v>14995000</v>
      </c>
    </row>
    <row r="84" spans="1:9" ht="12.75">
      <c r="A84" s="68"/>
      <c r="B84" s="66"/>
      <c r="C84" s="66"/>
      <c r="D84" s="217">
        <v>3</v>
      </c>
      <c r="E84" s="91" t="s">
        <v>268</v>
      </c>
      <c r="F84" s="84">
        <f>+'[1]PRG1'!F84+'[1]Auditoría'!F84</f>
        <v>5000000</v>
      </c>
      <c r="G84" s="84">
        <f>+'[1]PRG2'!F84</f>
        <v>0</v>
      </c>
      <c r="H84" s="84">
        <f>+'[1]PROG3'!F84</f>
        <v>0</v>
      </c>
      <c r="I84" s="79">
        <f t="shared" si="1"/>
        <v>5000000</v>
      </c>
    </row>
    <row r="85" spans="1:9" ht="12.75">
      <c r="A85" s="68"/>
      <c r="B85" s="66"/>
      <c r="C85" s="66">
        <v>8</v>
      </c>
      <c r="D85" s="217"/>
      <c r="E85" s="90" t="s">
        <v>269</v>
      </c>
      <c r="F85" s="81">
        <f>SUM(F86:F94)</f>
        <v>53587500</v>
      </c>
      <c r="G85" s="81">
        <f>SUM(G86:G94)</f>
        <v>206408621.89</v>
      </c>
      <c r="H85" s="81">
        <f>SUM(H86:H94)</f>
        <v>97117000</v>
      </c>
      <c r="I85" s="79">
        <f t="shared" si="1"/>
        <v>357113121.89</v>
      </c>
    </row>
    <row r="86" spans="1:9" ht="12.75">
      <c r="A86" s="68"/>
      <c r="B86" s="66"/>
      <c r="C86" s="66"/>
      <c r="D86" s="217">
        <v>1</v>
      </c>
      <c r="E86" s="91" t="s">
        <v>270</v>
      </c>
      <c r="F86" s="84">
        <f>+'[1]PRG1'!F86+'[1]Auditoría'!F86</f>
        <v>5054500</v>
      </c>
      <c r="G86" s="84">
        <f>+'[1]PRG2'!F86</f>
        <v>5045621.89</v>
      </c>
      <c r="H86" s="84">
        <f>+'[1]PROG3'!F86</f>
        <v>0</v>
      </c>
      <c r="I86" s="79">
        <f t="shared" si="1"/>
        <v>10100121.89</v>
      </c>
    </row>
    <row r="87" spans="1:9" ht="12.75" hidden="1">
      <c r="A87" s="68"/>
      <c r="B87" s="66"/>
      <c r="C87" s="66"/>
      <c r="D87" s="217">
        <v>2</v>
      </c>
      <c r="E87" s="91" t="s">
        <v>271</v>
      </c>
      <c r="F87" s="84">
        <f>+'[1]PRG1'!F87+'[1]Auditoría'!F87</f>
        <v>0</v>
      </c>
      <c r="G87" s="84">
        <f>+'[1]PRG2'!F87</f>
        <v>0</v>
      </c>
      <c r="H87" s="84">
        <f>+'[1]PROG3'!F87</f>
        <v>0</v>
      </c>
      <c r="I87" s="79">
        <f t="shared" si="1"/>
        <v>0</v>
      </c>
    </row>
    <row r="88" spans="1:9" ht="25.5">
      <c r="A88" s="68"/>
      <c r="B88" s="66"/>
      <c r="C88" s="66"/>
      <c r="D88" s="217">
        <v>3</v>
      </c>
      <c r="E88" s="91" t="s">
        <v>272</v>
      </c>
      <c r="F88" s="84">
        <f>+'[1]PRG1'!F88+'[1]Auditoría'!F88</f>
        <v>0</v>
      </c>
      <c r="G88" s="84">
        <f>+'[1]PRG2'!F88</f>
        <v>100000000</v>
      </c>
      <c r="H88" s="84">
        <f>+'[1]PROG3'!F88</f>
        <v>0</v>
      </c>
      <c r="I88" s="79">
        <f t="shared" si="1"/>
        <v>100000000</v>
      </c>
    </row>
    <row r="89" spans="1:9" ht="25.5">
      <c r="A89" s="68"/>
      <c r="B89" s="66"/>
      <c r="C89" s="66"/>
      <c r="D89" s="217">
        <v>4</v>
      </c>
      <c r="E89" s="91" t="s">
        <v>273</v>
      </c>
      <c r="F89" s="84">
        <f>+'[1]PRG1'!F89+'[1]Auditoría'!F89</f>
        <v>4315000</v>
      </c>
      <c r="G89" s="84">
        <f>+'[1]PRG2'!F89</f>
        <v>35133000</v>
      </c>
      <c r="H89" s="84">
        <f>+'[1]PROG3'!F89</f>
        <v>60000000</v>
      </c>
      <c r="I89" s="79">
        <f t="shared" si="1"/>
        <v>99448000</v>
      </c>
    </row>
    <row r="90" spans="1:9" ht="25.5">
      <c r="A90" s="68"/>
      <c r="B90" s="66"/>
      <c r="C90" s="66"/>
      <c r="D90" s="217">
        <v>5</v>
      </c>
      <c r="E90" s="91" t="s">
        <v>274</v>
      </c>
      <c r="F90" s="84">
        <f>+'[1]PRG1'!F90+'[1]Auditoría'!F90</f>
        <v>7920000</v>
      </c>
      <c r="G90" s="84">
        <f>+'[1]PRG2'!F90</f>
        <v>63330000</v>
      </c>
      <c r="H90" s="84">
        <f>+'[1]PROG3'!F90</f>
        <v>35500000</v>
      </c>
      <c r="I90" s="79">
        <f t="shared" si="1"/>
        <v>106750000</v>
      </c>
    </row>
    <row r="91" spans="1:9" ht="25.5">
      <c r="A91" s="68"/>
      <c r="B91" s="66"/>
      <c r="C91" s="66"/>
      <c r="D91" s="217">
        <v>6</v>
      </c>
      <c r="E91" s="91" t="s">
        <v>275</v>
      </c>
      <c r="F91" s="84">
        <f>+'[1]PRG1'!F91+'[1]Auditoría'!F91</f>
        <v>5275000</v>
      </c>
      <c r="G91" s="84">
        <f>+'[1]PRG2'!F91</f>
        <v>450000</v>
      </c>
      <c r="H91" s="84">
        <f>+'[1]PROG3'!F91</f>
        <v>0</v>
      </c>
      <c r="I91" s="79">
        <f t="shared" si="1"/>
        <v>5725000</v>
      </c>
    </row>
    <row r="92" spans="1:10" ht="25.5">
      <c r="A92" s="68"/>
      <c r="B92" s="66"/>
      <c r="C92" s="66"/>
      <c r="D92" s="217">
        <v>7</v>
      </c>
      <c r="E92" s="91" t="s">
        <v>520</v>
      </c>
      <c r="F92" s="84">
        <f>+'[1]PRG1'!F92+'[1]Auditoría'!F92</f>
        <v>16977000</v>
      </c>
      <c r="G92" s="84">
        <f>+'[1]PRG2'!F92</f>
        <v>250000</v>
      </c>
      <c r="H92" s="84">
        <f>+'[1]PROG3'!F92</f>
        <v>0</v>
      </c>
      <c r="I92" s="79">
        <f t="shared" si="1"/>
        <v>17227000</v>
      </c>
      <c r="J92" s="407">
        <f>SUM(936583.16-200000)</f>
        <v>736583.16</v>
      </c>
    </row>
    <row r="93" spans="1:9" ht="25.5">
      <c r="A93" s="68"/>
      <c r="B93" s="66"/>
      <c r="C93" s="66"/>
      <c r="D93" s="217">
        <v>8</v>
      </c>
      <c r="E93" s="91" t="s">
        <v>276</v>
      </c>
      <c r="F93" s="84">
        <f>+'[1]PRG1'!F93+'[1]Auditoría'!F93</f>
        <v>13726000</v>
      </c>
      <c r="G93" s="84">
        <f>+'[1]PRG2'!F93</f>
        <v>0</v>
      </c>
      <c r="H93" s="84">
        <f>+'[1]PROG3'!F93</f>
        <v>1617000</v>
      </c>
      <c r="I93" s="79">
        <f t="shared" si="1"/>
        <v>15343000</v>
      </c>
    </row>
    <row r="94" spans="1:9" ht="13.5" thickBot="1">
      <c r="A94" s="214"/>
      <c r="B94" s="215"/>
      <c r="C94" s="215"/>
      <c r="D94" s="224">
        <v>99</v>
      </c>
      <c r="E94" s="93" t="s">
        <v>277</v>
      </c>
      <c r="F94" s="94">
        <f>+'[1]PRG1'!F94+'[1]Auditoría'!F94</f>
        <v>320000</v>
      </c>
      <c r="G94" s="94">
        <f>+'[1]PRG2'!F94</f>
        <v>2200000</v>
      </c>
      <c r="H94" s="94">
        <f>+'[1]PROG3'!F94</f>
        <v>0</v>
      </c>
      <c r="I94" s="95">
        <f t="shared" si="1"/>
        <v>2520000</v>
      </c>
    </row>
    <row r="95" spans="1:11" ht="12.75">
      <c r="A95" s="612" t="s">
        <v>0</v>
      </c>
      <c r="B95" s="613"/>
      <c r="C95" s="613"/>
      <c r="D95" s="613"/>
      <c r="E95" s="613"/>
      <c r="F95" s="613"/>
      <c r="G95" s="613"/>
      <c r="H95" s="613"/>
      <c r="I95" s="614"/>
      <c r="J95" s="66"/>
      <c r="K95" s="66"/>
    </row>
    <row r="96" spans="1:11" ht="12.75">
      <c r="A96" s="612" t="s">
        <v>196</v>
      </c>
      <c r="B96" s="613"/>
      <c r="C96" s="613"/>
      <c r="D96" s="613"/>
      <c r="E96" s="613"/>
      <c r="F96" s="613"/>
      <c r="G96" s="613"/>
      <c r="H96" s="613"/>
      <c r="I96" s="614"/>
      <c r="J96" s="66"/>
      <c r="K96" s="66"/>
    </row>
    <row r="97" spans="1:11" ht="12.75">
      <c r="A97" s="612" t="s">
        <v>638</v>
      </c>
      <c r="B97" s="613"/>
      <c r="C97" s="613"/>
      <c r="D97" s="613"/>
      <c r="E97" s="613"/>
      <c r="F97" s="613"/>
      <c r="G97" s="613"/>
      <c r="H97" s="613"/>
      <c r="I97" s="614"/>
      <c r="J97" s="66"/>
      <c r="K97" s="66"/>
    </row>
    <row r="98" spans="1:11" ht="13.5" thickBot="1">
      <c r="A98" s="615" t="s">
        <v>197</v>
      </c>
      <c r="B98" s="616"/>
      <c r="C98" s="616"/>
      <c r="D98" s="616"/>
      <c r="E98" s="616"/>
      <c r="F98" s="616"/>
      <c r="G98" s="616"/>
      <c r="H98" s="616"/>
      <c r="I98" s="617"/>
      <c r="J98" s="66"/>
      <c r="K98" s="66"/>
    </row>
    <row r="99" spans="1:11" ht="13.5" hidden="1" thickBot="1">
      <c r="A99" s="621"/>
      <c r="B99" s="622"/>
      <c r="C99" s="622"/>
      <c r="D99" s="622"/>
      <c r="E99" s="622"/>
      <c r="F99" s="622"/>
      <c r="G99" s="622"/>
      <c r="H99" s="622"/>
      <c r="I99" s="623"/>
      <c r="J99" s="66"/>
      <c r="K99" s="66"/>
    </row>
    <row r="100" spans="1:9" ht="13.5" hidden="1" thickBot="1">
      <c r="A100" s="70"/>
      <c r="B100" s="71"/>
      <c r="C100" s="71"/>
      <c r="D100" s="72"/>
      <c r="E100" s="72"/>
      <c r="F100" s="72"/>
      <c r="G100" s="72"/>
      <c r="H100" s="71"/>
      <c r="I100" s="73"/>
    </row>
    <row r="101" spans="1:9" ht="13.5" hidden="1" thickBot="1">
      <c r="A101" s="70" t="s">
        <v>198</v>
      </c>
      <c r="B101" s="71"/>
      <c r="C101" s="71"/>
      <c r="D101" s="72"/>
      <c r="E101" s="72"/>
      <c r="F101" s="72"/>
      <c r="G101" s="72"/>
      <c r="H101" s="71"/>
      <c r="I101" s="73"/>
    </row>
    <row r="102" spans="1:9" ht="13.5" hidden="1" thickBot="1">
      <c r="A102" s="70"/>
      <c r="B102" s="71"/>
      <c r="C102" s="71"/>
      <c r="D102" s="72"/>
      <c r="E102" s="72"/>
      <c r="F102" s="72"/>
      <c r="G102" s="72"/>
      <c r="H102" s="71"/>
      <c r="I102" s="73"/>
    </row>
    <row r="103" spans="1:9" ht="13.5" hidden="1" thickBot="1">
      <c r="A103" s="70"/>
      <c r="B103" s="71"/>
      <c r="C103" s="71"/>
      <c r="D103" s="72"/>
      <c r="E103" s="72"/>
      <c r="F103" s="72"/>
      <c r="G103" s="72"/>
      <c r="H103" s="71"/>
      <c r="I103" s="73"/>
    </row>
    <row r="104" spans="1:9" ht="12.75">
      <c r="A104" s="624" t="s">
        <v>3</v>
      </c>
      <c r="B104" s="625"/>
      <c r="C104" s="625"/>
      <c r="D104" s="625"/>
      <c r="E104" s="211" t="s">
        <v>199</v>
      </c>
      <c r="F104" s="625" t="s">
        <v>200</v>
      </c>
      <c r="G104" s="625"/>
      <c r="H104" s="625"/>
      <c r="I104" s="626"/>
    </row>
    <row r="105" spans="1:9" ht="13.5" thickBot="1">
      <c r="A105" s="214"/>
      <c r="B105" s="215"/>
      <c r="C105" s="215"/>
      <c r="D105" s="215"/>
      <c r="E105" s="213"/>
      <c r="F105" s="215" t="s">
        <v>201</v>
      </c>
      <c r="G105" s="215" t="s">
        <v>202</v>
      </c>
      <c r="H105" s="215" t="s">
        <v>203</v>
      </c>
      <c r="I105" s="408" t="s">
        <v>6</v>
      </c>
    </row>
    <row r="106" spans="1:9" ht="12.75" hidden="1">
      <c r="A106" s="68"/>
      <c r="B106" s="66"/>
      <c r="C106" s="66">
        <v>9</v>
      </c>
      <c r="D106" s="217"/>
      <c r="E106" s="90" t="s">
        <v>278</v>
      </c>
      <c r="F106" s="81">
        <f>SUM(F107)</f>
        <v>0</v>
      </c>
      <c r="G106" s="81">
        <f>SUM(G107)</f>
        <v>0</v>
      </c>
      <c r="H106" s="81">
        <f>SUM(H107)</f>
        <v>0</v>
      </c>
      <c r="I106" s="79">
        <f t="shared" si="1"/>
        <v>0</v>
      </c>
    </row>
    <row r="107" spans="1:9" ht="12.75" hidden="1">
      <c r="A107" s="68"/>
      <c r="B107" s="66"/>
      <c r="C107" s="66"/>
      <c r="D107" s="217">
        <v>99</v>
      </c>
      <c r="E107" s="91" t="s">
        <v>279</v>
      </c>
      <c r="F107" s="84">
        <f>+'[1]PRG1'!F96+'[1]Auditoría'!F96</f>
        <v>0</v>
      </c>
      <c r="G107" s="84">
        <f>+'[1]PRG2'!F96</f>
        <v>0</v>
      </c>
      <c r="H107" s="84">
        <f>+'[1]PROG3'!F96</f>
        <v>0</v>
      </c>
      <c r="I107" s="79">
        <f t="shared" si="1"/>
        <v>0</v>
      </c>
    </row>
    <row r="108" spans="1:9" ht="12.75">
      <c r="A108" s="68"/>
      <c r="B108" s="66"/>
      <c r="C108" s="66">
        <v>99</v>
      </c>
      <c r="D108" s="217"/>
      <c r="E108" s="90" t="s">
        <v>280</v>
      </c>
      <c r="F108" s="81">
        <f>SUM(F109:F111)</f>
        <v>1650000</v>
      </c>
      <c r="G108" s="81">
        <f>SUM(G109:G111)</f>
        <v>17000000</v>
      </c>
      <c r="H108" s="81">
        <f>SUM(H109:H111)</f>
        <v>0</v>
      </c>
      <c r="I108" s="79">
        <f t="shared" si="1"/>
        <v>18650000</v>
      </c>
    </row>
    <row r="109" spans="1:9" ht="12.75">
      <c r="A109" s="68"/>
      <c r="B109" s="66"/>
      <c r="C109" s="225"/>
      <c r="D109" s="226">
        <v>1</v>
      </c>
      <c r="E109" s="96" t="s">
        <v>466</v>
      </c>
      <c r="F109" s="84">
        <v>0</v>
      </c>
      <c r="G109" s="84">
        <f>+'[1]PRG2'!F98</f>
        <v>16000000</v>
      </c>
      <c r="H109" s="84">
        <v>0</v>
      </c>
      <c r="I109" s="79">
        <f t="shared" si="1"/>
        <v>16000000</v>
      </c>
    </row>
    <row r="110" spans="1:11" ht="12.75">
      <c r="A110" s="68"/>
      <c r="B110" s="66"/>
      <c r="C110" s="225"/>
      <c r="D110" s="226">
        <v>5</v>
      </c>
      <c r="E110" s="96" t="s">
        <v>281</v>
      </c>
      <c r="F110" s="84">
        <f>+'[1]PRG1'!F98+'[1]Auditoría'!F98</f>
        <v>1650000</v>
      </c>
      <c r="G110" s="84">
        <f>+'[1]PRG2'!F99</f>
        <v>1000000</v>
      </c>
      <c r="H110" s="84">
        <f>+'[1]PROG3'!F98</f>
        <v>0</v>
      </c>
      <c r="I110" s="79">
        <f t="shared" si="1"/>
        <v>2650000</v>
      </c>
      <c r="K110" s="277">
        <f>+I86+I88+I89+I90+I91+I92+I93+I94</f>
        <v>357113121.89</v>
      </c>
    </row>
    <row r="111" spans="1:9" ht="12.75" hidden="1">
      <c r="A111" s="68"/>
      <c r="B111" s="66"/>
      <c r="C111" s="66"/>
      <c r="D111" s="217">
        <v>99</v>
      </c>
      <c r="E111" s="91" t="s">
        <v>282</v>
      </c>
      <c r="F111" s="84">
        <f>+'[1]PRG1'!F99+'[1]Auditoría'!F99</f>
        <v>0</v>
      </c>
      <c r="G111" s="84">
        <f>+'[1]PRG2'!F100</f>
        <v>0</v>
      </c>
      <c r="H111" s="84">
        <f>+'[1]PROG3'!F99</f>
        <v>0</v>
      </c>
      <c r="I111" s="79">
        <f t="shared" si="1"/>
        <v>0</v>
      </c>
    </row>
    <row r="112" spans="1:9" ht="12.75" hidden="1">
      <c r="A112" s="68"/>
      <c r="B112" s="66"/>
      <c r="C112" s="66"/>
      <c r="D112" s="217"/>
      <c r="E112" s="91" t="s">
        <v>146</v>
      </c>
      <c r="F112" s="84"/>
      <c r="G112" s="84">
        <f>+'[1]PRG2'!F101</f>
        <v>0</v>
      </c>
      <c r="H112" s="84">
        <f>+'[1]PROG3'!F100</f>
        <v>0</v>
      </c>
      <c r="I112" s="79">
        <f t="shared" si="1"/>
        <v>0</v>
      </c>
    </row>
    <row r="113" spans="1:9" ht="12.75">
      <c r="A113" s="68" t="s">
        <v>146</v>
      </c>
      <c r="B113" s="66">
        <v>2</v>
      </c>
      <c r="C113" s="66"/>
      <c r="D113" s="217"/>
      <c r="E113" s="90" t="s">
        <v>184</v>
      </c>
      <c r="F113" s="81">
        <f>+F114+F119+F122+F130+F133</f>
        <v>113181481.30000001</v>
      </c>
      <c r="G113" s="81">
        <f>+G114+G119+G122+G130+G133</f>
        <v>439141940.7</v>
      </c>
      <c r="H113" s="81">
        <f>+H114+H119+H122+H130+H133</f>
        <v>429109800</v>
      </c>
      <c r="I113" s="79">
        <f t="shared" si="1"/>
        <v>981433222</v>
      </c>
    </row>
    <row r="114" spans="1:11" s="83" customFormat="1" ht="12.75">
      <c r="A114" s="68"/>
      <c r="B114" s="66"/>
      <c r="C114" s="66">
        <v>1</v>
      </c>
      <c r="D114" s="66"/>
      <c r="E114" s="90" t="s">
        <v>283</v>
      </c>
      <c r="F114" s="81">
        <f>SUM(F115:F118)</f>
        <v>25573027.43</v>
      </c>
      <c r="G114" s="81">
        <f>SUM(G115:G118)</f>
        <v>93027196.5</v>
      </c>
      <c r="H114" s="81">
        <f>SUM(H115:H118)</f>
        <v>75651099.99000001</v>
      </c>
      <c r="I114" s="79">
        <f t="shared" si="1"/>
        <v>194251323.92000002</v>
      </c>
      <c r="J114" s="82" t="s">
        <v>146</v>
      </c>
      <c r="K114" s="82">
        <f>+I243-I85</f>
        <v>22728720004.11076</v>
      </c>
    </row>
    <row r="115" spans="1:9" ht="12.75">
      <c r="A115" s="68"/>
      <c r="B115" s="66"/>
      <c r="C115" s="66"/>
      <c r="D115" s="217">
        <v>1</v>
      </c>
      <c r="E115" s="91" t="s">
        <v>284</v>
      </c>
      <c r="F115" s="84">
        <f>+'[1]PRG1'!F102+'[1]Auditoría'!F103</f>
        <v>12140000</v>
      </c>
      <c r="G115" s="84">
        <f>+'[1]PRG2'!F104</f>
        <v>59264700</v>
      </c>
      <c r="H115" s="84">
        <f>+'[1]PROG3'!F103</f>
        <v>50000000</v>
      </c>
      <c r="I115" s="79">
        <f t="shared" si="1"/>
        <v>121404700</v>
      </c>
    </row>
    <row r="116" spans="1:10" ht="12.75">
      <c r="A116" s="68"/>
      <c r="B116" s="66"/>
      <c r="C116" s="66"/>
      <c r="D116" s="217">
        <v>2</v>
      </c>
      <c r="E116" s="91" t="s">
        <v>285</v>
      </c>
      <c r="F116" s="84">
        <f>+'[1]PRG1'!F103+'[1]Auditoría'!F104</f>
        <v>2047000</v>
      </c>
      <c r="G116" s="84">
        <f>+'[1]PRG2'!F105</f>
        <v>5017500</v>
      </c>
      <c r="H116" s="84">
        <f>+'[1]PROG3'!F104</f>
        <v>900000</v>
      </c>
      <c r="I116" s="79">
        <f t="shared" si="1"/>
        <v>7964500</v>
      </c>
      <c r="J116" s="409" t="s">
        <v>146</v>
      </c>
    </row>
    <row r="117" spans="1:11" ht="12.75">
      <c r="A117" s="68"/>
      <c r="B117" s="66"/>
      <c r="C117" s="66"/>
      <c r="D117" s="217">
        <v>4</v>
      </c>
      <c r="E117" s="91" t="s">
        <v>286</v>
      </c>
      <c r="F117" s="84">
        <f>+'[1]PRG1'!F104+'[1]Auditoría'!F105</f>
        <v>11071027.43</v>
      </c>
      <c r="G117" s="84">
        <f>+'[1]PRG2'!F106</f>
        <v>9519996.5</v>
      </c>
      <c r="H117" s="84">
        <f>+'[1]PROG3'!F105</f>
        <v>24751099.990000002</v>
      </c>
      <c r="I117" s="79">
        <f t="shared" si="1"/>
        <v>45342123.92</v>
      </c>
      <c r="J117" s="67" t="s">
        <v>146</v>
      </c>
      <c r="K117" s="277">
        <f>+I115+I116+I117+I118</f>
        <v>194251323.92000002</v>
      </c>
    </row>
    <row r="118" spans="1:9" ht="12.75">
      <c r="A118" s="70"/>
      <c r="B118" s="71"/>
      <c r="C118" s="71"/>
      <c r="D118" s="72">
        <v>99</v>
      </c>
      <c r="E118" s="91" t="s">
        <v>287</v>
      </c>
      <c r="F118" s="84">
        <f>+'[1]PRG1'!F105+'[1]Auditoría'!F106</f>
        <v>315000</v>
      </c>
      <c r="G118" s="84">
        <f>+'[1]PRG2'!F107</f>
        <v>19225000</v>
      </c>
      <c r="H118" s="84">
        <f>+'[1]PROG3'!F106</f>
        <v>0</v>
      </c>
      <c r="I118" s="79">
        <f t="shared" si="1"/>
        <v>19540000</v>
      </c>
    </row>
    <row r="119" spans="1:11" s="83" customFormat="1" ht="12.75">
      <c r="A119" s="70"/>
      <c r="B119" s="71"/>
      <c r="C119" s="71">
        <v>2</v>
      </c>
      <c r="D119" s="71"/>
      <c r="E119" s="90" t="s">
        <v>288</v>
      </c>
      <c r="F119" s="81">
        <f>SUM(F120:F121)</f>
        <v>100000</v>
      </c>
      <c r="G119" s="81">
        <f>SUM(G120:G121)</f>
        <v>5000000</v>
      </c>
      <c r="H119" s="81">
        <f>SUM(H120:H121)</f>
        <v>0</v>
      </c>
      <c r="I119" s="79">
        <f t="shared" si="1"/>
        <v>5100000</v>
      </c>
      <c r="J119" s="86"/>
      <c r="K119" s="86"/>
    </row>
    <row r="120" spans="1:11" ht="12.75">
      <c r="A120" s="70"/>
      <c r="B120" s="71"/>
      <c r="C120" s="71"/>
      <c r="D120" s="72">
        <v>2</v>
      </c>
      <c r="E120" s="91" t="s">
        <v>289</v>
      </c>
      <c r="F120" s="84">
        <f>+'[1]PRG1'!F107+'[1]Auditoría'!F108</f>
        <v>0</v>
      </c>
      <c r="G120" s="84">
        <f>+'[1]PRG2'!F109</f>
        <v>5000000</v>
      </c>
      <c r="H120" s="84">
        <f>+'[1]PROG3'!F108</f>
        <v>0</v>
      </c>
      <c r="I120" s="79">
        <f t="shared" si="1"/>
        <v>5000000</v>
      </c>
      <c r="J120" s="85"/>
      <c r="K120" s="85"/>
    </row>
    <row r="121" spans="1:11" ht="12.75">
      <c r="A121" s="70"/>
      <c r="B121" s="71"/>
      <c r="C121" s="71"/>
      <c r="D121" s="72">
        <v>3</v>
      </c>
      <c r="E121" s="91" t="s">
        <v>290</v>
      </c>
      <c r="F121" s="84">
        <f>+'[1]PRG1'!F108+'[1]Auditoría'!F109</f>
        <v>100000</v>
      </c>
      <c r="G121" s="84">
        <f>+'[1]PRG2'!F110</f>
        <v>0</v>
      </c>
      <c r="H121" s="84">
        <f>+'[1]PROG3'!F109</f>
        <v>0</v>
      </c>
      <c r="I121" s="79">
        <f t="shared" si="1"/>
        <v>100000</v>
      </c>
      <c r="J121" s="85" t="s">
        <v>146</v>
      </c>
      <c r="K121" s="85"/>
    </row>
    <row r="122" spans="1:9" s="83" customFormat="1" ht="25.5">
      <c r="A122" s="70"/>
      <c r="B122" s="71"/>
      <c r="C122" s="71">
        <v>3</v>
      </c>
      <c r="D122" s="71"/>
      <c r="E122" s="90" t="s">
        <v>291</v>
      </c>
      <c r="F122" s="81">
        <f>SUM(F123:F129)</f>
        <v>13554000</v>
      </c>
      <c r="G122" s="81">
        <f>SUM(G123:G129)</f>
        <v>246858756.26</v>
      </c>
      <c r="H122" s="81">
        <f>SUM(H123:H129)</f>
        <v>308236500</v>
      </c>
      <c r="I122" s="79">
        <f t="shared" si="1"/>
        <v>568649256.26</v>
      </c>
    </row>
    <row r="123" spans="1:10" ht="12.75">
      <c r="A123" s="70"/>
      <c r="B123" s="71"/>
      <c r="C123" s="71"/>
      <c r="D123" s="72">
        <v>1</v>
      </c>
      <c r="E123" s="91" t="s">
        <v>292</v>
      </c>
      <c r="F123" s="84">
        <f>+'[1]PRG1'!F122+'[1]Auditoría'!F111</f>
        <v>1430000</v>
      </c>
      <c r="G123" s="84">
        <f>+'[1]PRG2'!F112</f>
        <v>64500000</v>
      </c>
      <c r="H123" s="84">
        <f>+'[1]PROG3'!F111</f>
        <v>36000000</v>
      </c>
      <c r="I123" s="79">
        <f t="shared" si="1"/>
        <v>101930000</v>
      </c>
      <c r="J123" s="80">
        <f>+I123+I124+I125+I126+I127+I128+I129</f>
        <v>568649256.26</v>
      </c>
    </row>
    <row r="124" spans="1:9" ht="12.75">
      <c r="A124" s="70"/>
      <c r="B124" s="71"/>
      <c r="C124" s="71"/>
      <c r="D124" s="72">
        <v>2</v>
      </c>
      <c r="E124" s="91" t="s">
        <v>293</v>
      </c>
      <c r="F124" s="84">
        <f>+'[1]PRG1'!F123+'[1]Auditoría'!F112</f>
        <v>330000</v>
      </c>
      <c r="G124" s="84">
        <f>+'[1]PRG2'!F113</f>
        <v>102105000</v>
      </c>
      <c r="H124" s="84">
        <f>+'[1]PROG3'!F112</f>
        <v>240000000</v>
      </c>
      <c r="I124" s="79">
        <f t="shared" si="1"/>
        <v>342435000</v>
      </c>
    </row>
    <row r="125" spans="1:9" ht="12.75">
      <c r="A125" s="70"/>
      <c r="B125" s="71"/>
      <c r="C125" s="71"/>
      <c r="D125" s="72">
        <v>3</v>
      </c>
      <c r="E125" s="91" t="s">
        <v>294</v>
      </c>
      <c r="F125" s="84">
        <f>+'[1]PRG1'!F124+'[1]Auditoría'!F113</f>
        <v>330000</v>
      </c>
      <c r="G125" s="84">
        <f>+'[1]PRG2'!F114</f>
        <v>7000000</v>
      </c>
      <c r="H125" s="84">
        <f>+'[1]PROG3'!F113</f>
        <v>15000000</v>
      </c>
      <c r="I125" s="79">
        <f t="shared" si="1"/>
        <v>22330000</v>
      </c>
    </row>
    <row r="126" spans="1:9" ht="25.5">
      <c r="A126" s="70"/>
      <c r="B126" s="71"/>
      <c r="C126" s="71"/>
      <c r="D126" s="72">
        <v>4</v>
      </c>
      <c r="E126" s="91" t="s">
        <v>295</v>
      </c>
      <c r="F126" s="84">
        <f>+'[1]PRG1'!F125+'[1]Auditoría'!F114</f>
        <v>3642000</v>
      </c>
      <c r="G126" s="84">
        <f>+'[1]PRG2'!F115</f>
        <v>6000000</v>
      </c>
      <c r="H126" s="84">
        <f>+'[1]PROG3'!F114</f>
        <v>1136500</v>
      </c>
      <c r="I126" s="79">
        <f t="shared" si="1"/>
        <v>10778500</v>
      </c>
    </row>
    <row r="127" spans="1:9" ht="12.75">
      <c r="A127" s="70"/>
      <c r="B127" s="71"/>
      <c r="C127" s="71"/>
      <c r="D127" s="72">
        <v>5</v>
      </c>
      <c r="E127" s="91" t="s">
        <v>296</v>
      </c>
      <c r="F127" s="84">
        <f>+'[1]PRG1'!F126+'[1]Auditoría'!F115</f>
        <v>682000</v>
      </c>
      <c r="G127" s="84">
        <f>+'[1]PRG2'!F116</f>
        <v>0</v>
      </c>
      <c r="H127" s="84">
        <f>+'[1]PROG3'!F115</f>
        <v>1100000</v>
      </c>
      <c r="I127" s="79">
        <f t="shared" si="1"/>
        <v>1782000</v>
      </c>
    </row>
    <row r="128" spans="1:9" ht="12.75">
      <c r="A128" s="70"/>
      <c r="B128" s="71"/>
      <c r="C128" s="71"/>
      <c r="D128" s="72">
        <v>6</v>
      </c>
      <c r="E128" s="91" t="s">
        <v>297</v>
      </c>
      <c r="F128" s="84">
        <f>+'[1]PRG1'!F127+'[1]Auditoría'!F116</f>
        <v>440000</v>
      </c>
      <c r="G128" s="84">
        <f>+'[1]PRG2'!F117</f>
        <v>65553756.26</v>
      </c>
      <c r="H128" s="84">
        <f>+'[1]PROG3'!F116</f>
        <v>12000000</v>
      </c>
      <c r="I128" s="79">
        <f t="shared" si="1"/>
        <v>77993756.25999999</v>
      </c>
    </row>
    <row r="129" spans="1:9" ht="25.5">
      <c r="A129" s="70"/>
      <c r="B129" s="71"/>
      <c r="C129" s="71"/>
      <c r="D129" s="72">
        <v>99</v>
      </c>
      <c r="E129" s="91" t="s">
        <v>298</v>
      </c>
      <c r="F129" s="84">
        <f>+'[1]PRG1'!F128+'[1]Auditoría'!F117</f>
        <v>6700000</v>
      </c>
      <c r="G129" s="84">
        <f>+'[1]PRG2'!F118</f>
        <v>1700000</v>
      </c>
      <c r="H129" s="84">
        <f>+'[1]PROG3'!F117</f>
        <v>3000000</v>
      </c>
      <c r="I129" s="79">
        <f t="shared" si="1"/>
        <v>11400000</v>
      </c>
    </row>
    <row r="130" spans="1:9" s="83" customFormat="1" ht="12.75">
      <c r="A130" s="70"/>
      <c r="B130" s="71"/>
      <c r="C130" s="71">
        <v>4</v>
      </c>
      <c r="D130" s="71"/>
      <c r="E130" s="90" t="s">
        <v>299</v>
      </c>
      <c r="F130" s="81">
        <f>SUM(F131:F132)</f>
        <v>8122500</v>
      </c>
      <c r="G130" s="81">
        <f>SUM(G131:G132)</f>
        <v>36230000</v>
      </c>
      <c r="H130" s="81">
        <f>SUM(H131:H132)</f>
        <v>25709000.009999998</v>
      </c>
      <c r="I130" s="79">
        <f t="shared" si="1"/>
        <v>70061500.00999999</v>
      </c>
    </row>
    <row r="131" spans="1:10" ht="12.75">
      <c r="A131" s="70"/>
      <c r="B131" s="71"/>
      <c r="C131" s="71"/>
      <c r="D131" s="72">
        <v>1</v>
      </c>
      <c r="E131" s="91" t="s">
        <v>300</v>
      </c>
      <c r="F131" s="84">
        <f>+'[1]PRG1'!F130+'[1]Auditoría'!F119</f>
        <v>1352500</v>
      </c>
      <c r="G131" s="84">
        <f>+'[1]PRG2'!F120</f>
        <v>14965000</v>
      </c>
      <c r="H131" s="84">
        <f>+'[1]PROG3'!F119</f>
        <v>9300000</v>
      </c>
      <c r="I131" s="79">
        <f t="shared" si="1"/>
        <v>25617500</v>
      </c>
      <c r="J131" s="277">
        <f>+I131+I132</f>
        <v>70061500.00999999</v>
      </c>
    </row>
    <row r="132" spans="1:9" ht="12.75">
      <c r="A132" s="70"/>
      <c r="B132" s="71"/>
      <c r="C132" s="71"/>
      <c r="D132" s="72">
        <v>2</v>
      </c>
      <c r="E132" s="91" t="s">
        <v>301</v>
      </c>
      <c r="F132" s="84">
        <f>+'[1]PRG1'!F131+'[1]Auditoría'!F120</f>
        <v>6770000</v>
      </c>
      <c r="G132" s="84">
        <f>+'[1]PRG2'!F121</f>
        <v>21265000</v>
      </c>
      <c r="H132" s="84">
        <f>+'[1]PROG3'!F120</f>
        <v>16409000.01</v>
      </c>
      <c r="I132" s="79">
        <f t="shared" si="1"/>
        <v>44444000.01</v>
      </c>
    </row>
    <row r="133" spans="1:9" s="83" customFormat="1" ht="12.75">
      <c r="A133" s="70"/>
      <c r="B133" s="71"/>
      <c r="C133" s="71">
        <v>99</v>
      </c>
      <c r="D133" s="71"/>
      <c r="E133" s="90" t="s">
        <v>302</v>
      </c>
      <c r="F133" s="81">
        <f>SUM(F134:F141)</f>
        <v>65831953.870000005</v>
      </c>
      <c r="G133" s="81">
        <f>SUM(G134:G141)</f>
        <v>58025987.94</v>
      </c>
      <c r="H133" s="81">
        <f>SUM(H134:H141)</f>
        <v>19513200</v>
      </c>
      <c r="I133" s="79">
        <f t="shared" si="1"/>
        <v>143371141.81</v>
      </c>
    </row>
    <row r="134" spans="1:9" ht="12.75">
      <c r="A134" s="70"/>
      <c r="B134" s="71"/>
      <c r="C134" s="71"/>
      <c r="D134" s="72">
        <v>1</v>
      </c>
      <c r="E134" s="91" t="s">
        <v>303</v>
      </c>
      <c r="F134" s="84">
        <f>+'[1]PRG1'!F133+'[1]Auditoría'!F122</f>
        <v>21080150.67</v>
      </c>
      <c r="G134" s="84">
        <f>+'[1]PRG2'!F123</f>
        <v>11716107.94</v>
      </c>
      <c r="H134" s="84">
        <f>+'[1]PROG3'!F122</f>
        <v>4872000</v>
      </c>
      <c r="I134" s="79">
        <f t="shared" si="1"/>
        <v>37668258.61</v>
      </c>
    </row>
    <row r="135" spans="1:9" ht="25.5">
      <c r="A135" s="70"/>
      <c r="B135" s="71"/>
      <c r="C135" s="71"/>
      <c r="D135" s="72">
        <v>2</v>
      </c>
      <c r="E135" s="346" t="s">
        <v>584</v>
      </c>
      <c r="F135" s="84">
        <f>+'[1]PRG1'!F134</f>
        <v>900000</v>
      </c>
      <c r="G135" s="84"/>
      <c r="H135" s="84"/>
      <c r="I135" s="79">
        <f t="shared" si="1"/>
        <v>900000</v>
      </c>
    </row>
    <row r="136" spans="1:9" ht="12.75">
      <c r="A136" s="70"/>
      <c r="B136" s="71"/>
      <c r="C136" s="71"/>
      <c r="D136" s="72">
        <v>3</v>
      </c>
      <c r="E136" s="91" t="s">
        <v>304</v>
      </c>
      <c r="F136" s="84">
        <f>+'[1]PRG1'!F135+'[1]Auditoría'!F123</f>
        <v>15094156.2</v>
      </c>
      <c r="G136" s="84">
        <f>+'[1]PRG2'!F124</f>
        <v>5636100</v>
      </c>
      <c r="H136" s="84">
        <f>+'[1]PROG3'!F123</f>
        <v>1706600</v>
      </c>
      <c r="I136" s="79">
        <f t="shared" si="1"/>
        <v>22436856.2</v>
      </c>
    </row>
    <row r="137" spans="1:9" ht="12.75">
      <c r="A137" s="70"/>
      <c r="B137" s="71"/>
      <c r="C137" s="71"/>
      <c r="D137" s="72">
        <v>4</v>
      </c>
      <c r="E137" s="91" t="s">
        <v>305</v>
      </c>
      <c r="F137" s="84">
        <f>+'[1]PRG1'!F136+'[1]Auditoría'!F124</f>
        <v>4310697</v>
      </c>
      <c r="G137" s="84">
        <f>+'[1]PRG2'!F125</f>
        <v>16004800</v>
      </c>
      <c r="H137" s="84">
        <f>+'[1]PROG3'!F124</f>
        <v>6934600</v>
      </c>
      <c r="I137" s="79">
        <f t="shared" si="1"/>
        <v>27250097</v>
      </c>
    </row>
    <row r="138" spans="1:11" ht="12.75">
      <c r="A138" s="70"/>
      <c r="B138" s="71"/>
      <c r="C138" s="71"/>
      <c r="D138" s="72">
        <v>5</v>
      </c>
      <c r="E138" s="91" t="s">
        <v>306</v>
      </c>
      <c r="F138" s="84">
        <f>+'[1]PRG1'!F137+'[1]Auditoría'!F125</f>
        <v>17989850</v>
      </c>
      <c r="G138" s="84">
        <f>+'[1]PRG2'!F126</f>
        <v>8887500</v>
      </c>
      <c r="H138" s="84">
        <f>+'[1]PROG3'!F125</f>
        <v>2000000</v>
      </c>
      <c r="I138" s="79">
        <f t="shared" si="1"/>
        <v>28877350</v>
      </c>
      <c r="K138" s="277">
        <f>+I134+I137+I136+I138+I139+I140+I141</f>
        <v>142471141.81</v>
      </c>
    </row>
    <row r="139" spans="1:9" ht="12.75">
      <c r="A139" s="70"/>
      <c r="B139" s="71"/>
      <c r="C139" s="71"/>
      <c r="D139" s="72">
        <v>6</v>
      </c>
      <c r="E139" s="91" t="s">
        <v>307</v>
      </c>
      <c r="F139" s="84">
        <f>+'[1]PRG1'!F138+'[1]Auditoría'!F126</f>
        <v>2518100</v>
      </c>
      <c r="G139" s="84">
        <f>+'[1]PRG2'!F127</f>
        <v>14461480</v>
      </c>
      <c r="H139" s="84">
        <f>+'[1]PROG3'!F126</f>
        <v>4000000</v>
      </c>
      <c r="I139" s="79">
        <f t="shared" si="1"/>
        <v>20979580</v>
      </c>
    </row>
    <row r="140" spans="1:9" ht="12.75">
      <c r="A140" s="70"/>
      <c r="B140" s="71"/>
      <c r="C140" s="71"/>
      <c r="D140" s="72">
        <v>7</v>
      </c>
      <c r="E140" s="91" t="s">
        <v>308</v>
      </c>
      <c r="F140" s="84">
        <f>+'[1]PRG1'!F139+'[1]Auditoría'!F127</f>
        <v>500000</v>
      </c>
      <c r="G140" s="84">
        <f>+'[1]PRG2'!F128</f>
        <v>0</v>
      </c>
      <c r="H140" s="84">
        <f>+'[1]PROG3'!F127</f>
        <v>0</v>
      </c>
      <c r="I140" s="79">
        <f t="shared" si="1"/>
        <v>500000</v>
      </c>
    </row>
    <row r="141" spans="1:9" ht="12.75">
      <c r="A141" s="70"/>
      <c r="B141" s="71"/>
      <c r="C141" s="71"/>
      <c r="D141" s="72">
        <v>99</v>
      </c>
      <c r="E141" s="91" t="s">
        <v>309</v>
      </c>
      <c r="F141" s="84">
        <f>+'[1]PRG1'!F140+'[1]Auditoría'!F128</f>
        <v>3439000</v>
      </c>
      <c r="G141" s="84">
        <f>+'[1]PRG2'!F129</f>
        <v>1320000</v>
      </c>
      <c r="H141" s="84">
        <f>+'[1]PROG3'!F128</f>
        <v>0</v>
      </c>
      <c r="I141" s="79">
        <f t="shared" si="1"/>
        <v>4759000</v>
      </c>
    </row>
    <row r="142" spans="1:9" ht="12.75">
      <c r="A142" s="70"/>
      <c r="B142" s="71"/>
      <c r="C142" s="71"/>
      <c r="D142" s="72"/>
      <c r="E142" s="91"/>
      <c r="F142" s="84"/>
      <c r="G142" s="84"/>
      <c r="H142" s="84"/>
      <c r="I142" s="79"/>
    </row>
    <row r="143" spans="1:9" ht="12.75">
      <c r="A143" s="70" t="s">
        <v>146</v>
      </c>
      <c r="B143" s="71">
        <v>3</v>
      </c>
      <c r="C143" s="71"/>
      <c r="D143" s="72"/>
      <c r="E143" s="90" t="s">
        <v>185</v>
      </c>
      <c r="F143" s="81">
        <f>+F144</f>
        <v>0</v>
      </c>
      <c r="G143" s="81">
        <f>+G144</f>
        <v>446000000</v>
      </c>
      <c r="H143" s="81">
        <f>+H144</f>
        <v>0</v>
      </c>
      <c r="I143" s="79">
        <f t="shared" si="1"/>
        <v>446000000</v>
      </c>
    </row>
    <row r="144" spans="1:9" s="83" customFormat="1" ht="12.75">
      <c r="A144" s="70"/>
      <c r="B144" s="71"/>
      <c r="C144" s="71">
        <v>2</v>
      </c>
      <c r="D144" s="71"/>
      <c r="E144" s="90" t="s">
        <v>310</v>
      </c>
      <c r="F144" s="81">
        <f>SUM(F145)</f>
        <v>0</v>
      </c>
      <c r="G144" s="81">
        <f>SUM(G145:G146)</f>
        <v>446000000</v>
      </c>
      <c r="H144" s="81">
        <f>SUM(H145)</f>
        <v>0</v>
      </c>
      <c r="I144" s="79">
        <f t="shared" si="1"/>
        <v>446000000</v>
      </c>
    </row>
    <row r="145" spans="1:9" ht="25.5">
      <c r="A145" s="70"/>
      <c r="B145" s="71"/>
      <c r="C145" s="71"/>
      <c r="D145" s="72">
        <v>5</v>
      </c>
      <c r="E145" s="91" t="s">
        <v>311</v>
      </c>
      <c r="F145" s="84">
        <f>+'[1]PRG1'!F144+'[1]Auditoría'!F132</f>
        <v>0</v>
      </c>
      <c r="G145" s="84">
        <f>+'[1]PRG2'!F144</f>
        <v>5000000</v>
      </c>
      <c r="H145" s="84">
        <f>+'[1]PROG3'!F132</f>
        <v>0</v>
      </c>
      <c r="I145" s="79">
        <f t="shared" si="1"/>
        <v>5000000</v>
      </c>
    </row>
    <row r="146" spans="1:9" ht="25.5">
      <c r="A146" s="70"/>
      <c r="B146" s="71"/>
      <c r="C146" s="71"/>
      <c r="D146" s="72">
        <v>6</v>
      </c>
      <c r="E146" s="91" t="s">
        <v>521</v>
      </c>
      <c r="F146" s="84">
        <v>0</v>
      </c>
      <c r="G146" s="84">
        <f>+'[1]PRG2'!F145</f>
        <v>441000000</v>
      </c>
      <c r="H146" s="84"/>
      <c r="I146" s="79">
        <f t="shared" si="1"/>
        <v>441000000</v>
      </c>
    </row>
    <row r="147" spans="1:9" ht="12.75">
      <c r="A147" s="70"/>
      <c r="B147" s="71"/>
      <c r="C147" s="71"/>
      <c r="D147" s="72"/>
      <c r="E147" s="97" t="s">
        <v>146</v>
      </c>
      <c r="F147" s="84"/>
      <c r="G147" s="84"/>
      <c r="H147" s="84"/>
      <c r="I147" s="79"/>
    </row>
    <row r="148" spans="1:9" s="83" customFormat="1" ht="12.75">
      <c r="A148" s="70"/>
      <c r="B148" s="71">
        <v>5</v>
      </c>
      <c r="C148" s="71"/>
      <c r="D148" s="71"/>
      <c r="E148" s="98" t="s">
        <v>312</v>
      </c>
      <c r="F148" s="81">
        <f>+F149+F158+F164+F168</f>
        <v>165252457.95</v>
      </c>
      <c r="G148" s="81">
        <f>+G149+G158+G164+G168</f>
        <v>611791969.2</v>
      </c>
      <c r="H148" s="81">
        <f>+H149+H158+H164+H168</f>
        <v>1158745805.19</v>
      </c>
      <c r="I148" s="79">
        <f t="shared" si="1"/>
        <v>1935790232.3400002</v>
      </c>
    </row>
    <row r="149" spans="1:9" s="83" customFormat="1" ht="12.75">
      <c r="A149" s="70"/>
      <c r="B149" s="71"/>
      <c r="C149" s="71">
        <v>1</v>
      </c>
      <c r="D149" s="71"/>
      <c r="E149" s="98" t="s">
        <v>522</v>
      </c>
      <c r="F149" s="81">
        <f>SUM(F150:F157)</f>
        <v>140252457.95</v>
      </c>
      <c r="G149" s="81">
        <f>SUM(G150:G157)</f>
        <v>212791969.2</v>
      </c>
      <c r="H149" s="81">
        <f>SUM(H150:H157)</f>
        <v>198977590</v>
      </c>
      <c r="I149" s="79">
        <f t="shared" si="1"/>
        <v>552022017.15</v>
      </c>
    </row>
    <row r="150" spans="1:9" ht="12.75">
      <c r="A150" s="70"/>
      <c r="B150" s="71"/>
      <c r="C150" s="71"/>
      <c r="D150" s="72">
        <v>1</v>
      </c>
      <c r="E150" s="97" t="s">
        <v>313</v>
      </c>
      <c r="F150" s="84">
        <f>+'[1]PRG1'!F148+'[1]Auditoría'!F136</f>
        <v>0</v>
      </c>
      <c r="G150" s="84">
        <f>+'[1]PRG2'!F149</f>
        <v>27000000</v>
      </c>
      <c r="H150" s="84">
        <f>+'[1]PROG3'!F147</f>
        <v>90000000</v>
      </c>
      <c r="I150" s="79">
        <f t="shared" si="1"/>
        <v>117000000</v>
      </c>
    </row>
    <row r="151" spans="1:11" ht="12.75">
      <c r="A151" s="70"/>
      <c r="B151" s="71"/>
      <c r="C151" s="71"/>
      <c r="D151" s="72">
        <v>2</v>
      </c>
      <c r="E151" s="97" t="s">
        <v>314</v>
      </c>
      <c r="F151" s="84">
        <f>+'[1]PRG1'!F149+'[1]Auditoría'!F137</f>
        <v>14042500</v>
      </c>
      <c r="G151" s="84">
        <f>+'[1]PRG2'!F150</f>
        <v>61630000</v>
      </c>
      <c r="H151" s="84">
        <f>+'[1]PROG3'!F148</f>
        <v>20000000</v>
      </c>
      <c r="I151" s="79">
        <f t="shared" si="1"/>
        <v>95672500</v>
      </c>
      <c r="K151" s="277">
        <f>+I150+I151+I152+I153+I154+I156+I157</f>
        <v>551147217.15</v>
      </c>
    </row>
    <row r="152" spans="1:9" ht="12.75">
      <c r="A152" s="70"/>
      <c r="B152" s="71"/>
      <c r="C152" s="71"/>
      <c r="D152" s="72">
        <v>3</v>
      </c>
      <c r="E152" s="97" t="s">
        <v>315</v>
      </c>
      <c r="F152" s="84">
        <f>+'[1]PRG1'!F150+'[1]Auditoría'!F138</f>
        <v>9061900</v>
      </c>
      <c r="G152" s="84">
        <f>+'[1]PRG2'!F151</f>
        <v>2000000</v>
      </c>
      <c r="H152" s="84">
        <f>+'[1]PROG3'!F149</f>
        <v>7580990</v>
      </c>
      <c r="I152" s="79">
        <f t="shared" si="1"/>
        <v>18642890</v>
      </c>
    </row>
    <row r="153" spans="1:9" ht="12.75">
      <c r="A153" s="70"/>
      <c r="B153" s="71"/>
      <c r="C153" s="71"/>
      <c r="D153" s="72">
        <v>4</v>
      </c>
      <c r="E153" s="97" t="s">
        <v>523</v>
      </c>
      <c r="F153" s="84">
        <f>+'[1]PRG1'!F151+'[1]Auditoría'!F139</f>
        <v>51829057.95</v>
      </c>
      <c r="G153" s="84">
        <f>+'[1]PRG2'!F152</f>
        <v>3895000</v>
      </c>
      <c r="H153" s="84">
        <f>+'[1]PROG3'!F150</f>
        <v>15665300</v>
      </c>
      <c r="I153" s="79">
        <f t="shared" si="1"/>
        <v>71389357.95</v>
      </c>
    </row>
    <row r="154" spans="1:9" ht="12.75">
      <c r="A154" s="70"/>
      <c r="B154" s="71"/>
      <c r="C154" s="71"/>
      <c r="D154" s="72">
        <v>5</v>
      </c>
      <c r="E154" s="97" t="s">
        <v>316</v>
      </c>
      <c r="F154" s="84">
        <f>+'[1]PRG1'!F152+'[1]Auditoría'!F140</f>
        <v>61519000</v>
      </c>
      <c r="G154" s="84">
        <f>+'[1]PRG2'!F153</f>
        <v>47554769.2</v>
      </c>
      <c r="H154" s="84">
        <f>+'[1]PROG3'!F151</f>
        <v>42500000</v>
      </c>
      <c r="I154" s="79">
        <f t="shared" si="1"/>
        <v>151573769.2</v>
      </c>
    </row>
    <row r="155" spans="1:9" ht="25.5">
      <c r="A155" s="70"/>
      <c r="B155" s="71"/>
      <c r="C155" s="71"/>
      <c r="D155" s="72">
        <v>6</v>
      </c>
      <c r="E155" s="91" t="s">
        <v>651</v>
      </c>
      <c r="F155" s="84">
        <v>0</v>
      </c>
      <c r="G155" s="84">
        <v>0</v>
      </c>
      <c r="H155" s="84">
        <f>+'[1]PROG3'!F152</f>
        <v>874800</v>
      </c>
      <c r="I155" s="79">
        <f t="shared" si="1"/>
        <v>874800</v>
      </c>
    </row>
    <row r="156" spans="1:9" ht="25.5">
      <c r="A156" s="70"/>
      <c r="B156" s="71"/>
      <c r="C156" s="71"/>
      <c r="D156" s="72">
        <v>7</v>
      </c>
      <c r="E156" s="91" t="s">
        <v>524</v>
      </c>
      <c r="F156" s="84">
        <f>+'[1]PRG1'!F153+'[1]Auditoría'!F141</f>
        <v>0</v>
      </c>
      <c r="G156" s="84">
        <f>+'[1]PRG2'!F154</f>
        <v>10000000</v>
      </c>
      <c r="H156" s="84">
        <f>+'[1]PROG3'!F153</f>
        <v>1410000</v>
      </c>
      <c r="I156" s="79">
        <f t="shared" si="1"/>
        <v>11410000</v>
      </c>
    </row>
    <row r="157" spans="1:9" ht="12.75">
      <c r="A157" s="70"/>
      <c r="B157" s="71"/>
      <c r="C157" s="71"/>
      <c r="D157" s="72">
        <v>99</v>
      </c>
      <c r="E157" s="97" t="s">
        <v>317</v>
      </c>
      <c r="F157" s="84">
        <f>+'[1]PRG1'!F154+'[1]Auditoría'!F142</f>
        <v>3800000</v>
      </c>
      <c r="G157" s="84">
        <f>+'[1]PRG2'!F155</f>
        <v>60712200</v>
      </c>
      <c r="H157" s="84">
        <f>+'[1]PROG3'!F154</f>
        <v>20946500</v>
      </c>
      <c r="I157" s="79">
        <f t="shared" si="1"/>
        <v>85458700</v>
      </c>
    </row>
    <row r="158" spans="1:9" s="83" customFormat="1" ht="12.75">
      <c r="A158" s="70"/>
      <c r="B158" s="71"/>
      <c r="C158" s="71">
        <v>2</v>
      </c>
      <c r="D158" s="71"/>
      <c r="E158" s="98" t="s">
        <v>318</v>
      </c>
      <c r="F158" s="81">
        <f>SUM(F159:F163)</f>
        <v>0</v>
      </c>
      <c r="G158" s="81">
        <f>SUM(G159:G163)</f>
        <v>155000000</v>
      </c>
      <c r="H158" s="81">
        <f>SUM(H159:H163)</f>
        <v>959768215.19</v>
      </c>
      <c r="I158" s="79">
        <f t="shared" si="1"/>
        <v>1114768215.19</v>
      </c>
    </row>
    <row r="159" spans="1:9" ht="12.75">
      <c r="A159" s="70"/>
      <c r="B159" s="71"/>
      <c r="C159" s="71"/>
      <c r="D159" s="72">
        <v>1</v>
      </c>
      <c r="E159" s="97" t="s">
        <v>319</v>
      </c>
      <c r="F159" s="84">
        <f>+'[1]PRG1'!F156+'[1]Auditoría'!F144</f>
        <v>0</v>
      </c>
      <c r="G159" s="84">
        <f>+'[1]PRG2'!F157</f>
        <v>0</v>
      </c>
      <c r="H159" s="84">
        <f>+'[1]PROG3'!F156</f>
        <v>92899408.39</v>
      </c>
      <c r="I159" s="79">
        <f t="shared" si="1"/>
        <v>92899408.39</v>
      </c>
    </row>
    <row r="160" spans="1:9" ht="12.75">
      <c r="A160" s="70"/>
      <c r="B160" s="71"/>
      <c r="C160" s="71"/>
      <c r="D160" s="72">
        <v>2</v>
      </c>
      <c r="E160" s="97" t="s">
        <v>320</v>
      </c>
      <c r="F160" s="84">
        <f>+'[1]PRG1'!F157+'[1]Auditoría'!F145</f>
        <v>0</v>
      </c>
      <c r="G160" s="84">
        <f>+'[1]PRG2'!F158</f>
        <v>0</v>
      </c>
      <c r="H160" s="84">
        <f>+'[1]PROG3'!F157</f>
        <v>260162326.8</v>
      </c>
      <c r="I160" s="79">
        <f t="shared" si="1"/>
        <v>260162326.8</v>
      </c>
    </row>
    <row r="161" spans="1:9" ht="12.75" hidden="1">
      <c r="A161" s="70"/>
      <c r="B161" s="71"/>
      <c r="C161" s="71"/>
      <c r="D161" s="72">
        <v>6</v>
      </c>
      <c r="E161" s="97" t="s">
        <v>321</v>
      </c>
      <c r="F161" s="84">
        <f>+'[1]PRG1'!F158+'[1]Auditoría'!F146</f>
        <v>0</v>
      </c>
      <c r="G161" s="84">
        <f>+'[1]PRG2'!F159</f>
        <v>0</v>
      </c>
      <c r="H161" s="84">
        <f>+'[1]PROG3'!F158</f>
        <v>0</v>
      </c>
      <c r="I161" s="79">
        <f aca="true" t="shared" si="2" ref="I161:I237">SUM(F161:H161)</f>
        <v>0</v>
      </c>
    </row>
    <row r="162" spans="1:9" ht="12.75">
      <c r="A162" s="70"/>
      <c r="B162" s="71"/>
      <c r="C162" s="71"/>
      <c r="D162" s="72">
        <v>7</v>
      </c>
      <c r="E162" s="97" t="s">
        <v>322</v>
      </c>
      <c r="F162" s="84">
        <f>+'[1]PRG1'!F159+'[1]Auditoría'!F147</f>
        <v>0</v>
      </c>
      <c r="G162" s="84">
        <f>+'[1]PRG2'!F160</f>
        <v>155000000</v>
      </c>
      <c r="H162" s="84">
        <f>+'[1]PROG3'!F159</f>
        <v>486706480</v>
      </c>
      <c r="I162" s="79">
        <f t="shared" si="2"/>
        <v>641706480</v>
      </c>
    </row>
    <row r="163" spans="1:9" ht="12.75">
      <c r="A163" s="70"/>
      <c r="B163" s="71"/>
      <c r="C163" s="71"/>
      <c r="D163" s="72">
        <v>99</v>
      </c>
      <c r="E163" s="97" t="s">
        <v>323</v>
      </c>
      <c r="F163" s="84">
        <f>+'[1]PRG1'!F160+'[1]Auditoría'!F148</f>
        <v>0</v>
      </c>
      <c r="G163" s="84">
        <f>+'[1]PRG2'!F161</f>
        <v>0</v>
      </c>
      <c r="H163" s="84">
        <f>+'[1]PROG3'!F160</f>
        <v>120000000</v>
      </c>
      <c r="I163" s="79">
        <f t="shared" si="2"/>
        <v>120000000</v>
      </c>
    </row>
    <row r="164" spans="1:9" s="83" customFormat="1" ht="12.75">
      <c r="A164" s="70"/>
      <c r="B164" s="71"/>
      <c r="C164" s="71">
        <v>3</v>
      </c>
      <c r="D164" s="71"/>
      <c r="E164" s="98" t="s">
        <v>324</v>
      </c>
      <c r="F164" s="81">
        <f>SUM(F165:F167)</f>
        <v>0</v>
      </c>
      <c r="G164" s="81">
        <f>SUM(G165:G167)</f>
        <v>244000000</v>
      </c>
      <c r="H164" s="81">
        <f>SUM(H165:H167)</f>
        <v>0</v>
      </c>
      <c r="I164" s="79">
        <f t="shared" si="2"/>
        <v>244000000</v>
      </c>
    </row>
    <row r="165" spans="1:9" ht="12.75">
      <c r="A165" s="70"/>
      <c r="B165" s="71"/>
      <c r="C165" s="71"/>
      <c r="D165" s="72">
        <v>1</v>
      </c>
      <c r="E165" s="97" t="s">
        <v>325</v>
      </c>
      <c r="F165" s="84">
        <f>+'[1]PRG1'!F162+'[1]Auditoría'!F150</f>
        <v>0</v>
      </c>
      <c r="G165" s="84">
        <f>+'[1]PRG2'!F163</f>
        <v>244000000</v>
      </c>
      <c r="H165" s="84">
        <f>+'[1]PROG3'!F162</f>
        <v>0</v>
      </c>
      <c r="I165" s="79">
        <f t="shared" si="2"/>
        <v>244000000</v>
      </c>
    </row>
    <row r="166" spans="1:9" ht="12.75" hidden="1">
      <c r="A166" s="70"/>
      <c r="B166" s="71"/>
      <c r="C166" s="71"/>
      <c r="D166" s="72">
        <v>2</v>
      </c>
      <c r="E166" s="97" t="s">
        <v>326</v>
      </c>
      <c r="F166" s="84">
        <f>+'[1]PRG1'!F163+'[1]Auditoría'!F151</f>
        <v>0</v>
      </c>
      <c r="G166" s="84">
        <f>+'[1]PRG2'!F164</f>
        <v>0</v>
      </c>
      <c r="H166" s="84">
        <f>+'[1]PROG3'!F163</f>
        <v>0</v>
      </c>
      <c r="I166" s="79">
        <f t="shared" si="2"/>
        <v>0</v>
      </c>
    </row>
    <row r="167" spans="1:9" ht="12.75" hidden="1">
      <c r="A167" s="70"/>
      <c r="B167" s="71"/>
      <c r="C167" s="71"/>
      <c r="D167" s="72">
        <v>3</v>
      </c>
      <c r="E167" s="97" t="s">
        <v>327</v>
      </c>
      <c r="F167" s="84">
        <f>+'[1]PRG1'!F164+'[1]Auditoría'!F152</f>
        <v>0</v>
      </c>
      <c r="G167" s="84">
        <f>+'[1]PRG2'!F165</f>
        <v>0</v>
      </c>
      <c r="H167" s="84">
        <f>+'[1]PROG3'!F164</f>
        <v>0</v>
      </c>
      <c r="I167" s="79">
        <f t="shared" si="2"/>
        <v>0</v>
      </c>
    </row>
    <row r="168" spans="1:9" s="83" customFormat="1" ht="12.75">
      <c r="A168" s="70"/>
      <c r="B168" s="71"/>
      <c r="C168" s="71">
        <v>99</v>
      </c>
      <c r="D168" s="71"/>
      <c r="E168" s="98" t="s">
        <v>328</v>
      </c>
      <c r="F168" s="81">
        <f>SUM(F169:F170)</f>
        <v>25000000</v>
      </c>
      <c r="G168" s="81">
        <f>SUM(G169:G170)</f>
        <v>0</v>
      </c>
      <c r="H168" s="81">
        <f>SUM(H169:H170)</f>
        <v>0</v>
      </c>
      <c r="I168" s="79">
        <f t="shared" si="2"/>
        <v>25000000</v>
      </c>
    </row>
    <row r="169" spans="1:9" ht="12.75">
      <c r="A169" s="70"/>
      <c r="B169" s="71"/>
      <c r="C169" s="71"/>
      <c r="D169" s="72">
        <v>3</v>
      </c>
      <c r="E169" s="97" t="s">
        <v>329</v>
      </c>
      <c r="F169" s="84">
        <f>+'[1]PRG1'!F166+'[1]Auditoría'!F154</f>
        <v>25000000</v>
      </c>
      <c r="G169" s="84">
        <f>+'[1]PRG2'!F167</f>
        <v>0</v>
      </c>
      <c r="H169" s="84">
        <f>+'[1]PROG3'!F166</f>
        <v>0</v>
      </c>
      <c r="I169" s="79">
        <f t="shared" si="2"/>
        <v>25000000</v>
      </c>
    </row>
    <row r="170" spans="1:9" ht="12.75" hidden="1">
      <c r="A170" s="70"/>
      <c r="B170" s="71"/>
      <c r="C170" s="71"/>
      <c r="D170" s="72">
        <v>99</v>
      </c>
      <c r="E170" s="97" t="s">
        <v>330</v>
      </c>
      <c r="F170" s="84">
        <f>+'[1]PRG1'!F167+'[1]Auditoría'!F155</f>
        <v>0</v>
      </c>
      <c r="G170" s="84">
        <f>+'[1]PRG2'!F168</f>
        <v>0</v>
      </c>
      <c r="H170" s="84">
        <f>+'[1]PROG3'!F167</f>
        <v>0</v>
      </c>
      <c r="I170" s="79">
        <f t="shared" si="2"/>
        <v>0</v>
      </c>
    </row>
    <row r="171" spans="1:9" ht="12.75">
      <c r="A171" s="70"/>
      <c r="B171" s="71"/>
      <c r="C171" s="71"/>
      <c r="D171" s="72"/>
      <c r="E171" s="2"/>
      <c r="F171" s="84" t="s">
        <v>146</v>
      </c>
      <c r="G171" s="84"/>
      <c r="H171" s="84"/>
      <c r="I171" s="79"/>
    </row>
    <row r="172" spans="1:9" s="83" customFormat="1" ht="12.75">
      <c r="A172" s="70" t="s">
        <v>146</v>
      </c>
      <c r="B172" s="71">
        <v>6</v>
      </c>
      <c r="C172" s="71"/>
      <c r="D172" s="71"/>
      <c r="E172" s="13" t="s">
        <v>187</v>
      </c>
      <c r="F172" s="81">
        <f>+F173+F181+F185+F192+F197+F199</f>
        <v>2020248056.2832835</v>
      </c>
      <c r="G172" s="81">
        <f>+G173+G181+G185+G192+G197+G199</f>
        <v>488170153.2</v>
      </c>
      <c r="H172" s="81">
        <f>+H173+H181+H185+H192+H197+H199</f>
        <v>38269307.56</v>
      </c>
      <c r="I172" s="79">
        <f t="shared" si="2"/>
        <v>2546687517.0432835</v>
      </c>
    </row>
    <row r="173" spans="1:9" s="83" customFormat="1" ht="12.75">
      <c r="A173" s="70"/>
      <c r="B173" s="71"/>
      <c r="C173" s="71">
        <v>1</v>
      </c>
      <c r="D173" s="71"/>
      <c r="E173" s="98" t="s">
        <v>331</v>
      </c>
      <c r="F173" s="81">
        <f>SUM(F174:F180)</f>
        <v>1695872965.01</v>
      </c>
      <c r="G173" s="81">
        <f>SUM(G174:G180)</f>
        <v>0</v>
      </c>
      <c r="H173" s="81">
        <f>SUM(H174:H180)</f>
        <v>0</v>
      </c>
      <c r="I173" s="79">
        <f t="shared" si="2"/>
        <v>1695872965.01</v>
      </c>
    </row>
    <row r="174" spans="1:9" ht="12.75">
      <c r="A174" s="70"/>
      <c r="B174" s="71"/>
      <c r="C174" s="71"/>
      <c r="D174" s="72">
        <v>1</v>
      </c>
      <c r="E174" s="97" t="s">
        <v>332</v>
      </c>
      <c r="F174" s="84">
        <f>+'[1]PRG1'!F171+'[1]Auditoría'!F159</f>
        <v>59150000</v>
      </c>
      <c r="G174" s="84">
        <f>+'[1]PRG2'!F172</f>
        <v>0</v>
      </c>
      <c r="H174" s="84">
        <f>+'[1]PROG3'!F171</f>
        <v>0</v>
      </c>
      <c r="I174" s="79">
        <f t="shared" si="2"/>
        <v>59150000</v>
      </c>
    </row>
    <row r="175" spans="1:9" ht="25.5">
      <c r="A175" s="70"/>
      <c r="B175" s="71"/>
      <c r="C175" s="71"/>
      <c r="D175" s="72">
        <v>2</v>
      </c>
      <c r="E175" s="91" t="s">
        <v>333</v>
      </c>
      <c r="F175" s="84">
        <f>+'[1]PRG1'!F172+'[1]Auditoría'!F160</f>
        <v>238770000</v>
      </c>
      <c r="G175" s="84">
        <f>+'[1]PRG2'!F173</f>
        <v>0</v>
      </c>
      <c r="H175" s="84">
        <f>+'[1]PROG3'!F172</f>
        <v>0</v>
      </c>
      <c r="I175" s="79">
        <f t="shared" si="2"/>
        <v>238770000</v>
      </c>
    </row>
    <row r="176" spans="1:9" ht="25.5">
      <c r="A176" s="70"/>
      <c r="B176" s="71"/>
      <c r="C176" s="71"/>
      <c r="D176" s="72">
        <v>3</v>
      </c>
      <c r="E176" s="91" t="s">
        <v>334</v>
      </c>
      <c r="F176" s="84">
        <f>+'[1]PRG1'!F173+'[1]Auditoría'!F161</f>
        <v>706929165.63</v>
      </c>
      <c r="G176" s="84">
        <f>+'[1]PRG2'!F174</f>
        <v>0</v>
      </c>
      <c r="H176" s="84">
        <f>+'[1]PROG3'!F173</f>
        <v>0</v>
      </c>
      <c r="I176" s="79">
        <f t="shared" si="2"/>
        <v>706929165.63</v>
      </c>
    </row>
    <row r="177" spans="1:10" ht="12.75">
      <c r="A177" s="70"/>
      <c r="B177" s="71"/>
      <c r="C177" s="71"/>
      <c r="D177" s="72">
        <v>4</v>
      </c>
      <c r="E177" s="97" t="s">
        <v>335</v>
      </c>
      <c r="F177" s="84">
        <f>+'[1]PRG1'!F174+'[1]Auditoría'!F162</f>
        <v>691023799.38</v>
      </c>
      <c r="G177" s="84">
        <f>+'[1]PRG2'!F175</f>
        <v>0</v>
      </c>
      <c r="H177" s="84">
        <f>+'[1]PROG3'!F174</f>
        <v>0</v>
      </c>
      <c r="I177" s="79">
        <f t="shared" si="2"/>
        <v>691023799.38</v>
      </c>
      <c r="J177" s="277">
        <f>+I174+I175+I176+I177</f>
        <v>1695872965.01</v>
      </c>
    </row>
    <row r="178" spans="1:9" ht="25.5" hidden="1">
      <c r="A178" s="70"/>
      <c r="B178" s="71"/>
      <c r="C178" s="71"/>
      <c r="D178" s="72">
        <v>5</v>
      </c>
      <c r="E178" s="91" t="s">
        <v>336</v>
      </c>
      <c r="F178" s="84">
        <f>+'[1]PRG1'!F175+'[1]Auditoría'!F163</f>
        <v>0</v>
      </c>
      <c r="G178" s="84">
        <f>+'[1]PRG2'!F176</f>
        <v>0</v>
      </c>
      <c r="H178" s="84">
        <f>+'[1]PROG3'!F175</f>
        <v>0</v>
      </c>
      <c r="I178" s="79">
        <f t="shared" si="2"/>
        <v>0</v>
      </c>
    </row>
    <row r="179" spans="1:9" ht="25.5" hidden="1">
      <c r="A179" s="70"/>
      <c r="B179" s="71"/>
      <c r="C179" s="71"/>
      <c r="D179" s="72">
        <v>6</v>
      </c>
      <c r="E179" s="91" t="s">
        <v>337</v>
      </c>
      <c r="F179" s="84">
        <f>+'[1]PRG1'!F176+'[1]Auditoría'!F164</f>
        <v>0</v>
      </c>
      <c r="G179" s="84">
        <f>+'[1]PRG2'!F177</f>
        <v>0</v>
      </c>
      <c r="H179" s="84">
        <f>+'[1]PROG3'!F176</f>
        <v>0</v>
      </c>
      <c r="I179" s="79">
        <f t="shared" si="2"/>
        <v>0</v>
      </c>
    </row>
    <row r="180" spans="1:9" ht="12.75" hidden="1">
      <c r="A180" s="70"/>
      <c r="B180" s="71"/>
      <c r="C180" s="71"/>
      <c r="D180" s="72">
        <v>9</v>
      </c>
      <c r="E180" s="91" t="s">
        <v>338</v>
      </c>
      <c r="F180" s="84">
        <f>+'[1]PRG1'!F177+'[1]Auditoría'!F165</f>
        <v>0</v>
      </c>
      <c r="G180" s="84">
        <f>+'[1]PRG2'!F178</f>
        <v>0</v>
      </c>
      <c r="H180" s="84">
        <f>+'[1]PROG3'!F177</f>
        <v>0</v>
      </c>
      <c r="I180" s="79">
        <f t="shared" si="2"/>
        <v>0</v>
      </c>
    </row>
    <row r="181" spans="1:9" s="83" customFormat="1" ht="12.75">
      <c r="A181" s="70"/>
      <c r="B181" s="71"/>
      <c r="C181" s="71">
        <v>2</v>
      </c>
      <c r="D181" s="71"/>
      <c r="E181" s="98" t="s">
        <v>339</v>
      </c>
      <c r="F181" s="81">
        <f>SUM(F182:F184)</f>
        <v>23085833.13</v>
      </c>
      <c r="G181" s="81">
        <f>SUM(G182:G184)</f>
        <v>0</v>
      </c>
      <c r="H181" s="81">
        <f>SUM(H182:H184)</f>
        <v>0</v>
      </c>
      <c r="I181" s="79">
        <f t="shared" si="2"/>
        <v>23085833.13</v>
      </c>
    </row>
    <row r="182" spans="1:9" ht="12.75" hidden="1">
      <c r="A182" s="70"/>
      <c r="B182" s="71"/>
      <c r="C182" s="71"/>
      <c r="D182" s="72">
        <v>1</v>
      </c>
      <c r="E182" s="97" t="s">
        <v>340</v>
      </c>
      <c r="F182" s="84">
        <f>+'[1]PRG1'!F179+'[1]Auditoría'!F167</f>
        <v>0</v>
      </c>
      <c r="G182" s="84">
        <f>+'[1]PRG2'!F180</f>
        <v>0</v>
      </c>
      <c r="H182" s="84">
        <f>+'[1]PROG3'!F179</f>
        <v>0</v>
      </c>
      <c r="I182" s="79">
        <f t="shared" si="2"/>
        <v>0</v>
      </c>
    </row>
    <row r="183" spans="1:9" ht="12.75">
      <c r="A183" s="70"/>
      <c r="B183" s="71"/>
      <c r="C183" s="71"/>
      <c r="D183" s="72">
        <v>3</v>
      </c>
      <c r="E183" s="97" t="s">
        <v>467</v>
      </c>
      <c r="F183" s="84">
        <f>+'[1]PRG1'!F180+'[1]Auditoría'!F168</f>
        <v>23085833.13</v>
      </c>
      <c r="G183" s="84">
        <v>0</v>
      </c>
      <c r="H183" s="84">
        <v>0</v>
      </c>
      <c r="I183" s="79">
        <f t="shared" si="2"/>
        <v>23085833.13</v>
      </c>
    </row>
    <row r="184" spans="1:9" ht="12.75" hidden="1">
      <c r="A184" s="70"/>
      <c r="B184" s="71"/>
      <c r="C184" s="71"/>
      <c r="D184" s="72">
        <v>99</v>
      </c>
      <c r="E184" s="97" t="s">
        <v>341</v>
      </c>
      <c r="F184" s="84">
        <f>+'[1]PRG1'!F181+'[1]Auditoría'!F169</f>
        <v>0</v>
      </c>
      <c r="G184" s="84">
        <f>+'[1]PRG2'!F181</f>
        <v>0</v>
      </c>
      <c r="H184" s="84">
        <f>+'[1]PROG3'!F180</f>
        <v>0</v>
      </c>
      <c r="I184" s="79">
        <f t="shared" si="2"/>
        <v>0</v>
      </c>
    </row>
    <row r="185" spans="1:9" s="83" customFormat="1" ht="12.75">
      <c r="A185" s="70"/>
      <c r="B185" s="71"/>
      <c r="C185" s="71">
        <v>3</v>
      </c>
      <c r="D185" s="71"/>
      <c r="E185" s="98" t="s">
        <v>342</v>
      </c>
      <c r="F185" s="81">
        <f>SUM(F186:F191)</f>
        <v>247289258.14328328</v>
      </c>
      <c r="G185" s="81">
        <f>SUM(G186:G191)</f>
        <v>179170153.2</v>
      </c>
      <c r="H185" s="81">
        <f>SUM(H186:H191)</f>
        <v>37269307.56</v>
      </c>
      <c r="I185" s="79">
        <f t="shared" si="2"/>
        <v>463728718.9032833</v>
      </c>
    </row>
    <row r="186" spans="1:9" ht="12.75">
      <c r="A186" s="70"/>
      <c r="B186" s="71"/>
      <c r="C186" s="71"/>
      <c r="D186" s="72">
        <v>1</v>
      </c>
      <c r="E186" s="97" t="s">
        <v>343</v>
      </c>
      <c r="F186" s="84">
        <f>+'[1]PRG1'!F183+'[1]Auditoría'!F170</f>
        <v>173432587.54</v>
      </c>
      <c r="G186" s="84">
        <f>+'[1]PRG2'!F183</f>
        <v>96950828.2</v>
      </c>
      <c r="H186" s="84">
        <f>+'[1]PROG3'!F182</f>
        <v>22160857.56</v>
      </c>
      <c r="I186" s="79">
        <f t="shared" si="2"/>
        <v>292544273.3</v>
      </c>
    </row>
    <row r="187" spans="1:9" ht="12.75">
      <c r="A187" s="70"/>
      <c r="B187" s="71"/>
      <c r="C187" s="71"/>
      <c r="D187" s="72">
        <v>2</v>
      </c>
      <c r="E187" s="97" t="s">
        <v>344</v>
      </c>
      <c r="F187" s="84">
        <f>+'[1]PRG1'!F184+'[1]Auditoría'!F171</f>
        <v>4584275.13</v>
      </c>
      <c r="G187" s="84">
        <f>+'[1]PRG2'!F184</f>
        <v>0</v>
      </c>
      <c r="H187" s="84">
        <f>+'[1]PROG3'!F183</f>
        <v>0</v>
      </c>
      <c r="I187" s="79">
        <f t="shared" si="2"/>
        <v>4584275.13</v>
      </c>
    </row>
    <row r="188" spans="1:9" ht="12.75" hidden="1">
      <c r="A188" s="70"/>
      <c r="B188" s="71"/>
      <c r="C188" s="71"/>
      <c r="D188" s="72">
        <v>3</v>
      </c>
      <c r="E188" s="97" t="s">
        <v>345</v>
      </c>
      <c r="F188" s="84">
        <f>+'[1]PRG1'!F185+'[1]Auditoría'!F172</f>
        <v>0</v>
      </c>
      <c r="G188" s="84">
        <f>+'[1]PRG2'!F185</f>
        <v>0</v>
      </c>
      <c r="H188" s="84">
        <f>+'[1]PROG3'!F184</f>
        <v>0</v>
      </c>
      <c r="I188" s="79">
        <f t="shared" si="2"/>
        <v>0</v>
      </c>
    </row>
    <row r="189" spans="1:9" ht="12.75">
      <c r="A189" s="70"/>
      <c r="B189" s="71"/>
      <c r="C189" s="71"/>
      <c r="D189" s="72">
        <v>4</v>
      </c>
      <c r="E189" s="97" t="s">
        <v>346</v>
      </c>
      <c r="F189" s="84">
        <f>+'[1]PRG1'!F186+'[1]Auditoría'!F173</f>
        <v>382021.39940828993</v>
      </c>
      <c r="G189" s="84">
        <f>+'[1]PRG2'!F186</f>
        <v>0</v>
      </c>
      <c r="H189" s="84">
        <f>+'[1]PROG3'!F185</f>
        <v>0</v>
      </c>
      <c r="I189" s="79">
        <f t="shared" si="2"/>
        <v>382021.39940828993</v>
      </c>
    </row>
    <row r="190" spans="1:10" ht="25.5">
      <c r="A190" s="70"/>
      <c r="B190" s="71"/>
      <c r="C190" s="71"/>
      <c r="D190" s="72">
        <v>5</v>
      </c>
      <c r="E190" s="91" t="s">
        <v>347</v>
      </c>
      <c r="F190" s="84">
        <f>+'[1]PRG1'!F187+'[1]Auditoría'!F174</f>
        <v>401124.07387499994</v>
      </c>
      <c r="G190" s="84">
        <f>+'[1]PRG2'!F187</f>
        <v>0</v>
      </c>
      <c r="H190" s="84">
        <f>+'[1]PROG3'!F186</f>
        <v>0</v>
      </c>
      <c r="I190" s="79">
        <f t="shared" si="2"/>
        <v>401124.07387499994</v>
      </c>
      <c r="J190" s="67">
        <f>1506735.62+7116350.9</f>
        <v>8623086.52</v>
      </c>
    </row>
    <row r="191" spans="1:9" ht="12.75">
      <c r="A191" s="70"/>
      <c r="B191" s="71"/>
      <c r="C191" s="71"/>
      <c r="D191" s="72">
        <v>99</v>
      </c>
      <c r="E191" s="97" t="s">
        <v>348</v>
      </c>
      <c r="F191" s="84">
        <f>+'[1]PRG1'!F188+'[1]Auditoría'!F175</f>
        <v>68489250</v>
      </c>
      <c r="G191" s="84">
        <f>+'[1]PRG2'!F188</f>
        <v>82219325</v>
      </c>
      <c r="H191" s="84">
        <f>+'[1]PROG3'!F187</f>
        <v>15108450</v>
      </c>
      <c r="I191" s="79">
        <f t="shared" si="2"/>
        <v>165817025</v>
      </c>
    </row>
    <row r="192" spans="1:9" s="83" customFormat="1" ht="25.5" hidden="1">
      <c r="A192" s="70"/>
      <c r="B192" s="71"/>
      <c r="C192" s="71">
        <v>4</v>
      </c>
      <c r="D192" s="71"/>
      <c r="E192" s="100" t="s">
        <v>349</v>
      </c>
      <c r="F192" s="81">
        <f>SUM(F193:F196)</f>
        <v>0</v>
      </c>
      <c r="G192" s="81">
        <f>SUM(G193:G196)</f>
        <v>0</v>
      </c>
      <c r="H192" s="81">
        <f>SUM(H193:H196)</f>
        <v>0</v>
      </c>
      <c r="I192" s="79">
        <f t="shared" si="2"/>
        <v>0</v>
      </c>
    </row>
    <row r="193" spans="1:9" ht="12.75" hidden="1">
      <c r="A193" s="70"/>
      <c r="B193" s="71"/>
      <c r="C193" s="71"/>
      <c r="D193" s="72">
        <v>1</v>
      </c>
      <c r="E193" s="101" t="s">
        <v>350</v>
      </c>
      <c r="F193" s="84">
        <f>+'[1]PRG1'!F190+'[1]Auditoría'!F177</f>
        <v>0</v>
      </c>
      <c r="G193" s="84">
        <f>+'[1]PRG2'!F190</f>
        <v>0</v>
      </c>
      <c r="H193" s="84">
        <f>+'[1]PROG3'!F189</f>
        <v>0</v>
      </c>
      <c r="I193" s="79">
        <f t="shared" si="2"/>
        <v>0</v>
      </c>
    </row>
    <row r="194" spans="1:9" ht="12.75" hidden="1">
      <c r="A194" s="70"/>
      <c r="B194" s="71"/>
      <c r="C194" s="71"/>
      <c r="D194" s="72">
        <v>2</v>
      </c>
      <c r="E194" s="101" t="s">
        <v>351</v>
      </c>
      <c r="F194" s="84">
        <f>+'[1]PRG1'!F191+'[1]Auditoría'!F178</f>
        <v>0</v>
      </c>
      <c r="G194" s="84">
        <f>+'[1]PRG2'!F191</f>
        <v>0</v>
      </c>
      <c r="H194" s="84">
        <f>+'[1]PROG3'!F190</f>
        <v>0</v>
      </c>
      <c r="I194" s="79">
        <f t="shared" si="2"/>
        <v>0</v>
      </c>
    </row>
    <row r="195" spans="1:9" ht="12.75" hidden="1">
      <c r="A195" s="70"/>
      <c r="B195" s="71"/>
      <c r="C195" s="71"/>
      <c r="D195" s="72">
        <v>3</v>
      </c>
      <c r="E195" s="101" t="s">
        <v>352</v>
      </c>
      <c r="F195" s="84">
        <f>+'[1]PRG1'!F192+'[1]Auditoría'!F179</f>
        <v>0</v>
      </c>
      <c r="G195" s="84">
        <f>+'[1]PRG2'!F192</f>
        <v>0</v>
      </c>
      <c r="H195" s="84">
        <f>+'[1]PROG3'!F191</f>
        <v>0</v>
      </c>
      <c r="I195" s="79">
        <f t="shared" si="2"/>
        <v>0</v>
      </c>
    </row>
    <row r="196" spans="1:9" ht="25.5" hidden="1">
      <c r="A196" s="70"/>
      <c r="B196" s="71"/>
      <c r="C196" s="71"/>
      <c r="D196" s="72">
        <v>4</v>
      </c>
      <c r="E196" s="101" t="s">
        <v>353</v>
      </c>
      <c r="F196" s="84">
        <f>+'[1]PRG1'!F193+'[1]Auditoría'!F180</f>
        <v>0</v>
      </c>
      <c r="G196" s="84">
        <f>+'[1]PRG2'!F193</f>
        <v>0</v>
      </c>
      <c r="H196" s="84">
        <f>+'[1]PROG3'!F192</f>
        <v>0</v>
      </c>
      <c r="I196" s="79">
        <f t="shared" si="2"/>
        <v>0</v>
      </c>
    </row>
    <row r="197" spans="1:9" s="83" customFormat="1" ht="12.75" hidden="1">
      <c r="A197" s="70"/>
      <c r="B197" s="71"/>
      <c r="C197" s="71">
        <v>5</v>
      </c>
      <c r="D197" s="71"/>
      <c r="E197" s="98" t="s">
        <v>354</v>
      </c>
      <c r="F197" s="81">
        <f>SUM(F198)</f>
        <v>0</v>
      </c>
      <c r="G197" s="81">
        <f>SUM(G198)</f>
        <v>0</v>
      </c>
      <c r="H197" s="81">
        <f>SUM(H198)</f>
        <v>0</v>
      </c>
      <c r="I197" s="79">
        <f t="shared" si="2"/>
        <v>0</v>
      </c>
    </row>
    <row r="198" spans="1:9" ht="12.75" hidden="1">
      <c r="A198" s="70"/>
      <c r="B198" s="71"/>
      <c r="C198" s="71"/>
      <c r="D198" s="72">
        <v>1</v>
      </c>
      <c r="E198" s="97" t="s">
        <v>354</v>
      </c>
      <c r="F198" s="84">
        <f>+'[1]PRG1'!F195+'[1]Auditoría'!F182</f>
        <v>0</v>
      </c>
      <c r="G198" s="84">
        <f>+'[1]PRG2'!F195</f>
        <v>0</v>
      </c>
      <c r="H198" s="84">
        <f>+'[1]PROG3'!F194</f>
        <v>0</v>
      </c>
      <c r="I198" s="79">
        <f t="shared" si="2"/>
        <v>0</v>
      </c>
    </row>
    <row r="199" spans="1:9" s="83" customFormat="1" ht="12.75">
      <c r="A199" s="70"/>
      <c r="B199" s="71"/>
      <c r="C199" s="71">
        <v>6</v>
      </c>
      <c r="D199" s="71"/>
      <c r="E199" s="98" t="s">
        <v>355</v>
      </c>
      <c r="F199" s="81">
        <f>SUM(F200:F201)</f>
        <v>54000000</v>
      </c>
      <c r="G199" s="81">
        <f>SUM(G200:G201)</f>
        <v>309000000</v>
      </c>
      <c r="H199" s="81">
        <f>SUM(H200:H201)</f>
        <v>1000000</v>
      </c>
      <c r="I199" s="79">
        <f t="shared" si="2"/>
        <v>364000000</v>
      </c>
    </row>
    <row r="200" spans="1:9" ht="12.75">
      <c r="A200" s="70"/>
      <c r="B200" s="71"/>
      <c r="C200" s="71"/>
      <c r="D200" s="72">
        <v>1</v>
      </c>
      <c r="E200" s="97" t="s">
        <v>356</v>
      </c>
      <c r="F200" s="84">
        <f>+'[1]PRG1'!F197+'[1]Auditoría'!F184</f>
        <v>39000000</v>
      </c>
      <c r="G200" s="84">
        <f>+'[1]PRG2'!F197</f>
        <v>309000000</v>
      </c>
      <c r="H200" s="84">
        <f>+'[1]PROG3'!F196</f>
        <v>1000000</v>
      </c>
      <c r="I200" s="79">
        <f t="shared" si="2"/>
        <v>349000000</v>
      </c>
    </row>
    <row r="201" spans="1:9" ht="13.5" thickBot="1">
      <c r="A201" s="200"/>
      <c r="B201" s="203"/>
      <c r="C201" s="203"/>
      <c r="D201" s="213">
        <v>2</v>
      </c>
      <c r="E201" s="99" t="s">
        <v>357</v>
      </c>
      <c r="F201" s="94">
        <f>+'[1]PRG1'!F198+'[1]Auditoría'!F185</f>
        <v>15000000</v>
      </c>
      <c r="G201" s="94">
        <f>+'[1]PRG2'!F198</f>
        <v>0</v>
      </c>
      <c r="H201" s="94">
        <f>+'[1]PROG3'!F197</f>
        <v>0</v>
      </c>
      <c r="I201" s="95">
        <f t="shared" si="2"/>
        <v>15000000</v>
      </c>
    </row>
    <row r="202" spans="1:11" ht="12" customHeight="1">
      <c r="A202" s="612" t="s">
        <v>0</v>
      </c>
      <c r="B202" s="613"/>
      <c r="C202" s="613"/>
      <c r="D202" s="613"/>
      <c r="E202" s="613"/>
      <c r="F202" s="613"/>
      <c r="G202" s="613"/>
      <c r="H202" s="613"/>
      <c r="I202" s="614"/>
      <c r="J202" s="66"/>
      <c r="K202" s="66"/>
    </row>
    <row r="203" spans="1:11" ht="12.75">
      <c r="A203" s="612" t="s">
        <v>196</v>
      </c>
      <c r="B203" s="613"/>
      <c r="C203" s="613"/>
      <c r="D203" s="613"/>
      <c r="E203" s="613"/>
      <c r="F203" s="613"/>
      <c r="G203" s="613"/>
      <c r="H203" s="613"/>
      <c r="I203" s="614"/>
      <c r="J203" s="66"/>
      <c r="K203" s="66"/>
    </row>
    <row r="204" spans="1:11" ht="12.75">
      <c r="A204" s="612" t="s">
        <v>638</v>
      </c>
      <c r="B204" s="613"/>
      <c r="C204" s="613"/>
      <c r="D204" s="613"/>
      <c r="E204" s="613"/>
      <c r="F204" s="613"/>
      <c r="G204" s="613"/>
      <c r="H204" s="613"/>
      <c r="I204" s="614"/>
      <c r="J204" s="66"/>
      <c r="K204" s="66"/>
    </row>
    <row r="205" spans="1:11" ht="12.75">
      <c r="A205" s="68"/>
      <c r="B205" s="66"/>
      <c r="C205" s="66"/>
      <c r="D205" s="66"/>
      <c r="E205" s="66"/>
      <c r="F205" s="66"/>
      <c r="G205" s="66"/>
      <c r="H205" s="66"/>
      <c r="I205" s="69"/>
      <c r="J205" s="66"/>
      <c r="K205" s="66"/>
    </row>
    <row r="206" spans="1:11" ht="12.75">
      <c r="A206" s="615" t="s">
        <v>197</v>
      </c>
      <c r="B206" s="616"/>
      <c r="C206" s="616"/>
      <c r="D206" s="616"/>
      <c r="E206" s="616"/>
      <c r="F206" s="616"/>
      <c r="G206" s="616"/>
      <c r="H206" s="616"/>
      <c r="I206" s="617"/>
      <c r="J206" s="66"/>
      <c r="K206" s="66"/>
    </row>
    <row r="207" spans="1:9" ht="12.75">
      <c r="A207" s="70"/>
      <c r="B207" s="71"/>
      <c r="C207" s="71"/>
      <c r="D207" s="72"/>
      <c r="E207" s="72"/>
      <c r="F207" s="72"/>
      <c r="G207" s="72"/>
      <c r="H207" s="71"/>
      <c r="I207" s="73"/>
    </row>
    <row r="208" spans="1:9" ht="12.75">
      <c r="A208" s="70" t="s">
        <v>198</v>
      </c>
      <c r="B208" s="71"/>
      <c r="C208" s="71"/>
      <c r="D208" s="72"/>
      <c r="E208" s="72"/>
      <c r="F208" s="72"/>
      <c r="G208" s="72"/>
      <c r="H208" s="71"/>
      <c r="I208" s="73"/>
    </row>
    <row r="209" spans="1:9" ht="12.75">
      <c r="A209" s="70"/>
      <c r="B209" s="71"/>
      <c r="C209" s="71"/>
      <c r="D209" s="72"/>
      <c r="E209" s="72"/>
      <c r="F209" s="72"/>
      <c r="G209" s="72"/>
      <c r="H209" s="71"/>
      <c r="I209" s="73"/>
    </row>
    <row r="210" spans="1:9" ht="12.75">
      <c r="A210" s="70"/>
      <c r="B210" s="71"/>
      <c r="C210" s="71"/>
      <c r="D210" s="72"/>
      <c r="E210" s="72"/>
      <c r="F210" s="72"/>
      <c r="G210" s="72"/>
      <c r="H210" s="71"/>
      <c r="I210" s="73"/>
    </row>
    <row r="211" spans="1:9" ht="12.75">
      <c r="A211" s="618" t="s">
        <v>3</v>
      </c>
      <c r="B211" s="619"/>
      <c r="C211" s="619"/>
      <c r="D211" s="619"/>
      <c r="E211" s="74" t="s">
        <v>199</v>
      </c>
      <c r="F211" s="619" t="s">
        <v>200</v>
      </c>
      <c r="G211" s="619"/>
      <c r="H211" s="619"/>
      <c r="I211" s="620"/>
    </row>
    <row r="212" spans="1:9" ht="13.5" thickBot="1">
      <c r="A212" s="75"/>
      <c r="B212" s="76"/>
      <c r="C212" s="76"/>
      <c r="D212" s="76"/>
      <c r="E212" s="77"/>
      <c r="F212" s="76" t="s">
        <v>201</v>
      </c>
      <c r="G212" s="76" t="s">
        <v>202</v>
      </c>
      <c r="H212" s="76" t="s">
        <v>203</v>
      </c>
      <c r="I212" s="78" t="s">
        <v>6</v>
      </c>
    </row>
    <row r="213" spans="1:9" ht="13.5" thickTop="1">
      <c r="A213" s="70"/>
      <c r="B213" s="71"/>
      <c r="C213" s="71"/>
      <c r="D213" s="72"/>
      <c r="E213" s="24"/>
      <c r="F213" s="84"/>
      <c r="G213" s="84">
        <f>+'[1]PRG2'!F199</f>
        <v>0</v>
      </c>
      <c r="H213" s="84">
        <f>+'[1]PROG3'!F198</f>
        <v>0</v>
      </c>
      <c r="I213" s="79"/>
    </row>
    <row r="214" spans="1:9" s="83" customFormat="1" ht="12.75">
      <c r="A214" s="70" t="s">
        <v>146</v>
      </c>
      <c r="B214" s="71">
        <v>7</v>
      </c>
      <c r="C214" s="71"/>
      <c r="D214" s="71"/>
      <c r="E214" s="13" t="s">
        <v>358</v>
      </c>
      <c r="F214" s="81">
        <f>+F215+F222+F224</f>
        <v>0</v>
      </c>
      <c r="G214" s="81">
        <f>+G215+G222+G224</f>
        <v>0</v>
      </c>
      <c r="H214" s="81">
        <f>+H215+H222+H224</f>
        <v>1699692244.6000001</v>
      </c>
      <c r="I214" s="79">
        <f t="shared" si="2"/>
        <v>1699692244.6000001</v>
      </c>
    </row>
    <row r="215" spans="1:9" s="83" customFormat="1" ht="12.75">
      <c r="A215" s="70"/>
      <c r="B215" s="71"/>
      <c r="C215" s="71">
        <v>1</v>
      </c>
      <c r="D215" s="71"/>
      <c r="E215" s="98" t="s">
        <v>359</v>
      </c>
      <c r="F215" s="81">
        <f>SUM(F216:F221)</f>
        <v>0</v>
      </c>
      <c r="G215" s="81">
        <f>SUM(G216:G221)</f>
        <v>0</v>
      </c>
      <c r="H215" s="81">
        <f>SUM(H216:H221)</f>
        <v>204946287.76</v>
      </c>
      <c r="I215" s="79">
        <f t="shared" si="2"/>
        <v>204946287.76</v>
      </c>
    </row>
    <row r="216" spans="1:9" ht="12.75" hidden="1">
      <c r="A216" s="70"/>
      <c r="B216" s="71"/>
      <c r="C216" s="71"/>
      <c r="D216" s="72">
        <v>1</v>
      </c>
      <c r="E216" s="97" t="s">
        <v>360</v>
      </c>
      <c r="F216" s="84">
        <f>+'[1]PRG1'!F202+'[1]Auditoría'!F189</f>
        <v>0</v>
      </c>
      <c r="G216" s="84">
        <f>+'[1]PRG2'!F202</f>
        <v>0</v>
      </c>
      <c r="H216" s="84">
        <f>+'[1]PROG3'!F201</f>
        <v>0</v>
      </c>
      <c r="I216" s="79">
        <f t="shared" si="2"/>
        <v>0</v>
      </c>
    </row>
    <row r="217" spans="1:9" ht="25.5" hidden="1">
      <c r="A217" s="70"/>
      <c r="B217" s="71"/>
      <c r="C217" s="71"/>
      <c r="D217" s="72">
        <v>2</v>
      </c>
      <c r="E217" s="91" t="s">
        <v>361</v>
      </c>
      <c r="F217" s="84">
        <f>+'[1]PRG1'!F203+'[1]Auditoría'!F190</f>
        <v>0</v>
      </c>
      <c r="G217" s="84">
        <f>+'[1]PRG2'!F203</f>
        <v>0</v>
      </c>
      <c r="H217" s="84">
        <f>+'[1]PROG3'!F202</f>
        <v>0</v>
      </c>
      <c r="I217" s="79">
        <f t="shared" si="2"/>
        <v>0</v>
      </c>
    </row>
    <row r="218" spans="1:9" ht="25.5">
      <c r="A218" s="70"/>
      <c r="B218" s="71"/>
      <c r="C218" s="71"/>
      <c r="D218" s="72">
        <v>3</v>
      </c>
      <c r="E218" s="91" t="s">
        <v>362</v>
      </c>
      <c r="F218" s="84">
        <f>+'[1]PRG1'!F204+'[1]Auditoría'!F191</f>
        <v>0</v>
      </c>
      <c r="G218" s="84">
        <f>+'[1]PRG2'!F204</f>
        <v>0</v>
      </c>
      <c r="H218" s="84">
        <f>+'[1]PROG3'!F203</f>
        <v>204946287.76</v>
      </c>
      <c r="I218" s="79">
        <f t="shared" si="2"/>
        <v>204946287.76</v>
      </c>
    </row>
    <row r="219" spans="1:9" ht="12.75" hidden="1">
      <c r="A219" s="70"/>
      <c r="B219" s="71"/>
      <c r="C219" s="71"/>
      <c r="D219" s="72">
        <v>4</v>
      </c>
      <c r="E219" s="97" t="s">
        <v>363</v>
      </c>
      <c r="F219" s="84">
        <f>+'[1]PRG1'!F205+'[1]Auditoría'!F192</f>
        <v>0</v>
      </c>
      <c r="G219" s="84">
        <f>+'[1]PRG2'!F205</f>
        <v>0</v>
      </c>
      <c r="H219" s="84">
        <f>+'[1]PROG3'!F204</f>
        <v>0</v>
      </c>
      <c r="I219" s="79">
        <f t="shared" si="2"/>
        <v>0</v>
      </c>
    </row>
    <row r="220" spans="1:9" ht="25.5" hidden="1">
      <c r="A220" s="70"/>
      <c r="B220" s="71"/>
      <c r="C220" s="71"/>
      <c r="D220" s="72">
        <v>5</v>
      </c>
      <c r="E220" s="91" t="s">
        <v>364</v>
      </c>
      <c r="F220" s="84">
        <f>+'[1]PRG1'!F206+'[1]Auditoría'!F193</f>
        <v>0</v>
      </c>
      <c r="G220" s="84">
        <f>+'[1]PRG2'!F206</f>
        <v>0</v>
      </c>
      <c r="H220" s="84">
        <f>+'[1]PROG3'!F205</f>
        <v>0</v>
      </c>
      <c r="I220" s="79">
        <f t="shared" si="2"/>
        <v>0</v>
      </c>
    </row>
    <row r="221" spans="1:9" ht="12.75" hidden="1">
      <c r="A221" s="70"/>
      <c r="B221" s="71"/>
      <c r="C221" s="71"/>
      <c r="D221" s="72">
        <v>7</v>
      </c>
      <c r="E221" s="91" t="s">
        <v>365</v>
      </c>
      <c r="F221" s="84">
        <f>+'[1]PRG1'!F207+'[1]Auditoría'!F194</f>
        <v>0</v>
      </c>
      <c r="G221" s="84">
        <f>+'[1]PRG2'!F207</f>
        <v>0</v>
      </c>
      <c r="H221" s="84">
        <f>+'[1]PROG3'!F206</f>
        <v>0</v>
      </c>
      <c r="I221" s="79">
        <f t="shared" si="2"/>
        <v>0</v>
      </c>
    </row>
    <row r="222" spans="1:9" s="83" customFormat="1" ht="12.75" hidden="1">
      <c r="A222" s="70"/>
      <c r="B222" s="71"/>
      <c r="C222" s="71">
        <v>2</v>
      </c>
      <c r="D222" s="71"/>
      <c r="E222" s="98" t="s">
        <v>366</v>
      </c>
      <c r="F222" s="81">
        <f>SUM(F223)</f>
        <v>0</v>
      </c>
      <c r="G222" s="81">
        <f>SUM(G223)</f>
        <v>0</v>
      </c>
      <c r="H222" s="81">
        <f>SUM(H223)</f>
        <v>0</v>
      </c>
      <c r="I222" s="79">
        <f t="shared" si="2"/>
        <v>0</v>
      </c>
    </row>
    <row r="223" spans="1:9" ht="12.75" hidden="1">
      <c r="A223" s="70"/>
      <c r="B223" s="71"/>
      <c r="C223" s="71"/>
      <c r="D223" s="72">
        <v>1</v>
      </c>
      <c r="E223" s="97" t="s">
        <v>366</v>
      </c>
      <c r="F223" s="84">
        <f>+'[1]PRG1'!F209+'[1]Auditoría'!F196</f>
        <v>0</v>
      </c>
      <c r="G223" s="84">
        <f>+'[1]PRG2'!F209</f>
        <v>0</v>
      </c>
      <c r="H223" s="84">
        <f>+'[1]PROG3'!F208</f>
        <v>0</v>
      </c>
      <c r="I223" s="79">
        <f t="shared" si="2"/>
        <v>0</v>
      </c>
    </row>
    <row r="224" spans="1:9" s="83" customFormat="1" ht="25.5">
      <c r="A224" s="70"/>
      <c r="B224" s="71"/>
      <c r="C224" s="71">
        <v>3</v>
      </c>
      <c r="D224" s="71"/>
      <c r="E224" s="100" t="s">
        <v>367</v>
      </c>
      <c r="F224" s="81">
        <f>SUM(F225:F228)</f>
        <v>0</v>
      </c>
      <c r="G224" s="81">
        <f>SUM(G225:G228)</f>
        <v>0</v>
      </c>
      <c r="H224" s="81">
        <f>SUM(H225:H228)</f>
        <v>1494745956.8400002</v>
      </c>
      <c r="I224" s="79">
        <f t="shared" si="2"/>
        <v>1494745956.8400002</v>
      </c>
    </row>
    <row r="225" spans="1:9" ht="12.75">
      <c r="A225" s="70"/>
      <c r="B225" s="71"/>
      <c r="C225" s="71"/>
      <c r="D225" s="72">
        <v>1</v>
      </c>
      <c r="E225" s="101" t="s">
        <v>368</v>
      </c>
      <c r="F225" s="84">
        <f>+'[1]PRG1'!F211+'[1]Auditoría'!F198</f>
        <v>0</v>
      </c>
      <c r="G225" s="84">
        <f>+'[1]PRG2'!F211</f>
        <v>0</v>
      </c>
      <c r="H225" s="84">
        <f>+'[1]PROG3'!F210</f>
        <v>1494745956.8400002</v>
      </c>
      <c r="I225" s="79">
        <f t="shared" si="2"/>
        <v>1494745956.8400002</v>
      </c>
    </row>
    <row r="226" spans="1:9" ht="12.75" hidden="1">
      <c r="A226" s="70"/>
      <c r="B226" s="71"/>
      <c r="C226" s="71"/>
      <c r="D226" s="72">
        <v>2</v>
      </c>
      <c r="E226" s="101" t="s">
        <v>369</v>
      </c>
      <c r="F226" s="84">
        <f>+'[1]PRG1'!F212+'[1]Auditoría'!F199</f>
        <v>0</v>
      </c>
      <c r="G226" s="84">
        <f>+'[1]PRG2'!F212</f>
        <v>0</v>
      </c>
      <c r="H226" s="84">
        <f>+'[1]PROG3'!F211</f>
        <v>0</v>
      </c>
      <c r="I226" s="79">
        <f t="shared" si="2"/>
        <v>0</v>
      </c>
    </row>
    <row r="227" spans="1:9" ht="12.75" hidden="1">
      <c r="A227" s="70"/>
      <c r="B227" s="71"/>
      <c r="C227" s="71"/>
      <c r="D227" s="72">
        <v>3</v>
      </c>
      <c r="E227" s="101" t="s">
        <v>370</v>
      </c>
      <c r="F227" s="84">
        <f>+'[1]PRG1'!F213+'[1]Auditoría'!F200</f>
        <v>0</v>
      </c>
      <c r="G227" s="84">
        <f>+'[1]PRG2'!F213</f>
        <v>0</v>
      </c>
      <c r="H227" s="84">
        <f>+'[1]PROG3'!F212</f>
        <v>0</v>
      </c>
      <c r="I227" s="79">
        <f t="shared" si="2"/>
        <v>0</v>
      </c>
    </row>
    <row r="228" spans="1:9" ht="25.5" hidden="1">
      <c r="A228" s="70"/>
      <c r="B228" s="71"/>
      <c r="C228" s="71"/>
      <c r="D228" s="72">
        <v>99</v>
      </c>
      <c r="E228" s="101" t="s">
        <v>371</v>
      </c>
      <c r="F228" s="84">
        <f>+'[1]PRG1'!F214+'[1]Auditoría'!F201</f>
        <v>0</v>
      </c>
      <c r="G228" s="84">
        <f>+'[1]PRG2'!F214</f>
        <v>0</v>
      </c>
      <c r="H228" s="84">
        <f>+'[1]PROG3'!F213</f>
        <v>0</v>
      </c>
      <c r="I228" s="79">
        <f t="shared" si="2"/>
        <v>0</v>
      </c>
    </row>
    <row r="229" spans="1:9" ht="12.75" hidden="1">
      <c r="A229" s="70"/>
      <c r="B229" s="71"/>
      <c r="C229" s="71"/>
      <c r="D229" s="72"/>
      <c r="E229" s="101"/>
      <c r="F229" s="84"/>
      <c r="G229" s="84">
        <f>+'[1]PRG2'!F215</f>
        <v>0</v>
      </c>
      <c r="H229" s="84">
        <f>+'[1]PROG3'!F214</f>
        <v>0</v>
      </c>
      <c r="I229" s="79">
        <f t="shared" si="2"/>
        <v>0</v>
      </c>
    </row>
    <row r="230" spans="1:9" ht="12.75">
      <c r="A230" s="70" t="s">
        <v>146</v>
      </c>
      <c r="B230" s="71">
        <v>8</v>
      </c>
      <c r="C230" s="71"/>
      <c r="D230" s="72"/>
      <c r="E230" s="98" t="s">
        <v>189</v>
      </c>
      <c r="F230" s="81">
        <f>SUM(F231:F232)</f>
        <v>0</v>
      </c>
      <c r="G230" s="81">
        <f>SUM(G232:G233)</f>
        <v>416400000</v>
      </c>
      <c r="H230" s="81">
        <f>SUM(H231:H232)</f>
        <v>0</v>
      </c>
      <c r="I230" s="79">
        <f t="shared" si="2"/>
        <v>416400000</v>
      </c>
    </row>
    <row r="231" spans="1:9" ht="12.75" hidden="1">
      <c r="A231" s="70"/>
      <c r="B231" s="71"/>
      <c r="C231" s="71">
        <v>2</v>
      </c>
      <c r="D231" s="72"/>
      <c r="E231" s="91" t="s">
        <v>372</v>
      </c>
      <c r="F231" s="84">
        <f>+'[1]PRG1'!F217+'[1]Auditoría'!F204</f>
        <v>0</v>
      </c>
      <c r="G231" s="84">
        <f>+'[1]PRG2'!F217</f>
        <v>0</v>
      </c>
      <c r="H231" s="84">
        <f>+'[1]PROG3'!F216</f>
        <v>0</v>
      </c>
      <c r="I231" s="79">
        <f t="shared" si="2"/>
        <v>0</v>
      </c>
    </row>
    <row r="232" spans="1:9" ht="25.5">
      <c r="A232" s="70"/>
      <c r="B232" s="71"/>
      <c r="C232" s="71"/>
      <c r="D232" s="97">
        <v>5</v>
      </c>
      <c r="E232" s="96" t="s">
        <v>373</v>
      </c>
      <c r="F232" s="84">
        <f>+'[1]PRG1'!F218+'[1]Auditoría'!F205</f>
        <v>0</v>
      </c>
      <c r="G232" s="84">
        <f>+'[1]PRG2'!F218</f>
        <v>180000000</v>
      </c>
      <c r="H232" s="84">
        <f>+'[1]PROG3'!F217</f>
        <v>0</v>
      </c>
      <c r="I232" s="79">
        <f t="shared" si="2"/>
        <v>180000000</v>
      </c>
    </row>
    <row r="233" spans="1:9" ht="25.5">
      <c r="A233" s="70"/>
      <c r="B233" s="71"/>
      <c r="C233" s="71"/>
      <c r="D233" s="97">
        <v>6</v>
      </c>
      <c r="E233" s="96" t="s">
        <v>525</v>
      </c>
      <c r="F233" s="84">
        <v>0</v>
      </c>
      <c r="G233" s="84">
        <f>+'[1]PRG2'!F219</f>
        <v>236400000</v>
      </c>
      <c r="H233" s="84">
        <v>0</v>
      </c>
      <c r="I233" s="79">
        <f t="shared" si="2"/>
        <v>236400000</v>
      </c>
    </row>
    <row r="234" spans="1:9" ht="12.75">
      <c r="A234" s="70"/>
      <c r="B234" s="71"/>
      <c r="C234" s="71"/>
      <c r="D234" s="72"/>
      <c r="E234" s="91"/>
      <c r="F234" s="84"/>
      <c r="G234" s="84"/>
      <c r="H234" s="84"/>
      <c r="I234" s="79"/>
    </row>
    <row r="235" spans="1:9" ht="12.75">
      <c r="A235" s="70"/>
      <c r="B235" s="71"/>
      <c r="C235" s="71"/>
      <c r="D235" s="72"/>
      <c r="E235" s="91"/>
      <c r="F235" s="84"/>
      <c r="G235" s="84"/>
      <c r="H235" s="84"/>
      <c r="I235" s="79"/>
    </row>
    <row r="236" spans="1:9" ht="12.75">
      <c r="A236" s="70" t="s">
        <v>146</v>
      </c>
      <c r="B236" s="71">
        <v>9</v>
      </c>
      <c r="C236" s="71"/>
      <c r="D236" s="72"/>
      <c r="E236" s="90" t="s">
        <v>190</v>
      </c>
      <c r="F236" s="81">
        <f>+F237+F240</f>
        <v>0</v>
      </c>
      <c r="G236" s="81">
        <f>+G237+G240</f>
        <v>0</v>
      </c>
      <c r="H236" s="81">
        <f>+H237+H240</f>
        <v>133694150.1</v>
      </c>
      <c r="I236" s="79">
        <f t="shared" si="2"/>
        <v>133694150.1</v>
      </c>
    </row>
    <row r="237" spans="1:9" ht="12.75" hidden="1">
      <c r="A237" s="70"/>
      <c r="B237" s="71"/>
      <c r="C237" s="71">
        <v>1</v>
      </c>
      <c r="D237" s="72"/>
      <c r="E237" s="90" t="s">
        <v>374</v>
      </c>
      <c r="F237" s="84">
        <f>SUM(F238)</f>
        <v>0</v>
      </c>
      <c r="G237" s="84">
        <f>+'[1]PRG2'!F223</f>
        <v>0</v>
      </c>
      <c r="H237" s="84">
        <f>+'[1]PROG3'!F221</f>
        <v>0</v>
      </c>
      <c r="I237" s="79">
        <f t="shared" si="2"/>
        <v>0</v>
      </c>
    </row>
    <row r="238" spans="1:9" ht="12.75" hidden="1">
      <c r="A238" s="70"/>
      <c r="B238" s="71"/>
      <c r="C238" s="71"/>
      <c r="D238" s="72">
        <v>1</v>
      </c>
      <c r="E238" s="91" t="s">
        <v>375</v>
      </c>
      <c r="F238" s="84">
        <f>+'[1]PRG1'!F223+'[1]Auditoría'!F210</f>
        <v>0</v>
      </c>
      <c r="G238" s="84">
        <f>+'[1]PRG2'!F224</f>
        <v>0</v>
      </c>
      <c r="H238" s="84">
        <f>+'[1]PROG3'!F222</f>
        <v>0</v>
      </c>
      <c r="I238" s="79">
        <f>SUM(F238:H238)</f>
        <v>0</v>
      </c>
    </row>
    <row r="239" spans="1:9" ht="12.75" hidden="1">
      <c r="A239" s="70"/>
      <c r="B239" s="71"/>
      <c r="C239" s="71"/>
      <c r="D239" s="72"/>
      <c r="E239" s="91"/>
      <c r="F239" s="84"/>
      <c r="G239" s="84">
        <f>+'[1]PRG2'!F225</f>
        <v>0</v>
      </c>
      <c r="H239" s="84">
        <f>+'[1]PROG3'!F223</f>
        <v>0</v>
      </c>
      <c r="I239" s="79">
        <f>SUM(F239:H239)</f>
        <v>0</v>
      </c>
    </row>
    <row r="240" spans="1:9" ht="12.75">
      <c r="A240" s="70"/>
      <c r="B240" s="71"/>
      <c r="C240" s="71">
        <v>2</v>
      </c>
      <c r="D240" s="72"/>
      <c r="E240" s="90" t="s">
        <v>376</v>
      </c>
      <c r="F240" s="81">
        <f>SUM(F241:F242)</f>
        <v>0</v>
      </c>
      <c r="G240" s="81">
        <f>SUM(G241:G242)</f>
        <v>0</v>
      </c>
      <c r="H240" s="81">
        <f>SUM(H241:H242)</f>
        <v>133694150.1</v>
      </c>
      <c r="I240" s="79">
        <f>SUM(F240:H240)</f>
        <v>133694150.1</v>
      </c>
    </row>
    <row r="241" spans="1:9" ht="12.75" hidden="1">
      <c r="A241" s="70"/>
      <c r="B241" s="71"/>
      <c r="C241" s="71"/>
      <c r="D241" s="72">
        <v>1</v>
      </c>
      <c r="E241" s="91" t="s">
        <v>377</v>
      </c>
      <c r="F241" s="84">
        <f>+'[1]PRG1'!F226+'[1]Auditoría'!F213</f>
        <v>0</v>
      </c>
      <c r="G241" s="84">
        <f>+'[1]PRG2'!F227</f>
        <v>0</v>
      </c>
      <c r="H241" s="84">
        <f>+'[1]PROG3'!F225</f>
        <v>0</v>
      </c>
      <c r="I241" s="79">
        <f>SUM(F241:H241)</f>
        <v>0</v>
      </c>
    </row>
    <row r="242" spans="1:9" ht="26.25" thickBot="1">
      <c r="A242" s="200"/>
      <c r="B242" s="203"/>
      <c r="C242" s="203"/>
      <c r="D242" s="213">
        <v>2</v>
      </c>
      <c r="E242" s="93" t="s">
        <v>378</v>
      </c>
      <c r="F242" s="94">
        <f>+'[1]PRG1'!F227+'[1]Auditoría'!F214</f>
        <v>0</v>
      </c>
      <c r="G242" s="94">
        <f>+'[1]PRG2'!F228</f>
        <v>0</v>
      </c>
      <c r="H242" s="94">
        <f>+'[1]PROG3'!F226</f>
        <v>133694150.1</v>
      </c>
      <c r="I242" s="95">
        <f>SUM(F242:H242)</f>
        <v>133694150.1</v>
      </c>
    </row>
    <row r="243" spans="1:9" ht="13.5" thickBot="1">
      <c r="A243" s="219"/>
      <c r="B243" s="220"/>
      <c r="C243" s="220"/>
      <c r="D243" s="221"/>
      <c r="E243" s="220" t="s">
        <v>379</v>
      </c>
      <c r="F243" s="227">
        <f>+F13+F45+F113+F143+F148+F172+F214+F230+F236</f>
        <v>8047458649.416355</v>
      </c>
      <c r="G243" s="227">
        <f>+G13+G45+G113+G143+G148+G172+G214+G230+G236</f>
        <v>9629773700.105263</v>
      </c>
      <c r="H243" s="227">
        <f>+H13+H45+H113+H143+H148+H172+H214+H230+H236</f>
        <v>5408600776.479141</v>
      </c>
      <c r="I243" s="222">
        <f>+F243+G243+H243</f>
        <v>23085833126.00076</v>
      </c>
    </row>
    <row r="245" spans="6:9" ht="12.75">
      <c r="F245" s="223" t="s">
        <v>468</v>
      </c>
      <c r="G245" s="223"/>
      <c r="H245" s="228"/>
      <c r="I245" s="229">
        <f>+'[5]RELACION INGRESO GASTO DET.15'!$I$593</f>
        <v>9539361009.880001</v>
      </c>
    </row>
    <row r="246" spans="6:10" ht="12.75">
      <c r="F246" s="223" t="s">
        <v>469</v>
      </c>
      <c r="G246" s="223"/>
      <c r="H246" s="228"/>
      <c r="I246" s="229">
        <f>+'[5]INGRESOS LIBRES DETALLE Nº17'!$H$221</f>
        <v>13546472116.119999</v>
      </c>
      <c r="J246" s="80"/>
    </row>
    <row r="247" spans="6:9" ht="12.75">
      <c r="F247" s="223" t="s">
        <v>463</v>
      </c>
      <c r="G247" s="223"/>
      <c r="H247" s="228"/>
      <c r="I247" s="229">
        <f>SUM(I245:I246)</f>
        <v>23085833126</v>
      </c>
    </row>
    <row r="248" spans="6:9" ht="12.75">
      <c r="F248" s="67" t="s">
        <v>470</v>
      </c>
      <c r="I248" s="86">
        <f>+I13+I45+I113+I143</f>
        <v>16353568981.917475</v>
      </c>
    </row>
    <row r="249" spans="5:9" ht="12.75">
      <c r="E249" s="80" t="s">
        <v>146</v>
      </c>
      <c r="F249" s="67" t="s">
        <v>186</v>
      </c>
      <c r="I249" s="86">
        <f>+I148</f>
        <v>1935790232.3400002</v>
      </c>
    </row>
    <row r="250" spans="5:9" ht="12.75">
      <c r="E250" s="67" t="s">
        <v>146</v>
      </c>
      <c r="F250" s="67" t="s">
        <v>464</v>
      </c>
      <c r="I250" s="86">
        <f>+I172+I214</f>
        <v>4246379761.643284</v>
      </c>
    </row>
    <row r="251" spans="6:9" ht="12.75">
      <c r="F251" s="67" t="s">
        <v>465</v>
      </c>
      <c r="I251" s="82">
        <f>+I230</f>
        <v>416400000</v>
      </c>
    </row>
    <row r="252" spans="6:9" ht="12.75">
      <c r="F252" s="67" t="s">
        <v>190</v>
      </c>
      <c r="I252" s="86">
        <f>+I236</f>
        <v>133694150.1</v>
      </c>
    </row>
    <row r="253" spans="5:9" ht="12.75">
      <c r="E253" s="67" t="s">
        <v>471</v>
      </c>
      <c r="F253" s="85" t="s">
        <v>472</v>
      </c>
      <c r="G253" s="85"/>
      <c r="H253" s="86"/>
      <c r="I253" s="86">
        <f>SUM(I248:I252)</f>
        <v>23085833126.00076</v>
      </c>
    </row>
    <row r="255" spans="6:9" ht="12.75">
      <c r="F255" s="67" t="s">
        <v>473</v>
      </c>
      <c r="I255" s="86"/>
    </row>
    <row r="257" spans="6:10" ht="12.75">
      <c r="F257" s="80"/>
      <c r="G257" s="80"/>
      <c r="H257" s="82"/>
      <c r="I257" s="82"/>
      <c r="J257" s="85"/>
    </row>
    <row r="258" ht="12.75">
      <c r="I258" s="230"/>
    </row>
    <row r="259" ht="12.75">
      <c r="I259" s="230"/>
    </row>
  </sheetData>
  <sheetProtection/>
  <mergeCells count="19">
    <mergeCell ref="A1:I1"/>
    <mergeCell ref="A2:I2"/>
    <mergeCell ref="A3:I3"/>
    <mergeCell ref="A5:I5"/>
    <mergeCell ref="A10:D10"/>
    <mergeCell ref="F10:I10"/>
    <mergeCell ref="A95:I95"/>
    <mergeCell ref="A96:I96"/>
    <mergeCell ref="A97:I97"/>
    <mergeCell ref="A98:I98"/>
    <mergeCell ref="A99:I99"/>
    <mergeCell ref="A104:D104"/>
    <mergeCell ref="F104:I104"/>
    <mergeCell ref="A202:I202"/>
    <mergeCell ref="A203:I203"/>
    <mergeCell ref="A204:I204"/>
    <mergeCell ref="A206:I206"/>
    <mergeCell ref="A211:D211"/>
    <mergeCell ref="F211:I211"/>
  </mergeCells>
  <printOptions/>
  <pageMargins left="0.75" right="0.75" top="1" bottom="1" header="0" footer="0"/>
  <pageSetup horizontalDpi="300" verticalDpi="300" orientation="portrait" scale="54" r:id="rId1"/>
  <rowBreaks count="2" manualBreakCount="2">
    <brk id="94" max="8" man="1"/>
    <brk id="201" max="8" man="1"/>
  </rowBreaks>
</worksheet>
</file>

<file path=xl/worksheets/sheet5.xml><?xml version="1.0" encoding="utf-8"?>
<worksheet xmlns="http://schemas.openxmlformats.org/spreadsheetml/2006/main" xmlns:r="http://schemas.openxmlformats.org/officeDocument/2006/relationships">
  <dimension ref="A1:M412"/>
  <sheetViews>
    <sheetView view="pageBreakPreview" zoomScaleNormal="75" zoomScaleSheetLayoutView="100" zoomScalePageLayoutView="0" workbookViewId="0" topLeftCell="I343">
      <selection activeCell="J361" sqref="J1:P361"/>
    </sheetView>
  </sheetViews>
  <sheetFormatPr defaultColWidth="11.421875" defaultRowHeight="12.75"/>
  <cols>
    <col min="1" max="1" width="21.28125" style="127" customWidth="1"/>
    <col min="2" max="2" width="41.7109375" style="127" customWidth="1"/>
    <col min="3" max="3" width="25.7109375" style="104" customWidth="1"/>
    <col min="4" max="4" width="4.7109375" style="104" customWidth="1"/>
    <col min="5" max="5" width="5.57421875" style="104" customWidth="1"/>
    <col min="6" max="6" width="4.7109375" style="104" customWidth="1"/>
    <col min="7" max="7" width="56.140625" style="187" bestFit="1" customWidth="1"/>
    <col min="8" max="8" width="25.7109375" style="270" customWidth="1"/>
    <col min="9" max="10" width="25.7109375" style="103" customWidth="1"/>
    <col min="11" max="11" width="19.140625" style="410" customWidth="1"/>
    <col min="12" max="12" width="17.7109375" style="103" bestFit="1" customWidth="1"/>
    <col min="13" max="13" width="20.140625" style="104" bestFit="1" customWidth="1"/>
    <col min="14" max="16384" width="11.421875" style="104" customWidth="1"/>
  </cols>
  <sheetData>
    <row r="1" spans="1:10" ht="12.75">
      <c r="A1" s="636" t="s">
        <v>0</v>
      </c>
      <c r="B1" s="637"/>
      <c r="C1" s="637"/>
      <c r="D1" s="637"/>
      <c r="E1" s="637"/>
      <c r="F1" s="637"/>
      <c r="G1" s="637"/>
      <c r="H1" s="638"/>
      <c r="I1" s="106"/>
      <c r="J1" s="106"/>
    </row>
    <row r="2" spans="1:10" ht="12.75">
      <c r="A2" s="627" t="s">
        <v>179</v>
      </c>
      <c r="B2" s="628"/>
      <c r="C2" s="628"/>
      <c r="D2" s="628"/>
      <c r="E2" s="628"/>
      <c r="F2" s="628"/>
      <c r="G2" s="628"/>
      <c r="H2" s="629"/>
      <c r="I2" s="106"/>
      <c r="J2" s="106"/>
    </row>
    <row r="3" spans="1:10" ht="12.75">
      <c r="A3" s="627" t="s">
        <v>638</v>
      </c>
      <c r="B3" s="628"/>
      <c r="C3" s="628"/>
      <c r="D3" s="628"/>
      <c r="E3" s="628"/>
      <c r="F3" s="628"/>
      <c r="G3" s="628"/>
      <c r="H3" s="629"/>
      <c r="I3" s="106"/>
      <c r="J3" s="106"/>
    </row>
    <row r="4" spans="1:10" ht="12.75">
      <c r="A4" s="627" t="s">
        <v>380</v>
      </c>
      <c r="B4" s="628"/>
      <c r="C4" s="628"/>
      <c r="D4" s="628"/>
      <c r="E4" s="628"/>
      <c r="F4" s="628"/>
      <c r="G4" s="628"/>
      <c r="H4" s="629"/>
      <c r="I4" s="106"/>
      <c r="J4" s="106"/>
    </row>
    <row r="5" spans="1:10" ht="12.75">
      <c r="A5" s="627" t="s">
        <v>381</v>
      </c>
      <c r="B5" s="628"/>
      <c r="C5" s="628"/>
      <c r="D5" s="628"/>
      <c r="E5" s="628"/>
      <c r="F5" s="628"/>
      <c r="G5" s="628"/>
      <c r="H5" s="629"/>
      <c r="I5" s="106"/>
      <c r="J5" s="106"/>
    </row>
    <row r="6" spans="1:10" ht="13.5" thickBot="1">
      <c r="A6" s="107"/>
      <c r="B6" s="108"/>
      <c r="C6" s="109"/>
      <c r="D6" s="109"/>
      <c r="E6" s="109"/>
      <c r="F6" s="109"/>
      <c r="G6" s="110"/>
      <c r="H6" s="258"/>
      <c r="I6" s="181"/>
      <c r="J6" s="181"/>
    </row>
    <row r="7" spans="1:10" ht="105.75" customHeight="1" thickBot="1">
      <c r="A7" s="231" t="s">
        <v>3</v>
      </c>
      <c r="B7" s="209" t="s">
        <v>382</v>
      </c>
      <c r="C7" s="209" t="s">
        <v>383</v>
      </c>
      <c r="D7" s="232" t="s">
        <v>384</v>
      </c>
      <c r="E7" s="233" t="s">
        <v>385</v>
      </c>
      <c r="F7" s="232" t="s">
        <v>386</v>
      </c>
      <c r="G7" s="102" t="s">
        <v>387</v>
      </c>
      <c r="H7" s="259" t="s">
        <v>383</v>
      </c>
      <c r="I7" s="106"/>
      <c r="J7" s="106"/>
    </row>
    <row r="8" spans="1:10" ht="34.5" customHeight="1">
      <c r="A8" s="234" t="s">
        <v>146</v>
      </c>
      <c r="B8" s="235" t="s">
        <v>146</v>
      </c>
      <c r="C8" s="236"/>
      <c r="D8" s="102"/>
      <c r="E8" s="102"/>
      <c r="F8" s="102"/>
      <c r="G8" s="172"/>
      <c r="H8" s="173"/>
      <c r="I8" s="181"/>
      <c r="J8" s="181"/>
    </row>
    <row r="9" spans="1:10" ht="12.75">
      <c r="A9" s="112" t="str">
        <f>+'[5]Clasific. Económica de Ingresos'!A16</f>
        <v>1.1.2.1.01.00.0.0.000</v>
      </c>
      <c r="B9" s="160" t="s">
        <v>388</v>
      </c>
      <c r="C9" s="115">
        <f>SUM('[5]Clasific. Económica de Ingresos'!C16)</f>
        <v>5915000000</v>
      </c>
      <c r="D9" s="106"/>
      <c r="E9" s="106"/>
      <c r="F9" s="106"/>
      <c r="G9" s="114"/>
      <c r="H9" s="130"/>
      <c r="I9" s="237"/>
      <c r="J9" s="237"/>
    </row>
    <row r="10" spans="1:13" ht="12.75">
      <c r="A10" s="105"/>
      <c r="B10" s="106"/>
      <c r="C10" s="115"/>
      <c r="D10" s="106" t="s">
        <v>389</v>
      </c>
      <c r="E10" s="106" t="s">
        <v>390</v>
      </c>
      <c r="F10" s="106" t="s">
        <v>391</v>
      </c>
      <c r="G10" s="114" t="s">
        <v>392</v>
      </c>
      <c r="H10" s="260">
        <f>+C9*0.1</f>
        <v>591500000</v>
      </c>
      <c r="I10" s="237"/>
      <c r="J10" s="139"/>
      <c r="M10" s="116"/>
    </row>
    <row r="11" spans="1:13" ht="12.75">
      <c r="A11" s="105"/>
      <c r="B11" s="106"/>
      <c r="C11" s="115"/>
      <c r="D11" s="106" t="s">
        <v>389</v>
      </c>
      <c r="E11" s="106" t="s">
        <v>393</v>
      </c>
      <c r="F11" s="106" t="s">
        <v>391</v>
      </c>
      <c r="G11" s="114" t="str">
        <f>+'[5]ProgramaI'!B24</f>
        <v>Aporte Junta Admva.Registro Nac. Ley 7509y 7729</v>
      </c>
      <c r="H11" s="260">
        <f>+'[5]RELACION INGRESO GASTO DET.15'!I18</f>
        <v>177450000</v>
      </c>
      <c r="I11" s="237"/>
      <c r="J11" s="237"/>
      <c r="K11" s="411"/>
      <c r="M11" s="116"/>
    </row>
    <row r="12" spans="1:13" ht="12.75">
      <c r="A12" s="105"/>
      <c r="B12" s="106"/>
      <c r="C12" s="115"/>
      <c r="D12" s="106" t="s">
        <v>389</v>
      </c>
      <c r="E12" s="106" t="s">
        <v>393</v>
      </c>
      <c r="F12" s="106" t="s">
        <v>391</v>
      </c>
      <c r="G12" s="114" t="str">
        <f>+'[5]ProgramaI'!B29</f>
        <v>Juntas de Educación, Ley 7509 y 7729</v>
      </c>
      <c r="H12" s="260">
        <f>+'[5]RELACION INGRESO GASTO DET.15'!I15</f>
        <v>591500000</v>
      </c>
      <c r="I12" s="237"/>
      <c r="J12" s="237"/>
      <c r="M12" s="116"/>
    </row>
    <row r="13" spans="1:13" ht="15" customHeight="1">
      <c r="A13" s="105"/>
      <c r="B13" s="106"/>
      <c r="C13" s="115"/>
      <c r="D13" s="106" t="s">
        <v>389</v>
      </c>
      <c r="E13" s="106" t="s">
        <v>393</v>
      </c>
      <c r="F13" s="106" t="s">
        <v>391</v>
      </c>
      <c r="G13" s="261" t="str">
        <f>+'[5]ProgramaI'!B22</f>
        <v>Organo Normalización Técnica M.de Hacienda </v>
      </c>
      <c r="H13" s="260">
        <f>+'[5]RELACION INGRESO GASTO DET.15'!I21</f>
        <v>59150000</v>
      </c>
      <c r="I13" s="237"/>
      <c r="J13" s="237"/>
      <c r="M13" s="116"/>
    </row>
    <row r="14" spans="1:13" ht="12.75">
      <c r="A14" s="105"/>
      <c r="B14" s="106"/>
      <c r="C14" s="115"/>
      <c r="D14" s="106" t="s">
        <v>394</v>
      </c>
      <c r="E14" s="106" t="s">
        <v>390</v>
      </c>
      <c r="F14" s="106"/>
      <c r="G14" s="114" t="str">
        <f>+'[5]Egresos Programa II General'!B11</f>
        <v>Aseo de Vías y Sitios Públicos</v>
      </c>
      <c r="H14" s="260">
        <f>+'[5]INGRESOS LIBRES DETALLE Nº17'!E12</f>
        <v>106832202.22</v>
      </c>
      <c r="I14" s="237"/>
      <c r="J14" s="237"/>
      <c r="K14" s="412"/>
      <c r="M14" s="116"/>
    </row>
    <row r="15" spans="1:13" ht="12.75" hidden="1">
      <c r="A15" s="105"/>
      <c r="B15" s="106"/>
      <c r="C15" s="115"/>
      <c r="D15" s="106" t="s">
        <v>394</v>
      </c>
      <c r="E15" s="106" t="s">
        <v>397</v>
      </c>
      <c r="F15" s="106"/>
      <c r="G15" s="114" t="str">
        <f>+'[5]Egresos Programa II General'!B13</f>
        <v>Recolección de Basuras</v>
      </c>
      <c r="H15" s="260">
        <f>+'[5]INGRESOS LIBRES DETALLE Nº17'!E13</f>
        <v>0</v>
      </c>
      <c r="I15" s="237"/>
      <c r="J15" s="237"/>
      <c r="K15" s="412"/>
      <c r="M15" s="116"/>
    </row>
    <row r="16" spans="1:13" ht="12.75">
      <c r="A16" s="105"/>
      <c r="B16" s="106"/>
      <c r="C16" s="115"/>
      <c r="D16" s="106" t="s">
        <v>394</v>
      </c>
      <c r="E16" s="106" t="s">
        <v>420</v>
      </c>
      <c r="F16" s="106"/>
      <c r="G16" s="114" t="str">
        <f>+'[5]Egresos Programa II General'!B15</f>
        <v>Parques Obras de Ornato</v>
      </c>
      <c r="H16" s="260">
        <f>+'[5]INGRESOS LIBRES DETALLE Nº17'!E14</f>
        <v>32970465.77</v>
      </c>
      <c r="I16" s="237"/>
      <c r="J16" s="237"/>
      <c r="K16" s="412"/>
      <c r="M16" s="116"/>
    </row>
    <row r="17" spans="1:13" ht="12.75">
      <c r="A17" s="105"/>
      <c r="B17" s="106"/>
      <c r="C17" s="115"/>
      <c r="D17" s="106" t="s">
        <v>394</v>
      </c>
      <c r="E17" s="106" t="s">
        <v>400</v>
      </c>
      <c r="F17" s="106"/>
      <c r="G17" s="114" t="str">
        <f>+'[5]Egresos Programa II General'!B19</f>
        <v>Mercados, Plazas y Ferias</v>
      </c>
      <c r="H17" s="260">
        <f>+'[5]INGRESOS LIBRES DETALLE Nº17'!E16</f>
        <v>41993300</v>
      </c>
      <c r="I17" s="237"/>
      <c r="J17" s="237"/>
      <c r="K17" s="412"/>
      <c r="M17" s="116"/>
    </row>
    <row r="18" spans="1:10" ht="12.75">
      <c r="A18" s="105"/>
      <c r="B18" s="106"/>
      <c r="C18" s="115"/>
      <c r="D18" s="106" t="s">
        <v>394</v>
      </c>
      <c r="E18" s="106" t="s">
        <v>395</v>
      </c>
      <c r="F18" s="106" t="s">
        <v>391</v>
      </c>
      <c r="G18" s="114" t="str">
        <f>+'[5]Egresos Programa II General'!B21</f>
        <v>Educativos, Culturales y Deportivos</v>
      </c>
      <c r="H18" s="260">
        <f>+'[5]INGRESOS LIBRES DETALLE Nº17'!E17</f>
        <v>278567747.34000003</v>
      </c>
      <c r="I18" s="237"/>
      <c r="J18" s="237"/>
    </row>
    <row r="19" spans="1:10" ht="12.75">
      <c r="A19" s="105"/>
      <c r="B19" s="106"/>
      <c r="C19" s="115"/>
      <c r="D19" s="106" t="s">
        <v>394</v>
      </c>
      <c r="E19" s="106">
        <v>10</v>
      </c>
      <c r="F19" s="106"/>
      <c r="G19" s="114" t="str">
        <f>+'[5]Egresos Programa II General'!B23</f>
        <v>Servicios Sociales Complementarios</v>
      </c>
      <c r="H19" s="260">
        <f>+'[5]INGRESOS LIBRES DETALLE Nº17'!E18</f>
        <v>483286550.44</v>
      </c>
      <c r="I19" s="237"/>
      <c r="J19" s="237"/>
    </row>
    <row r="20" spans="1:10" ht="12.75">
      <c r="A20" s="105"/>
      <c r="B20" s="106"/>
      <c r="C20" s="115"/>
      <c r="D20" s="106" t="s">
        <v>394</v>
      </c>
      <c r="E20" s="106">
        <v>11</v>
      </c>
      <c r="F20" s="106"/>
      <c r="G20" s="114" t="s">
        <v>492</v>
      </c>
      <c r="H20" s="260">
        <f>+'[5]INGRESOS LIBRES DETALLE Nº17'!E19</f>
        <v>20996793.54</v>
      </c>
      <c r="I20" s="237"/>
      <c r="J20" s="237"/>
    </row>
    <row r="21" spans="1:10" ht="12.75" hidden="1">
      <c r="A21" s="105"/>
      <c r="B21" s="106"/>
      <c r="C21" s="115"/>
      <c r="D21" s="106" t="s">
        <v>394</v>
      </c>
      <c r="E21" s="106">
        <v>13</v>
      </c>
      <c r="F21" s="106"/>
      <c r="G21" s="114" t="str">
        <f>+'[5]Egresos Programa II General'!B27</f>
        <v>Alcantarillados Sanitarios</v>
      </c>
      <c r="H21" s="260">
        <f>+'[5]INGRESOS LIBRES DETALLE Nº17'!E20</f>
        <v>0</v>
      </c>
      <c r="I21" s="237"/>
      <c r="J21" s="237"/>
    </row>
    <row r="22" spans="1:10" ht="12.75">
      <c r="A22" s="105"/>
      <c r="B22" s="106"/>
      <c r="C22" s="115"/>
      <c r="D22" s="106" t="s">
        <v>394</v>
      </c>
      <c r="E22" s="106">
        <v>18</v>
      </c>
      <c r="F22" s="106"/>
      <c r="G22" s="114" t="str">
        <f>+'[5]Egresos Programa II General'!B29</f>
        <v>Reparaciones Menores de Maquinaria y Equipo</v>
      </c>
      <c r="H22" s="260">
        <f>+'[5]INGRESOS LIBRES DETALLE Nº17'!E21</f>
        <v>40590936.33</v>
      </c>
      <c r="I22" s="237"/>
      <c r="J22" s="237"/>
    </row>
    <row r="23" spans="1:13" ht="12.75">
      <c r="A23" s="105"/>
      <c r="B23" s="106"/>
      <c r="C23" s="115"/>
      <c r="D23" s="106" t="s">
        <v>394</v>
      </c>
      <c r="E23" s="106">
        <v>23</v>
      </c>
      <c r="F23" s="106"/>
      <c r="G23" s="114" t="str">
        <f>+'[5]Egresos Programa II General'!B31</f>
        <v>Seguridad y Vigilancia en la Comunidad</v>
      </c>
      <c r="H23" s="260">
        <f>+'[5]INGRESOS LIBRES DETALLE Nº17'!E22</f>
        <v>519728149.59999996</v>
      </c>
      <c r="I23" s="237"/>
      <c r="J23" s="237"/>
      <c r="M23" s="103"/>
    </row>
    <row r="24" spans="1:10" ht="12.75">
      <c r="A24" s="105"/>
      <c r="B24" s="106"/>
      <c r="C24" s="115"/>
      <c r="D24" s="106" t="s">
        <v>394</v>
      </c>
      <c r="E24" s="106">
        <v>25</v>
      </c>
      <c r="F24" s="106"/>
      <c r="G24" s="114" t="str">
        <f>+'[5]Egresos Programa II General'!B33</f>
        <v>Protección del Medio Ambiente</v>
      </c>
      <c r="H24" s="260">
        <f>+'[5]INGRESOS LIBRES DETALLE Nº17'!E23</f>
        <v>134108166.6</v>
      </c>
      <c r="I24" s="237"/>
      <c r="J24" s="237"/>
    </row>
    <row r="25" spans="1:10" ht="12.75" hidden="1">
      <c r="A25" s="105"/>
      <c r="B25" s="106"/>
      <c r="C25" s="115"/>
      <c r="D25" s="106" t="s">
        <v>394</v>
      </c>
      <c r="E25" s="106">
        <v>27</v>
      </c>
      <c r="F25" s="106"/>
      <c r="G25" s="114" t="s">
        <v>474</v>
      </c>
      <c r="H25" s="260">
        <f>+'[5]Egresos Programa II General'!C35</f>
        <v>0</v>
      </c>
      <c r="I25" s="237"/>
      <c r="J25" s="237"/>
    </row>
    <row r="26" spans="1:10" ht="12.75">
      <c r="A26" s="105"/>
      <c r="B26" s="106"/>
      <c r="C26" s="115"/>
      <c r="D26" s="106" t="s">
        <v>394</v>
      </c>
      <c r="E26" s="106">
        <v>28</v>
      </c>
      <c r="F26" s="106"/>
      <c r="G26" s="114" t="str">
        <f>+'[5]Egresos Programa II General'!B37</f>
        <v>Atención Emergencias Cantonales</v>
      </c>
      <c r="H26" s="260">
        <f>+'[5]INGRESOS LIBRES DETALLE Nº17'!E25</f>
        <v>31467209.99</v>
      </c>
      <c r="I26" s="237"/>
      <c r="J26" s="237"/>
    </row>
    <row r="27" spans="1:10" ht="12.75" hidden="1">
      <c r="A27" s="105"/>
      <c r="B27" s="106"/>
      <c r="C27" s="115"/>
      <c r="D27" s="106" t="s">
        <v>394</v>
      </c>
      <c r="E27" s="106">
        <v>29</v>
      </c>
      <c r="F27" s="106"/>
      <c r="G27" s="114" t="s">
        <v>475</v>
      </c>
      <c r="H27" s="260">
        <f>+'[5]INGRESOS LIBRES DETALLE Nº17'!E26</f>
        <v>0</v>
      </c>
      <c r="I27" s="413"/>
      <c r="J27" s="413"/>
    </row>
    <row r="28" spans="1:10" ht="12.75" hidden="1">
      <c r="A28" s="105"/>
      <c r="B28" s="106"/>
      <c r="C28" s="115"/>
      <c r="D28" s="106" t="s">
        <v>394</v>
      </c>
      <c r="E28" s="106">
        <v>30</v>
      </c>
      <c r="F28" s="106"/>
      <c r="G28" s="114" t="s">
        <v>476</v>
      </c>
      <c r="H28" s="260">
        <f>+'[5]INGRESOS LIBRES DETALLE Nº17'!E27</f>
        <v>0</v>
      </c>
      <c r="I28" s="237"/>
      <c r="J28" s="237"/>
    </row>
    <row r="29" spans="1:10" ht="12.75" hidden="1">
      <c r="A29" s="105"/>
      <c r="B29" s="106"/>
      <c r="C29" s="115"/>
      <c r="D29" s="106" t="s">
        <v>394</v>
      </c>
      <c r="E29" s="106">
        <v>31</v>
      </c>
      <c r="F29" s="106"/>
      <c r="G29" s="114" t="str">
        <f>+'[5]Egresos Programa II General'!B43</f>
        <v>Aporte en Especie para Servicios Y Proyectos Comunitarios</v>
      </c>
      <c r="H29" s="260"/>
      <c r="I29" s="237"/>
      <c r="J29" s="237"/>
    </row>
    <row r="30" spans="1:10" ht="25.5">
      <c r="A30" s="105"/>
      <c r="B30" s="106"/>
      <c r="C30" s="115"/>
      <c r="D30" s="106" t="s">
        <v>396</v>
      </c>
      <c r="E30" s="106" t="s">
        <v>390</v>
      </c>
      <c r="F30" s="106" t="s">
        <v>390</v>
      </c>
      <c r="G30" s="212" t="str">
        <f>+'[5]Egresos Programa III General'!B12</f>
        <v> CONSTRUCCION DE LA PRIMERA ETAPA DEL CENTRO DE CUIDADOS PALEATIVAS DE SAN RAFAEL</v>
      </c>
      <c r="H30" s="260">
        <f>+'[5]Egresos Programa III General'!C12</f>
        <v>15000000</v>
      </c>
      <c r="I30" s="237"/>
      <c r="J30" s="237"/>
    </row>
    <row r="31" spans="1:10" ht="12.75" hidden="1">
      <c r="A31" s="105"/>
      <c r="B31" s="106"/>
      <c r="C31" s="115"/>
      <c r="D31" s="106" t="s">
        <v>396</v>
      </c>
      <c r="E31" s="106" t="s">
        <v>390</v>
      </c>
      <c r="F31" s="106" t="s">
        <v>399</v>
      </c>
      <c r="G31" s="114" t="s">
        <v>478</v>
      </c>
      <c r="H31" s="260"/>
      <c r="I31" s="237"/>
      <c r="J31" s="237"/>
    </row>
    <row r="32" spans="1:10" ht="25.5">
      <c r="A32" s="105"/>
      <c r="B32" s="106"/>
      <c r="C32" s="115"/>
      <c r="D32" s="106" t="s">
        <v>396</v>
      </c>
      <c r="E32" s="106" t="s">
        <v>390</v>
      </c>
      <c r="F32" s="106" t="s">
        <v>397</v>
      </c>
      <c r="G32" s="212" t="str">
        <f>+'[5]Egresos Programa III General'!B13</f>
        <v>CONSTRUCCION DE SALON MULTIUSO DE URBANIZACION LA PAZ</v>
      </c>
      <c r="H32" s="260">
        <f>+'[5]Egresos Programa III General'!C13</f>
        <v>25000000</v>
      </c>
      <c r="I32" s="237"/>
      <c r="J32" s="237"/>
    </row>
    <row r="33" spans="1:10" ht="30" customHeight="1">
      <c r="A33" s="105"/>
      <c r="B33" s="106"/>
      <c r="C33" s="115"/>
      <c r="D33" s="106" t="s">
        <v>396</v>
      </c>
      <c r="E33" s="106" t="s">
        <v>390</v>
      </c>
      <c r="F33" s="106" t="s">
        <v>399</v>
      </c>
      <c r="G33" s="212" t="str">
        <f>+'[5]Egresos Programa III General'!B14</f>
        <v>MEJORAS EN EL SALON MULTIUSOS DE LA URBANIZACION SACRAMENTO</v>
      </c>
      <c r="H33" s="260">
        <f>+'[5]Egresos Programa III General'!C14</f>
        <v>15000000</v>
      </c>
      <c r="I33" s="237"/>
      <c r="J33" s="237"/>
    </row>
    <row r="34" spans="1:11" ht="12.75">
      <c r="A34" s="105"/>
      <c r="B34" s="106"/>
      <c r="C34" s="115"/>
      <c r="D34" s="106" t="s">
        <v>396</v>
      </c>
      <c r="E34" s="106" t="s">
        <v>397</v>
      </c>
      <c r="F34" s="106" t="s">
        <v>390</v>
      </c>
      <c r="G34" s="114" t="s">
        <v>398</v>
      </c>
      <c r="H34" s="260">
        <f>+'[5]Egresos Programa III General'!C21-'Origen y Aplicación'!H307-H200-H77-H332</f>
        <v>641934593.1203947</v>
      </c>
      <c r="I34" s="237"/>
      <c r="J34" s="237"/>
      <c r="K34" s="414"/>
    </row>
    <row r="35" spans="1:10" ht="12.75" hidden="1">
      <c r="A35" s="105"/>
      <c r="B35" s="106"/>
      <c r="C35" s="115"/>
      <c r="D35" s="106" t="s">
        <v>396</v>
      </c>
      <c r="E35" s="106" t="s">
        <v>397</v>
      </c>
      <c r="F35" s="106" t="s">
        <v>397</v>
      </c>
      <c r="G35" s="114" t="s">
        <v>496</v>
      </c>
      <c r="H35" s="260">
        <f>+'[5]Egresos Programa III General'!C22</f>
        <v>0</v>
      </c>
      <c r="I35" s="237"/>
      <c r="J35" s="237"/>
    </row>
    <row r="36" spans="1:10" ht="12.75" hidden="1">
      <c r="A36" s="105"/>
      <c r="B36" s="106"/>
      <c r="C36" s="115"/>
      <c r="D36" s="106" t="s">
        <v>396</v>
      </c>
      <c r="E36" s="106" t="s">
        <v>397</v>
      </c>
      <c r="F36" s="106" t="s">
        <v>399</v>
      </c>
      <c r="G36" s="114" t="s">
        <v>495</v>
      </c>
      <c r="H36" s="260">
        <v>0</v>
      </c>
      <c r="I36" s="237"/>
      <c r="J36" s="237"/>
    </row>
    <row r="37" spans="1:10" ht="12.75" hidden="1">
      <c r="A37" s="105"/>
      <c r="B37" s="106"/>
      <c r="C37" s="115"/>
      <c r="D37" s="106" t="s">
        <v>396</v>
      </c>
      <c r="E37" s="106" t="s">
        <v>397</v>
      </c>
      <c r="F37" s="106" t="s">
        <v>393</v>
      </c>
      <c r="G37" s="114" t="str">
        <f>+'[5]Egresos Programa III General'!B24</f>
        <v>REHBILITACION DE LA RED VIAL CANTONAL</v>
      </c>
      <c r="H37" s="260">
        <f>+'[5]Egresos Programa III General'!C24</f>
        <v>0</v>
      </c>
      <c r="I37" s="237"/>
      <c r="J37" s="237"/>
    </row>
    <row r="38" spans="1:10" ht="12.75" hidden="1">
      <c r="A38" s="105"/>
      <c r="B38" s="106"/>
      <c r="C38" s="115"/>
      <c r="D38" s="106" t="s">
        <v>396</v>
      </c>
      <c r="E38" s="106" t="s">
        <v>397</v>
      </c>
      <c r="F38" s="106" t="s">
        <v>420</v>
      </c>
      <c r="G38" s="114" t="str">
        <f>+'[5]Egresos Programa III General'!B25</f>
        <v>COSTRUCCION DE RAMPAS PEATONALES</v>
      </c>
      <c r="H38" s="260">
        <f>+'[5]Egresos Programa III General'!C25</f>
        <v>0</v>
      </c>
      <c r="I38" s="237"/>
      <c r="J38" s="237"/>
    </row>
    <row r="39" spans="1:10" ht="25.5">
      <c r="A39" s="105"/>
      <c r="B39" s="180"/>
      <c r="C39" s="115"/>
      <c r="D39" s="106" t="s">
        <v>396</v>
      </c>
      <c r="E39" s="106" t="s">
        <v>397</v>
      </c>
      <c r="F39" s="106" t="s">
        <v>393</v>
      </c>
      <c r="G39" s="262" t="str">
        <f>+'[5]Egresos Programa III General'!B26</f>
        <v>CONSTRUCCION DE BOULEVAR COSTADO SUR CANCHA DE FUTBOL DE SAN RAFAEL</v>
      </c>
      <c r="H39" s="260">
        <f>+'[5]Egresos Programa III General'!C26</f>
        <v>10000000</v>
      </c>
      <c r="I39" s="245"/>
      <c r="J39" s="245"/>
    </row>
    <row r="40" spans="1:10" ht="25.5">
      <c r="A40" s="105"/>
      <c r="B40" s="106"/>
      <c r="C40" s="115"/>
      <c r="D40" s="106" t="s">
        <v>396</v>
      </c>
      <c r="E40" s="106" t="s">
        <v>420</v>
      </c>
      <c r="F40" s="106" t="s">
        <v>397</v>
      </c>
      <c r="G40" s="262" t="str">
        <f>+'[5]Egresos Programa III General'!B33</f>
        <v> MEJORA PLUVIALES CONECTOR PEATONAL EN CALLE RODRIGUEZ</v>
      </c>
      <c r="H40" s="260">
        <f>'[5]Egresos Programa III General'!C33</f>
        <v>12500000</v>
      </c>
      <c r="J40" s="240"/>
    </row>
    <row r="41" spans="1:10" ht="12.75">
      <c r="A41" s="105"/>
      <c r="B41" s="106"/>
      <c r="C41" s="115"/>
      <c r="D41" s="106" t="s">
        <v>396</v>
      </c>
      <c r="E41" s="106" t="s">
        <v>420</v>
      </c>
      <c r="F41" s="106" t="s">
        <v>393</v>
      </c>
      <c r="G41" s="114" t="str">
        <f>+'[5]Egresos Programa III General'!B35</f>
        <v> MEJORAS SISTEMA PLUVIAL CALLE PEDREGAL</v>
      </c>
      <c r="H41" s="130">
        <f>+'[5]Egresos Programa III General'!C35</f>
        <v>12500000</v>
      </c>
      <c r="J41" s="240"/>
    </row>
    <row r="42" spans="1:10" ht="30.75" customHeight="1">
      <c r="A42" s="105"/>
      <c r="B42" s="180"/>
      <c r="C42" s="115"/>
      <c r="D42" s="106" t="s">
        <v>396</v>
      </c>
      <c r="E42" s="106" t="s">
        <v>420</v>
      </c>
      <c r="F42" s="106" t="s">
        <v>420</v>
      </c>
      <c r="G42" s="262" t="str">
        <f>+'[5]Egresos Programa III General'!B37</f>
        <v>INSTALACION DE PANELES SOLARES EN EL LICEO SAN RAFAEL DE ALAJUELA</v>
      </c>
      <c r="H42" s="260">
        <f>+'[5]Egresos Programa III General'!C37</f>
        <v>15000000</v>
      </c>
      <c r="I42" s="245"/>
      <c r="J42" s="245"/>
    </row>
    <row r="43" spans="1:10" ht="30.75" customHeight="1" hidden="1">
      <c r="A43" s="105"/>
      <c r="B43" s="180"/>
      <c r="C43" s="115"/>
      <c r="D43" s="106" t="s">
        <v>396</v>
      </c>
      <c r="E43" s="106" t="s">
        <v>420</v>
      </c>
      <c r="F43" s="106" t="s">
        <v>400</v>
      </c>
      <c r="G43" s="262" t="str">
        <f>+'[5]Egresos Programa III General'!B40</f>
        <v>Cortes Pluviales del Este</v>
      </c>
      <c r="H43" s="260">
        <f>+'[5]Egresos Programa III General'!C40</f>
        <v>0</v>
      </c>
      <c r="I43" s="245"/>
      <c r="J43" s="245"/>
    </row>
    <row r="44" spans="1:10" ht="27" customHeight="1" hidden="1">
      <c r="A44" s="105"/>
      <c r="B44" s="106"/>
      <c r="C44" s="115"/>
      <c r="D44" s="106" t="s">
        <v>396</v>
      </c>
      <c r="E44" s="106" t="s">
        <v>405</v>
      </c>
      <c r="F44" s="106" t="s">
        <v>390</v>
      </c>
      <c r="G44" s="114" t="s">
        <v>493</v>
      </c>
      <c r="H44" s="260">
        <v>0</v>
      </c>
      <c r="I44" s="237"/>
      <c r="J44" s="237"/>
    </row>
    <row r="45" spans="1:10" ht="12.75">
      <c r="A45" s="105"/>
      <c r="B45" s="106"/>
      <c r="C45" s="115"/>
      <c r="D45" s="106" t="s">
        <v>396</v>
      </c>
      <c r="E45" s="106" t="s">
        <v>405</v>
      </c>
      <c r="F45" s="106" t="s">
        <v>399</v>
      </c>
      <c r="G45" s="212" t="str">
        <f>+'[5]Egresos Programa III General'!B50</f>
        <v>PLAN ESTRATEGICO INFORMATICO</v>
      </c>
      <c r="H45" s="260">
        <f>+'[5]Egresos Programa III General'!C50</f>
        <v>60000000</v>
      </c>
      <c r="I45" s="237"/>
      <c r="J45" s="237"/>
    </row>
    <row r="46" spans="1:10" ht="12.75">
      <c r="A46" s="105"/>
      <c r="B46" s="106"/>
      <c r="C46" s="115"/>
      <c r="D46" s="106" t="s">
        <v>396</v>
      </c>
      <c r="E46" s="106" t="s">
        <v>405</v>
      </c>
      <c r="F46" s="106" t="s">
        <v>420</v>
      </c>
      <c r="G46" s="212" t="str">
        <f>+'[5]Egresos Programa III General'!B52</f>
        <v>ALAJUELA CIUDAD SEGURA</v>
      </c>
      <c r="H46" s="148">
        <f>55119599.62+11800000</f>
        <v>66919599.62</v>
      </c>
      <c r="I46" s="245"/>
      <c r="J46" s="245"/>
    </row>
    <row r="47" spans="1:10" ht="25.5">
      <c r="A47" s="105"/>
      <c r="B47" s="106"/>
      <c r="C47" s="115"/>
      <c r="D47" s="106" t="s">
        <v>396</v>
      </c>
      <c r="E47" s="106" t="s">
        <v>405</v>
      </c>
      <c r="F47" s="106" t="s">
        <v>405</v>
      </c>
      <c r="G47" s="212" t="str">
        <f>+'[5]Egresos Programa III General'!B53</f>
        <v> EQUIPAMIENTO SALON MULTIUSOS URB.LAS MELISAS</v>
      </c>
      <c r="H47" s="260">
        <f>+'[5]Egresos Programa III General'!C53</f>
        <v>5000000</v>
      </c>
      <c r="I47" s="237"/>
      <c r="J47" s="237"/>
    </row>
    <row r="48" spans="1:10" ht="25.5">
      <c r="A48" s="105"/>
      <c r="B48" s="106"/>
      <c r="C48" s="115"/>
      <c r="D48" s="106" t="s">
        <v>396</v>
      </c>
      <c r="E48" s="106" t="s">
        <v>405</v>
      </c>
      <c r="F48" s="106" t="s">
        <v>400</v>
      </c>
      <c r="G48" s="212" t="str">
        <f>+'[5]Egresos Programa III General'!B54</f>
        <v>CONSTRUCCION SKATE PARK BARRIO CORAZON DE JESUS</v>
      </c>
      <c r="H48" s="260">
        <f>+'[5]Egresos Programa III General'!C54</f>
        <v>15000000</v>
      </c>
      <c r="I48" s="237"/>
      <c r="J48" s="237"/>
    </row>
    <row r="49" spans="1:10" ht="25.5">
      <c r="A49" s="105"/>
      <c r="B49" s="106"/>
      <c r="C49" s="115"/>
      <c r="D49" s="106" t="s">
        <v>396</v>
      </c>
      <c r="E49" s="106" t="s">
        <v>405</v>
      </c>
      <c r="F49" s="106" t="s">
        <v>585</v>
      </c>
      <c r="G49" s="212" t="str">
        <f>+'[5]Egresos Programa III General'!B55</f>
        <v>EQUIPAMIENTO ESCUELA JULIO FERNANDEZ RODRIGUEZ, SAN RAFAEL </v>
      </c>
      <c r="H49" s="260">
        <f>+'[5]Egresos Programa III General'!C55</f>
        <v>13000000</v>
      </c>
      <c r="I49" s="237"/>
      <c r="J49" s="237"/>
    </row>
    <row r="50" spans="1:10" ht="12.75">
      <c r="A50" s="105"/>
      <c r="B50" s="106"/>
      <c r="C50" s="115"/>
      <c r="D50" s="106" t="s">
        <v>396</v>
      </c>
      <c r="E50" s="106" t="s">
        <v>405</v>
      </c>
      <c r="F50" s="106" t="s">
        <v>395</v>
      </c>
      <c r="G50" s="114" t="str">
        <f>+'[5]Egresos Programa III General'!B56</f>
        <v>EQUIPAMENTO DEL CTP DE SAN RAFAEL</v>
      </c>
      <c r="H50" s="260">
        <f>+'[5]Egresos Programa III General'!C56</f>
        <v>10000000</v>
      </c>
      <c r="I50" s="237"/>
      <c r="J50" s="237"/>
    </row>
    <row r="51" spans="1:10" ht="12.75">
      <c r="A51" s="105"/>
      <c r="B51" s="106"/>
      <c r="C51" s="115"/>
      <c r="D51" s="106" t="s">
        <v>396</v>
      </c>
      <c r="E51" s="106" t="s">
        <v>405</v>
      </c>
      <c r="F51" s="106">
        <v>10</v>
      </c>
      <c r="G51" s="212" t="str">
        <f>+'[5]Egresos Programa III General'!B57</f>
        <v>EQUIPAMENTO URBANO EN BARIIO LA CALIFORNIA</v>
      </c>
      <c r="H51" s="260">
        <f>+'[5]Egresos Programa III General'!C57</f>
        <v>5000000</v>
      </c>
      <c r="I51" s="237"/>
      <c r="J51" s="237"/>
    </row>
    <row r="52" spans="1:10" ht="25.5">
      <c r="A52" s="105"/>
      <c r="B52" s="106"/>
      <c r="C52" s="115"/>
      <c r="D52" s="106" t="s">
        <v>396</v>
      </c>
      <c r="E52" s="106" t="s">
        <v>405</v>
      </c>
      <c r="F52" s="106">
        <v>11</v>
      </c>
      <c r="G52" s="212" t="str">
        <f>+'[5]Egresos Programa III General'!B58</f>
        <v>EMBELLECIMIENTO AREAS VERDES URBANIZACION EL FUTURO</v>
      </c>
      <c r="H52" s="260">
        <f>+'[5]Egresos Programa III General'!C58</f>
        <v>30000000</v>
      </c>
      <c r="I52" s="237"/>
      <c r="J52" s="237"/>
    </row>
    <row r="53" spans="1:10" ht="25.5">
      <c r="A53" s="105"/>
      <c r="B53" s="106"/>
      <c r="C53" s="115"/>
      <c r="D53" s="106" t="s">
        <v>396</v>
      </c>
      <c r="E53" s="106" t="s">
        <v>405</v>
      </c>
      <c r="F53" s="106">
        <v>14</v>
      </c>
      <c r="G53" s="212" t="str">
        <f>+'[5]Egresos Programa III General'!B61</f>
        <v> EQUIPAMIENTO PARQUE INFANTIL URBANIZACION LA PERLA</v>
      </c>
      <c r="H53" s="260">
        <f>+'[5]Egresos Programa III General'!C61</f>
        <v>5000000</v>
      </c>
      <c r="I53" s="237"/>
      <c r="J53" s="237"/>
    </row>
    <row r="54" spans="1:10" ht="25.5">
      <c r="A54" s="105"/>
      <c r="B54" s="106"/>
      <c r="C54" s="115"/>
      <c r="D54" s="106" t="s">
        <v>396</v>
      </c>
      <c r="E54" s="106" t="s">
        <v>405</v>
      </c>
      <c r="F54" s="106">
        <v>15</v>
      </c>
      <c r="G54" s="212" t="str">
        <f>+'[5]Egresos Programa III General'!B62</f>
        <v>MEJORAS EN EL PARQUE VERDE Y CONSTRUCCION  DE RAMPAS SKATE</v>
      </c>
      <c r="H54" s="260">
        <f>+'[5]Egresos Programa III General'!C62</f>
        <v>30000000</v>
      </c>
      <c r="I54" s="237"/>
      <c r="J54" s="237"/>
    </row>
    <row r="55" spans="1:10" ht="12.75">
      <c r="A55" s="105"/>
      <c r="B55" s="106"/>
      <c r="C55" s="115"/>
      <c r="D55" s="106" t="s">
        <v>396</v>
      </c>
      <c r="E55" s="106" t="s">
        <v>405</v>
      </c>
      <c r="F55" s="106">
        <v>16</v>
      </c>
      <c r="G55" s="212" t="str">
        <f>+'[5]Egresos Programa III General'!B63</f>
        <v>EQUIPAMIENTO ESCUELA ERMIDA BLANCO</v>
      </c>
      <c r="H55" s="148">
        <f>+'[5]Egresos Programa III General'!C63</f>
        <v>3444390</v>
      </c>
      <c r="I55" s="245"/>
      <c r="J55" s="245"/>
    </row>
    <row r="56" spans="1:10" ht="25.5">
      <c r="A56" s="105"/>
      <c r="B56" s="106"/>
      <c r="C56" s="115"/>
      <c r="D56" s="106" t="s">
        <v>396</v>
      </c>
      <c r="E56" s="106" t="s">
        <v>400</v>
      </c>
      <c r="F56" s="106"/>
      <c r="G56" s="212" t="s">
        <v>512</v>
      </c>
      <c r="H56" s="260">
        <f>182946287.76+22000000</f>
        <v>204946287.76</v>
      </c>
      <c r="I56" s="237"/>
      <c r="J56" s="237"/>
    </row>
    <row r="57" spans="1:12" s="120" customFormat="1" ht="12.75">
      <c r="A57" s="118"/>
      <c r="B57" s="113"/>
      <c r="C57" s="115"/>
      <c r="D57" s="106" t="s">
        <v>396</v>
      </c>
      <c r="E57" s="106" t="s">
        <v>400</v>
      </c>
      <c r="F57" s="106"/>
      <c r="G57" s="114" t="s">
        <v>401</v>
      </c>
      <c r="H57" s="260">
        <f>1103894271.44+410000000-H95-H202-H118</f>
        <v>1495067772.18</v>
      </c>
      <c r="I57" s="237"/>
      <c r="J57" s="237"/>
      <c r="K57" s="415"/>
      <c r="L57" s="119"/>
    </row>
    <row r="58" spans="1:12" s="120" customFormat="1" ht="13.5" thickBot="1">
      <c r="A58" s="107"/>
      <c r="B58" s="108"/>
      <c r="C58" s="176"/>
      <c r="D58" s="175" t="s">
        <v>396</v>
      </c>
      <c r="E58" s="175" t="s">
        <v>400</v>
      </c>
      <c r="F58" s="175"/>
      <c r="G58" s="177" t="s">
        <v>652</v>
      </c>
      <c r="H58" s="278">
        <v>114545835.5</v>
      </c>
      <c r="I58" s="237"/>
      <c r="J58" s="237"/>
      <c r="K58" s="415"/>
      <c r="L58" s="119"/>
    </row>
    <row r="59" spans="1:12" s="126" customFormat="1" ht="13.5" thickBot="1">
      <c r="A59" s="121" t="s">
        <v>402</v>
      </c>
      <c r="B59" s="158"/>
      <c r="C59" s="122">
        <f>SUM(C9)</f>
        <v>5915000000</v>
      </c>
      <c r="D59" s="123"/>
      <c r="E59" s="123"/>
      <c r="F59" s="123"/>
      <c r="G59" s="124"/>
      <c r="H59" s="336">
        <f>SUM(H10:H58)</f>
        <v>5915000000.010394</v>
      </c>
      <c r="I59" s="238">
        <f>+C59-H59</f>
        <v>-0.010394096374511719</v>
      </c>
      <c r="J59" s="238"/>
      <c r="K59" s="416"/>
      <c r="L59" s="125"/>
    </row>
    <row r="60" spans="1:10" ht="13.5" hidden="1" thickBot="1">
      <c r="A60" s="279"/>
      <c r="B60" s="235"/>
      <c r="C60" s="236"/>
      <c r="D60" s="102"/>
      <c r="E60" s="102"/>
      <c r="F60" s="102"/>
      <c r="G60" s="172"/>
      <c r="H60" s="173"/>
      <c r="I60" s="181"/>
      <c r="J60" s="181"/>
    </row>
    <row r="61" spans="1:10" ht="13.5" hidden="1" thickBot="1">
      <c r="A61" s="112" t="str">
        <f>+'[5]Clasific. Económica de Ingresos'!A17</f>
        <v>1.1.2.2.02.00.0.0.000</v>
      </c>
      <c r="B61" s="160" t="s">
        <v>403</v>
      </c>
      <c r="C61" s="115">
        <f>SUM('[5]Clasific. Económica de Ingresos'!C17)</f>
        <v>0</v>
      </c>
      <c r="D61" s="106"/>
      <c r="E61" s="106"/>
      <c r="F61" s="106"/>
      <c r="G61" s="114"/>
      <c r="H61" s="148"/>
      <c r="I61" s="181"/>
      <c r="J61" s="181"/>
    </row>
    <row r="62" spans="1:10" ht="13.5" hidden="1" thickBot="1">
      <c r="A62" s="128"/>
      <c r="B62" s="239"/>
      <c r="C62" s="129"/>
      <c r="D62" s="106" t="s">
        <v>389</v>
      </c>
      <c r="E62" s="106" t="s">
        <v>390</v>
      </c>
      <c r="F62" s="106" t="s">
        <v>391</v>
      </c>
      <c r="G62" s="114" t="s">
        <v>392</v>
      </c>
      <c r="H62" s="260">
        <v>0</v>
      </c>
      <c r="I62" s="240"/>
      <c r="J62" s="240"/>
    </row>
    <row r="63" spans="1:10" ht="13.5" hidden="1" thickBot="1">
      <c r="A63" s="118"/>
      <c r="B63" s="113"/>
      <c r="C63" s="115"/>
      <c r="D63" s="106" t="s">
        <v>389</v>
      </c>
      <c r="E63" s="106" t="s">
        <v>393</v>
      </c>
      <c r="F63" s="106" t="s">
        <v>391</v>
      </c>
      <c r="G63" s="114" t="str">
        <f>+'[5]ProgramaI'!B24</f>
        <v>Aporte Junta Admva.Registro Nac. Ley 7509y 7729</v>
      </c>
      <c r="H63" s="260">
        <f>+'[5]RELACION INGRESO GASTO DET.15'!I51</f>
        <v>0</v>
      </c>
      <c r="I63" s="240"/>
      <c r="J63" s="240"/>
    </row>
    <row r="64" spans="1:10" ht="13.5" hidden="1" thickBot="1">
      <c r="A64" s="118"/>
      <c r="B64" s="113"/>
      <c r="C64" s="115"/>
      <c r="D64" s="106" t="s">
        <v>389</v>
      </c>
      <c r="E64" s="106" t="s">
        <v>393</v>
      </c>
      <c r="F64" s="106" t="s">
        <v>391</v>
      </c>
      <c r="G64" s="114" t="str">
        <f>+'[5]ProgramaI'!B28</f>
        <v>Aporte a IFAM, Ley Nº 7509 </v>
      </c>
      <c r="H64" s="260">
        <f>+'[5]RELACION INGRESO GASTO DET.15'!I47</f>
        <v>0</v>
      </c>
      <c r="I64" s="240"/>
      <c r="J64" s="240"/>
    </row>
    <row r="65" spans="1:10" ht="13.5" hidden="1" thickBot="1">
      <c r="A65" s="118"/>
      <c r="B65" s="113"/>
      <c r="C65" s="115"/>
      <c r="D65" s="106" t="s">
        <v>389</v>
      </c>
      <c r="E65" s="106" t="s">
        <v>393</v>
      </c>
      <c r="F65" s="106" t="s">
        <v>391</v>
      </c>
      <c r="G65" s="114" t="str">
        <f>+'[5]ProgramaI'!B29</f>
        <v>Juntas de Educación, Ley 7509 y 7729</v>
      </c>
      <c r="H65" s="260">
        <f>+'[5]RELACION INGRESO GASTO DET.15'!I39</f>
        <v>0</v>
      </c>
      <c r="I65" s="240"/>
      <c r="J65" s="240"/>
    </row>
    <row r="66" spans="1:10" ht="13.5" hidden="1" thickBot="1">
      <c r="A66" s="118"/>
      <c r="B66" s="113"/>
      <c r="C66" s="115"/>
      <c r="D66" s="106" t="s">
        <v>389</v>
      </c>
      <c r="E66" s="106" t="s">
        <v>393</v>
      </c>
      <c r="F66" s="131" t="s">
        <v>146</v>
      </c>
      <c r="G66" s="114" t="str">
        <f>+'[5]Programa III'!B33</f>
        <v>IFAM Ley 7509</v>
      </c>
      <c r="H66" s="260">
        <f>+'[5]RELACION INGRESO GASTO DET.15'!I42</f>
        <v>0</v>
      </c>
      <c r="I66" s="240"/>
      <c r="J66" s="240"/>
    </row>
    <row r="67" spans="1:10" ht="13.5" hidden="1" thickBot="1">
      <c r="A67" s="118"/>
      <c r="B67" s="113"/>
      <c r="C67" s="115"/>
      <c r="D67" s="106" t="s">
        <v>389</v>
      </c>
      <c r="E67" s="106" t="s">
        <v>393</v>
      </c>
      <c r="F67" s="106" t="s">
        <v>391</v>
      </c>
      <c r="G67" s="114" t="str">
        <f>+'[5]Programa III'!B36</f>
        <v>Fondo de Desarrollo Municipal Ley 7509</v>
      </c>
      <c r="H67" s="260">
        <f>+'[5]RELACION INGRESO GASTO DET.15'!I48</f>
        <v>0</v>
      </c>
      <c r="I67" s="240"/>
      <c r="J67" s="240"/>
    </row>
    <row r="68" spans="1:12" s="120" customFormat="1" ht="13.5" hidden="1" thickBot="1">
      <c r="A68" s="118"/>
      <c r="B68" s="113"/>
      <c r="C68" s="115"/>
      <c r="D68" s="106" t="s">
        <v>396</v>
      </c>
      <c r="E68" s="106" t="s">
        <v>400</v>
      </c>
      <c r="F68" s="106"/>
      <c r="G68" s="114" t="s">
        <v>479</v>
      </c>
      <c r="H68" s="260">
        <v>0</v>
      </c>
      <c r="I68" s="240"/>
      <c r="J68" s="240"/>
      <c r="K68" s="415"/>
      <c r="L68" s="119"/>
    </row>
    <row r="69" spans="1:12" s="126" customFormat="1" ht="13.5" hidden="1" thickBot="1">
      <c r="A69" s="121" t="s">
        <v>402</v>
      </c>
      <c r="B69" s="158"/>
      <c r="C69" s="122">
        <f>SUM(C61:C68)</f>
        <v>0</v>
      </c>
      <c r="D69" s="123"/>
      <c r="E69" s="123"/>
      <c r="F69" s="123"/>
      <c r="G69" s="124"/>
      <c r="H69" s="132">
        <f>SUM(H62:H68)</f>
        <v>0</v>
      </c>
      <c r="I69" s="238">
        <f>+C69-H69</f>
        <v>0</v>
      </c>
      <c r="J69" s="241"/>
      <c r="K69" s="416"/>
      <c r="L69" s="125"/>
    </row>
    <row r="70" spans="1:12" s="138" customFormat="1" ht="38.25">
      <c r="A70" s="347" t="str">
        <f>+'[5]Clasific. Económica de Ingresos'!A23</f>
        <v>1.1.3.2.01.02.0.0.001</v>
      </c>
      <c r="B70" s="348" t="s">
        <v>404</v>
      </c>
      <c r="C70" s="349">
        <f>SUM('[5]Clasific. Económica de Ingresos'!C23)</f>
        <v>120000000</v>
      </c>
      <c r="D70" s="276"/>
      <c r="E70" s="276"/>
      <c r="F70" s="276"/>
      <c r="G70" s="284"/>
      <c r="H70" s="292"/>
      <c r="I70" s="242"/>
      <c r="J70" s="242"/>
      <c r="K70" s="414"/>
      <c r="L70" s="137"/>
    </row>
    <row r="71" spans="1:12" s="138" customFormat="1" ht="13.5" thickBot="1">
      <c r="A71" s="133"/>
      <c r="B71" s="165"/>
      <c r="C71" s="40"/>
      <c r="D71" s="134" t="s">
        <v>396</v>
      </c>
      <c r="E71" s="134" t="s">
        <v>405</v>
      </c>
      <c r="F71" s="134"/>
      <c r="G71" s="135" t="str">
        <f>+'[5]Egresos Programa III General'!B52</f>
        <v>ALAJUELA CIUDAD SEGURA</v>
      </c>
      <c r="H71" s="136">
        <v>120000000</v>
      </c>
      <c r="I71" s="242"/>
      <c r="J71" s="242"/>
      <c r="K71" s="414"/>
      <c r="L71" s="137"/>
    </row>
    <row r="72" spans="1:12" s="138" customFormat="1" ht="13.5" hidden="1" thickBot="1">
      <c r="A72" s="133"/>
      <c r="B72" s="152"/>
      <c r="C72" s="40"/>
      <c r="D72" s="134" t="s">
        <v>396</v>
      </c>
      <c r="E72" s="134" t="s">
        <v>400</v>
      </c>
      <c r="F72" s="151"/>
      <c r="G72" s="135" t="s">
        <v>401</v>
      </c>
      <c r="H72" s="136"/>
      <c r="I72" s="242"/>
      <c r="J72" s="242"/>
      <c r="K72" s="414"/>
      <c r="L72" s="137"/>
    </row>
    <row r="73" spans="1:12" s="138" customFormat="1" ht="13.5" hidden="1" thickBot="1">
      <c r="A73" s="286"/>
      <c r="B73" s="288"/>
      <c r="C73" s="287"/>
      <c r="D73" s="288" t="s">
        <v>396</v>
      </c>
      <c r="E73" s="288" t="s">
        <v>405</v>
      </c>
      <c r="F73" s="288" t="s">
        <v>405</v>
      </c>
      <c r="G73" s="290" t="s">
        <v>480</v>
      </c>
      <c r="H73" s="337">
        <v>0</v>
      </c>
      <c r="I73" s="243"/>
      <c r="J73" s="243"/>
      <c r="K73" s="414"/>
      <c r="L73" s="137"/>
    </row>
    <row r="74" spans="1:12" s="145" customFormat="1" ht="13.5" thickBot="1">
      <c r="A74" s="281" t="s">
        <v>402</v>
      </c>
      <c r="B74" s="282"/>
      <c r="C74" s="283">
        <f>SUM(C70:C70)</f>
        <v>120000000</v>
      </c>
      <c r="D74" s="276"/>
      <c r="E74" s="276"/>
      <c r="F74" s="276"/>
      <c r="G74" s="284"/>
      <c r="H74" s="285">
        <f>SUM(H71:H73)</f>
        <v>120000000</v>
      </c>
      <c r="I74" s="244">
        <f>+C74-H74</f>
        <v>0</v>
      </c>
      <c r="J74" s="8"/>
      <c r="K74" s="417"/>
      <c r="L74" s="144"/>
    </row>
    <row r="75" spans="1:10" ht="12.75">
      <c r="A75" s="169"/>
      <c r="B75" s="170"/>
      <c r="C75" s="171"/>
      <c r="D75" s="102"/>
      <c r="E75" s="102"/>
      <c r="F75" s="102"/>
      <c r="G75" s="172"/>
      <c r="H75" s="271"/>
      <c r="I75" s="245"/>
      <c r="J75" s="245"/>
    </row>
    <row r="76" spans="1:10" ht="12.75">
      <c r="A76" s="105" t="str">
        <f>+'[5]Clasific. Económica de Ingresos'!A25</f>
        <v>1.1.3.2.01.04.0.0.000</v>
      </c>
      <c r="B76" s="157" t="s">
        <v>406</v>
      </c>
      <c r="C76" s="115">
        <f>+'[5]Clasific. Económica de Ingresos'!C24</f>
        <v>5000000</v>
      </c>
      <c r="D76" s="106"/>
      <c r="E76" s="106"/>
      <c r="F76" s="106"/>
      <c r="G76" s="114"/>
      <c r="H76" s="257"/>
      <c r="I76" s="245"/>
      <c r="J76" s="245"/>
    </row>
    <row r="77" spans="1:11" ht="13.5" thickBot="1">
      <c r="A77" s="105"/>
      <c r="B77" s="106"/>
      <c r="C77" s="115"/>
      <c r="D77" s="106" t="s">
        <v>396</v>
      </c>
      <c r="E77" s="106" t="s">
        <v>397</v>
      </c>
      <c r="F77" s="106" t="s">
        <v>390</v>
      </c>
      <c r="G77" s="114" t="s">
        <v>398</v>
      </c>
      <c r="H77" s="260">
        <v>5000000</v>
      </c>
      <c r="I77" s="240"/>
      <c r="J77" s="240"/>
      <c r="K77" s="104"/>
    </row>
    <row r="78" spans="1:12" s="126" customFormat="1" ht="13.5" thickBot="1">
      <c r="A78" s="121" t="s">
        <v>402</v>
      </c>
      <c r="B78" s="158"/>
      <c r="C78" s="122">
        <f>SUM(C76:C77)</f>
        <v>5000000</v>
      </c>
      <c r="D78" s="123"/>
      <c r="E78" s="123"/>
      <c r="F78" s="123"/>
      <c r="G78" s="124"/>
      <c r="H78" s="342">
        <f>SUM(H77:H77)</f>
        <v>5000000</v>
      </c>
      <c r="I78" s="238">
        <f>+C78-H78</f>
        <v>0</v>
      </c>
      <c r="J78" s="241"/>
      <c r="K78" s="416"/>
      <c r="L78" s="125"/>
    </row>
    <row r="79" spans="1:12" s="138" customFormat="1" ht="12.75">
      <c r="A79" s="133"/>
      <c r="B79" s="134"/>
      <c r="C79" s="40"/>
      <c r="D79" s="134"/>
      <c r="E79" s="134"/>
      <c r="F79" s="134"/>
      <c r="G79" s="152"/>
      <c r="H79" s="139"/>
      <c r="I79" s="243"/>
      <c r="J79" s="243"/>
      <c r="K79" s="414"/>
      <c r="L79" s="137"/>
    </row>
    <row r="80" spans="1:12" s="138" customFormat="1" ht="12.75">
      <c r="A80" s="133" t="str">
        <f>+'[5]Clasific. Económica de Ingresos'!A26</f>
        <v>1.1.3.2.01.05.0.0.000</v>
      </c>
      <c r="B80" s="165" t="s">
        <v>407</v>
      </c>
      <c r="C80" s="40">
        <f>SUM('[5]Clasific. Económica de Ingresos'!C26)</f>
        <v>747000000</v>
      </c>
      <c r="D80" s="134"/>
      <c r="E80" s="134"/>
      <c r="F80" s="134"/>
      <c r="G80" s="135"/>
      <c r="H80" s="136"/>
      <c r="I80" s="242"/>
      <c r="J80" s="242"/>
      <c r="K80" s="414"/>
      <c r="L80" s="137"/>
    </row>
    <row r="81" spans="1:12" s="138" customFormat="1" ht="12.75">
      <c r="A81" s="133"/>
      <c r="B81" s="165"/>
      <c r="C81" s="40"/>
      <c r="D81" s="134" t="s">
        <v>389</v>
      </c>
      <c r="E81" s="134" t="s">
        <v>390</v>
      </c>
      <c r="F81" s="151" t="s">
        <v>391</v>
      </c>
      <c r="G81" s="135" t="s">
        <v>392</v>
      </c>
      <c r="H81" s="136">
        <v>742000000</v>
      </c>
      <c r="I81" s="242"/>
      <c r="J81" s="242"/>
      <c r="K81" s="414"/>
      <c r="L81" s="137"/>
    </row>
    <row r="82" spans="1:12" s="138" customFormat="1" ht="12.75" hidden="1">
      <c r="A82" s="133"/>
      <c r="B82" s="152"/>
      <c r="C82" s="40"/>
      <c r="D82" s="134" t="s">
        <v>396</v>
      </c>
      <c r="E82" s="134" t="s">
        <v>397</v>
      </c>
      <c r="F82" s="134" t="s">
        <v>399</v>
      </c>
      <c r="G82" s="135" t="s">
        <v>563</v>
      </c>
      <c r="H82" s="136">
        <v>0</v>
      </c>
      <c r="I82" s="242"/>
      <c r="J82" s="242"/>
      <c r="K82" s="414"/>
      <c r="L82" s="137"/>
    </row>
    <row r="83" spans="1:12" s="138" customFormat="1" ht="25.5">
      <c r="A83" s="133"/>
      <c r="B83" s="134"/>
      <c r="C83" s="40"/>
      <c r="D83" s="134" t="s">
        <v>396</v>
      </c>
      <c r="E83" s="134" t="s">
        <v>405</v>
      </c>
      <c r="F83" s="134">
        <v>13</v>
      </c>
      <c r="G83" s="152" t="str">
        <f>+'[5]Egresos Programa III General'!B60</f>
        <v>INSTALACION DE JUEGOS INFANTILES BARRIO LOS ANGELES DE SAN RAFAEL</v>
      </c>
      <c r="H83" s="139">
        <f>+'[5]Egresos Programa III General'!C60</f>
        <v>5000000</v>
      </c>
      <c r="I83" s="243"/>
      <c r="J83" s="243"/>
      <c r="K83" s="414"/>
      <c r="L83" s="137"/>
    </row>
    <row r="84" spans="1:12" s="138" customFormat="1" ht="15" customHeight="1" hidden="1">
      <c r="A84" s="133"/>
      <c r="B84" s="134"/>
      <c r="C84" s="40"/>
      <c r="D84" s="134" t="s">
        <v>396</v>
      </c>
      <c r="E84" s="134" t="s">
        <v>405</v>
      </c>
      <c r="F84" s="134" t="s">
        <v>390</v>
      </c>
      <c r="G84" s="152" t="s">
        <v>410</v>
      </c>
      <c r="H84" s="139">
        <v>0</v>
      </c>
      <c r="I84" s="243"/>
      <c r="J84" s="243"/>
      <c r="K84" s="414"/>
      <c r="L84" s="137"/>
    </row>
    <row r="85" spans="1:12" s="138" customFormat="1" ht="15" customHeight="1" hidden="1" thickBot="1">
      <c r="A85" s="286"/>
      <c r="B85" s="288"/>
      <c r="C85" s="287"/>
      <c r="D85" s="288" t="s">
        <v>396</v>
      </c>
      <c r="E85" s="288" t="s">
        <v>400</v>
      </c>
      <c r="F85" s="289"/>
      <c r="G85" s="290" t="s">
        <v>479</v>
      </c>
      <c r="H85" s="337">
        <v>0</v>
      </c>
      <c r="I85" s="243"/>
      <c r="J85" s="243"/>
      <c r="K85" s="414"/>
      <c r="L85" s="137"/>
    </row>
    <row r="86" spans="1:12" s="145" customFormat="1" ht="13.5" thickBot="1">
      <c r="A86" s="338" t="s">
        <v>402</v>
      </c>
      <c r="B86" s="339"/>
      <c r="C86" s="8">
        <f>SUM(C80:C80)</f>
        <v>747000000</v>
      </c>
      <c r="D86" s="134"/>
      <c r="E86" s="134"/>
      <c r="F86" s="134"/>
      <c r="G86" s="135"/>
      <c r="H86" s="340">
        <f>SUM(H81:H85)</f>
        <v>747000000</v>
      </c>
      <c r="I86" s="244">
        <f>+C86-H86</f>
        <v>0</v>
      </c>
      <c r="J86" s="8"/>
      <c r="K86" s="417"/>
      <c r="L86" s="144"/>
    </row>
    <row r="87" spans="1:12" s="138" customFormat="1" ht="12.75">
      <c r="A87" s="291"/>
      <c r="B87" s="284"/>
      <c r="C87" s="284"/>
      <c r="D87" s="276"/>
      <c r="E87" s="276"/>
      <c r="F87" s="276"/>
      <c r="G87" s="284"/>
      <c r="H87" s="292"/>
      <c r="I87" s="242"/>
      <c r="J87" s="242"/>
      <c r="K87" s="414"/>
      <c r="L87" s="137"/>
    </row>
    <row r="88" spans="1:12" s="138" customFormat="1" ht="26.25" customHeight="1">
      <c r="A88" s="133" t="str">
        <f>+'[5]Clasific. Económica de Ingresos'!A29</f>
        <v>1.1.3.2.02.09.0.0.000</v>
      </c>
      <c r="B88" s="152" t="s">
        <v>411</v>
      </c>
      <c r="C88" s="40">
        <f>SUM('[5]INGRESOS LIBRES DETALLE Nº17'!H132)</f>
        <v>40000000</v>
      </c>
      <c r="D88" s="134"/>
      <c r="E88" s="134"/>
      <c r="F88" s="134"/>
      <c r="G88" s="135"/>
      <c r="H88" s="136"/>
      <c r="I88" s="242"/>
      <c r="J88" s="242"/>
      <c r="K88" s="414"/>
      <c r="L88" s="137"/>
    </row>
    <row r="89" spans="1:12" s="138" customFormat="1" ht="12.75" customHeight="1" thickBot="1">
      <c r="A89" s="133"/>
      <c r="B89" s="134"/>
      <c r="C89" s="40"/>
      <c r="D89" s="134" t="s">
        <v>389</v>
      </c>
      <c r="E89" s="134" t="s">
        <v>390</v>
      </c>
      <c r="F89" s="151" t="s">
        <v>391</v>
      </c>
      <c r="G89" s="135" t="s">
        <v>392</v>
      </c>
      <c r="H89" s="136">
        <v>40000000</v>
      </c>
      <c r="I89" s="243"/>
      <c r="J89" s="243"/>
      <c r="K89" s="414"/>
      <c r="L89" s="137"/>
    </row>
    <row r="90" spans="1:12" s="138" customFormat="1" ht="13.5" hidden="1" thickBot="1">
      <c r="A90" s="133"/>
      <c r="B90" s="134"/>
      <c r="C90" s="40"/>
      <c r="D90" s="134" t="s">
        <v>389</v>
      </c>
      <c r="E90" s="134" t="s">
        <v>393</v>
      </c>
      <c r="F90" s="134"/>
      <c r="G90" s="135" t="str">
        <f>+'[5]ProgramaI'!B32</f>
        <v>Comité Cantonal Deportes y Recreación </v>
      </c>
      <c r="H90" s="136">
        <v>0</v>
      </c>
      <c r="I90" s="243"/>
      <c r="J90" s="243"/>
      <c r="K90" s="414"/>
      <c r="L90" s="137"/>
    </row>
    <row r="91" spans="1:12" s="138" customFormat="1" ht="13.5" hidden="1" thickBot="1">
      <c r="A91" s="133"/>
      <c r="B91" s="134"/>
      <c r="C91" s="40"/>
      <c r="D91" s="134" t="s">
        <v>396</v>
      </c>
      <c r="E91" s="134" t="s">
        <v>395</v>
      </c>
      <c r="F91" s="151"/>
      <c r="G91" s="135" t="s">
        <v>479</v>
      </c>
      <c r="H91" s="136">
        <v>0</v>
      </c>
      <c r="I91" s="243"/>
      <c r="J91" s="243"/>
      <c r="K91" s="414"/>
      <c r="L91" s="137"/>
    </row>
    <row r="92" spans="1:12" s="138" customFormat="1" ht="13.5" thickBot="1">
      <c r="A92" s="281" t="s">
        <v>402</v>
      </c>
      <c r="B92" s="282"/>
      <c r="C92" s="283">
        <f>SUM(C88:C89)</f>
        <v>40000000</v>
      </c>
      <c r="D92" s="276"/>
      <c r="E92" s="276"/>
      <c r="F92" s="276"/>
      <c r="G92" s="284"/>
      <c r="H92" s="285">
        <f>SUM(H89:H91)</f>
        <v>40000000</v>
      </c>
      <c r="I92" s="244">
        <f>+C92-H92</f>
        <v>0</v>
      </c>
      <c r="J92" s="8"/>
      <c r="K92" s="414"/>
      <c r="L92" s="137"/>
    </row>
    <row r="93" spans="1:12" s="138" customFormat="1" ht="12.75">
      <c r="A93" s="293" t="s">
        <v>146</v>
      </c>
      <c r="B93" s="294"/>
      <c r="C93" s="295"/>
      <c r="D93" s="276"/>
      <c r="E93" s="276"/>
      <c r="F93" s="276"/>
      <c r="G93" s="284"/>
      <c r="H93" s="296"/>
      <c r="I93" s="243"/>
      <c r="J93" s="243"/>
      <c r="K93" s="414"/>
      <c r="L93" s="137"/>
    </row>
    <row r="94" spans="1:12" s="138" customFormat="1" ht="12.75">
      <c r="A94" s="133" t="str">
        <f>+'[5]Clasific. Económica de Ingresos'!A33</f>
        <v>1.1.3.3.01.01.0.0.000</v>
      </c>
      <c r="B94" s="165" t="s">
        <v>412</v>
      </c>
      <c r="C94" s="40">
        <f>SUM('[5]Clasific. Económica de Ingresos'!C33)</f>
        <v>1200000</v>
      </c>
      <c r="D94" s="134"/>
      <c r="E94" s="134"/>
      <c r="F94" s="134"/>
      <c r="G94" s="135"/>
      <c r="H94" s="139"/>
      <c r="I94" s="243"/>
      <c r="J94" s="243"/>
      <c r="K94" s="414"/>
      <c r="L94" s="137"/>
    </row>
    <row r="95" spans="1:12" s="138" customFormat="1" ht="15" customHeight="1" thickBot="1">
      <c r="A95" s="133"/>
      <c r="B95" s="134"/>
      <c r="C95" s="40"/>
      <c r="D95" s="134" t="s">
        <v>396</v>
      </c>
      <c r="E95" s="134" t="s">
        <v>400</v>
      </c>
      <c r="F95" s="151"/>
      <c r="G95" s="135" t="s">
        <v>401</v>
      </c>
      <c r="H95" s="139">
        <v>1200000</v>
      </c>
      <c r="I95" s="243"/>
      <c r="J95" s="243"/>
      <c r="K95" s="414"/>
      <c r="L95" s="137"/>
    </row>
    <row r="96" spans="1:12" s="145" customFormat="1" ht="13.5" thickBot="1">
      <c r="A96" s="140" t="s">
        <v>402</v>
      </c>
      <c r="B96" s="156" t="s">
        <v>146</v>
      </c>
      <c r="C96" s="141">
        <f>SUM(C94:C95)</f>
        <v>1200000</v>
      </c>
      <c r="D96" s="48"/>
      <c r="E96" s="48"/>
      <c r="F96" s="48"/>
      <c r="G96" s="142"/>
      <c r="H96" s="143">
        <f>SUM(H95:H95)</f>
        <v>1200000</v>
      </c>
      <c r="I96" s="244">
        <f>+C96-H96</f>
        <v>0</v>
      </c>
      <c r="J96" s="8"/>
      <c r="K96" s="417"/>
      <c r="L96" s="144"/>
    </row>
    <row r="97" spans="1:10" ht="12.75">
      <c r="A97" s="636" t="s">
        <v>0</v>
      </c>
      <c r="B97" s="637"/>
      <c r="C97" s="637"/>
      <c r="D97" s="637"/>
      <c r="E97" s="637"/>
      <c r="F97" s="637"/>
      <c r="G97" s="637"/>
      <c r="H97" s="638"/>
      <c r="I97" s="106"/>
      <c r="J97" s="106"/>
    </row>
    <row r="98" spans="1:10" ht="12.75">
      <c r="A98" s="627" t="s">
        <v>179</v>
      </c>
      <c r="B98" s="628"/>
      <c r="C98" s="628"/>
      <c r="D98" s="628"/>
      <c r="E98" s="628"/>
      <c r="F98" s="628"/>
      <c r="G98" s="628"/>
      <c r="H98" s="629"/>
      <c r="I98" s="106"/>
      <c r="J98" s="106"/>
    </row>
    <row r="99" spans="1:10" ht="12.75">
      <c r="A99" s="627" t="s">
        <v>638</v>
      </c>
      <c r="B99" s="628"/>
      <c r="C99" s="628"/>
      <c r="D99" s="628"/>
      <c r="E99" s="628"/>
      <c r="F99" s="628"/>
      <c r="G99" s="628"/>
      <c r="H99" s="629"/>
      <c r="I99" s="106"/>
      <c r="J99" s="106"/>
    </row>
    <row r="100" spans="1:10" ht="12.75">
      <c r="A100" s="627" t="s">
        <v>380</v>
      </c>
      <c r="B100" s="628"/>
      <c r="C100" s="628"/>
      <c r="D100" s="628"/>
      <c r="E100" s="628"/>
      <c r="F100" s="628"/>
      <c r="G100" s="628"/>
      <c r="H100" s="629"/>
      <c r="I100" s="106"/>
      <c r="J100" s="106"/>
    </row>
    <row r="101" spans="1:10" ht="12.75">
      <c r="A101" s="627" t="s">
        <v>381</v>
      </c>
      <c r="B101" s="628"/>
      <c r="C101" s="628"/>
      <c r="D101" s="628"/>
      <c r="E101" s="628"/>
      <c r="F101" s="628"/>
      <c r="G101" s="628"/>
      <c r="H101" s="629"/>
      <c r="I101" s="106"/>
      <c r="J101" s="106"/>
    </row>
    <row r="102" spans="1:10" ht="13.5" thickBot="1">
      <c r="A102" s="107"/>
      <c r="B102" s="108"/>
      <c r="C102" s="109"/>
      <c r="D102" s="109"/>
      <c r="E102" s="109"/>
      <c r="F102" s="109"/>
      <c r="G102" s="110"/>
      <c r="H102" s="258"/>
      <c r="I102" s="181"/>
      <c r="J102" s="181"/>
    </row>
    <row r="103" spans="1:12" s="138" customFormat="1" ht="12.75">
      <c r="A103" s="153"/>
      <c r="B103" s="135"/>
      <c r="C103" s="135"/>
      <c r="D103" s="134"/>
      <c r="E103" s="134"/>
      <c r="F103" s="134"/>
      <c r="G103" s="135"/>
      <c r="H103" s="136"/>
      <c r="I103" s="242"/>
      <c r="J103" s="242"/>
      <c r="K103" s="414"/>
      <c r="L103" s="137"/>
    </row>
    <row r="104" spans="1:12" s="145" customFormat="1" ht="12.75">
      <c r="A104" s="133" t="str">
        <f>+'[5]Clasific. Económica de Ingresos'!A34</f>
        <v>1.1.3.3.01.02.0.0.000</v>
      </c>
      <c r="B104" s="135" t="s">
        <v>413</v>
      </c>
      <c r="C104" s="40">
        <f>SUM('[5]Clasific. Económica de Ingresos'!C34)</f>
        <v>4525000000</v>
      </c>
      <c r="D104" s="134"/>
      <c r="E104" s="134"/>
      <c r="F104" s="134"/>
      <c r="G104" s="135"/>
      <c r="H104" s="136"/>
      <c r="I104" s="242"/>
      <c r="J104" s="242"/>
      <c r="K104" s="417"/>
      <c r="L104" s="144"/>
    </row>
    <row r="105" spans="1:12" s="138" customFormat="1" ht="12.75">
      <c r="A105" s="154"/>
      <c r="B105" s="246"/>
      <c r="C105" s="40"/>
      <c r="D105" s="134" t="s">
        <v>389</v>
      </c>
      <c r="E105" s="134" t="s">
        <v>390</v>
      </c>
      <c r="F105" s="134" t="s">
        <v>391</v>
      </c>
      <c r="G105" s="135" t="s">
        <v>392</v>
      </c>
      <c r="H105" s="139">
        <f>+'[5]Egresos Programa I General'!E8-'Origen y Aplicación'!H10-'Origen y Aplicación'!H81-H136-H150-H160-H165-H178-H184-H195-H206-H216-H124-H254-H190-H172-H223-H271-H89-H235-H295</f>
        <v>2794520518.257788</v>
      </c>
      <c r="I105" s="243"/>
      <c r="J105" s="243"/>
      <c r="K105" s="414"/>
      <c r="L105" s="137"/>
    </row>
    <row r="106" spans="1:12" s="138" customFormat="1" ht="12.75">
      <c r="A106" s="133"/>
      <c r="B106" s="134"/>
      <c r="C106" s="40"/>
      <c r="D106" s="134" t="s">
        <v>408</v>
      </c>
      <c r="E106" s="134" t="s">
        <v>399</v>
      </c>
      <c r="F106" s="151"/>
      <c r="G106" s="135" t="s">
        <v>409</v>
      </c>
      <c r="H106" s="139">
        <f>+'[5]Egresos Programa I General'!E12</f>
        <v>162252457.95</v>
      </c>
      <c r="I106" s="243"/>
      <c r="J106" s="243"/>
      <c r="K106" s="414"/>
      <c r="L106" s="137"/>
    </row>
    <row r="107" spans="1:12" s="138" customFormat="1" ht="12.75" hidden="1">
      <c r="A107" s="154"/>
      <c r="B107" s="246"/>
      <c r="C107" s="40"/>
      <c r="D107" s="134" t="s">
        <v>389</v>
      </c>
      <c r="E107" s="134" t="s">
        <v>393</v>
      </c>
      <c r="F107" s="151" t="s">
        <v>391</v>
      </c>
      <c r="G107" s="135" t="s">
        <v>479</v>
      </c>
      <c r="H107" s="136"/>
      <c r="I107" s="243"/>
      <c r="J107" s="243"/>
      <c r="K107" s="414"/>
      <c r="L107" s="137"/>
    </row>
    <row r="108" spans="1:12" s="138" customFormat="1" ht="12.75">
      <c r="A108" s="154"/>
      <c r="B108" s="246"/>
      <c r="C108" s="40"/>
      <c r="D108" s="134" t="s">
        <v>396</v>
      </c>
      <c r="E108" s="134" t="s">
        <v>405</v>
      </c>
      <c r="F108" s="134" t="s">
        <v>390</v>
      </c>
      <c r="G108" s="135" t="s">
        <v>410</v>
      </c>
      <c r="H108" s="136">
        <f>+'[5]Egresos Programa III General'!C48-H44-H291-H84</f>
        <v>1262870575.8441308</v>
      </c>
      <c r="I108" s="243"/>
      <c r="J108" s="243"/>
      <c r="K108" s="414"/>
      <c r="L108" s="137"/>
    </row>
    <row r="109" spans="1:12" s="138" customFormat="1" ht="12.75">
      <c r="A109" s="154"/>
      <c r="B109" s="246"/>
      <c r="C109" s="40"/>
      <c r="D109" s="134" t="s">
        <v>396</v>
      </c>
      <c r="E109" s="134" t="s">
        <v>405</v>
      </c>
      <c r="F109" s="134" t="s">
        <v>397</v>
      </c>
      <c r="G109" s="135" t="s">
        <v>414</v>
      </c>
      <c r="H109" s="139">
        <f>+'[5]Egresos Programa III General'!C49</f>
        <v>119649548.3046148</v>
      </c>
      <c r="I109" s="243"/>
      <c r="J109" s="243"/>
      <c r="K109" s="414"/>
      <c r="L109" s="137"/>
    </row>
    <row r="110" spans="1:12" s="138" customFormat="1" ht="15" customHeight="1">
      <c r="A110" s="133"/>
      <c r="B110" s="134"/>
      <c r="C110" s="40"/>
      <c r="D110" s="134" t="s">
        <v>396</v>
      </c>
      <c r="E110" s="134" t="s">
        <v>405</v>
      </c>
      <c r="F110" s="134" t="s">
        <v>420</v>
      </c>
      <c r="G110" s="152" t="str">
        <f>+'[5]Egresos Programa III General'!B52</f>
        <v>ALAJUELA CIUDAD SEGURA</v>
      </c>
      <c r="H110" s="139">
        <f>189880400.38-11800000</f>
        <v>178080400.38</v>
      </c>
      <c r="I110" s="243"/>
      <c r="J110" s="243"/>
      <c r="K110" s="414"/>
      <c r="L110" s="137"/>
    </row>
    <row r="111" spans="1:12" s="138" customFormat="1" ht="27.75" customHeight="1" hidden="1">
      <c r="A111" s="154"/>
      <c r="B111" s="246"/>
      <c r="C111" s="40"/>
      <c r="D111" s="134" t="s">
        <v>396</v>
      </c>
      <c r="E111" s="134" t="s">
        <v>397</v>
      </c>
      <c r="F111" s="272" t="s">
        <v>397</v>
      </c>
      <c r="G111" s="135" t="s">
        <v>496</v>
      </c>
      <c r="H111" s="139"/>
      <c r="I111" s="243"/>
      <c r="J111" s="243"/>
      <c r="K111" s="414"/>
      <c r="L111" s="137"/>
    </row>
    <row r="112" spans="1:12" s="138" customFormat="1" ht="27.75" customHeight="1" hidden="1">
      <c r="A112" s="154"/>
      <c r="B112" s="246"/>
      <c r="C112" s="40"/>
      <c r="D112" s="134" t="s">
        <v>396</v>
      </c>
      <c r="E112" s="134" t="s">
        <v>405</v>
      </c>
      <c r="F112" s="134">
        <v>11</v>
      </c>
      <c r="G112" s="152" t="s">
        <v>481</v>
      </c>
      <c r="H112" s="139"/>
      <c r="I112" s="243"/>
      <c r="J112" s="243"/>
      <c r="K112" s="414"/>
      <c r="L112" s="137"/>
    </row>
    <row r="113" spans="1:12" s="138" customFormat="1" ht="27.75" customHeight="1" hidden="1">
      <c r="A113" s="154"/>
      <c r="B113" s="246"/>
      <c r="C113" s="40"/>
      <c r="D113" s="134" t="s">
        <v>396</v>
      </c>
      <c r="E113" s="134" t="s">
        <v>405</v>
      </c>
      <c r="F113" s="134">
        <v>12</v>
      </c>
      <c r="G113" s="152" t="s">
        <v>494</v>
      </c>
      <c r="H113" s="139"/>
      <c r="I113" s="243"/>
      <c r="J113" s="243"/>
      <c r="K113" s="414"/>
      <c r="L113" s="137"/>
    </row>
    <row r="114" spans="1:12" s="138" customFormat="1" ht="12.75" hidden="1">
      <c r="A114" s="154"/>
      <c r="B114" s="246"/>
      <c r="C114" s="40"/>
      <c r="D114" s="134" t="s">
        <v>396</v>
      </c>
      <c r="E114" s="134" t="s">
        <v>405</v>
      </c>
      <c r="F114" s="134">
        <v>13</v>
      </c>
      <c r="G114" s="135" t="s">
        <v>482</v>
      </c>
      <c r="H114" s="139"/>
      <c r="I114" s="243"/>
      <c r="J114" s="243"/>
      <c r="K114" s="414"/>
      <c r="L114" s="137"/>
    </row>
    <row r="115" spans="1:12" s="138" customFormat="1" ht="12.75" hidden="1">
      <c r="A115" s="154"/>
      <c r="B115" s="246"/>
      <c r="C115" s="40"/>
      <c r="D115" s="134" t="s">
        <v>396</v>
      </c>
      <c r="E115" s="134" t="s">
        <v>400</v>
      </c>
      <c r="F115" s="134"/>
      <c r="G115" s="247" t="str">
        <f>+'[5]Programa III'!B29</f>
        <v>Transferencias de Capital al Gobierno Central</v>
      </c>
      <c r="H115" s="139"/>
      <c r="I115" s="243"/>
      <c r="J115" s="243"/>
      <c r="K115" s="414"/>
      <c r="L115" s="137"/>
    </row>
    <row r="116" spans="1:12" s="138" customFormat="1" ht="12.75" hidden="1">
      <c r="A116" s="154"/>
      <c r="B116" s="246"/>
      <c r="C116" s="40"/>
      <c r="D116" s="134" t="s">
        <v>396</v>
      </c>
      <c r="E116" s="134" t="s">
        <v>400</v>
      </c>
      <c r="F116" s="134"/>
      <c r="G116" s="135" t="s">
        <v>363</v>
      </c>
      <c r="H116" s="139"/>
      <c r="I116" s="243"/>
      <c r="J116" s="243"/>
      <c r="K116" s="414"/>
      <c r="L116" s="137"/>
    </row>
    <row r="117" spans="1:12" s="138" customFormat="1" ht="12.75" hidden="1">
      <c r="A117" s="154"/>
      <c r="B117" s="246"/>
      <c r="C117" s="40"/>
      <c r="D117" s="134" t="s">
        <v>396</v>
      </c>
      <c r="E117" s="134" t="s">
        <v>400</v>
      </c>
      <c r="F117" s="134"/>
      <c r="G117" s="135" t="s">
        <v>479</v>
      </c>
      <c r="H117" s="139"/>
      <c r="I117" s="243"/>
      <c r="J117" s="243"/>
      <c r="K117" s="414"/>
      <c r="L117" s="137"/>
    </row>
    <row r="118" spans="1:12" s="138" customFormat="1" ht="12.75">
      <c r="A118" s="154"/>
      <c r="B118" s="246"/>
      <c r="C118" s="40"/>
      <c r="D118" s="134" t="s">
        <v>396</v>
      </c>
      <c r="E118" s="134" t="s">
        <v>400</v>
      </c>
      <c r="F118" s="134"/>
      <c r="G118" s="135" t="s">
        <v>401</v>
      </c>
      <c r="H118" s="139">
        <f>7626498.32+0.94</f>
        <v>7626499.260000001</v>
      </c>
      <c r="I118" s="243"/>
      <c r="J118" s="243"/>
      <c r="K118" s="414"/>
      <c r="L118" s="137"/>
    </row>
    <row r="119" spans="1:12" s="138" customFormat="1" ht="12.75" hidden="1">
      <c r="A119" s="154"/>
      <c r="B119" s="246"/>
      <c r="C119" s="40"/>
      <c r="D119" s="134" t="s">
        <v>396</v>
      </c>
      <c r="E119" s="134" t="s">
        <v>395</v>
      </c>
      <c r="F119" s="151"/>
      <c r="G119" s="135" t="s">
        <v>479</v>
      </c>
      <c r="H119" s="139">
        <v>0</v>
      </c>
      <c r="I119" s="243"/>
      <c r="J119" s="243"/>
      <c r="K119" s="414"/>
      <c r="L119" s="137"/>
    </row>
    <row r="120" spans="1:12" s="138" customFormat="1" ht="13.5" thickBot="1">
      <c r="A120" s="154"/>
      <c r="B120" s="246"/>
      <c r="C120" s="40"/>
      <c r="D120" s="134"/>
      <c r="E120" s="134"/>
      <c r="F120" s="134"/>
      <c r="G120" s="135"/>
      <c r="H120" s="139"/>
      <c r="I120" s="243"/>
      <c r="J120" s="243"/>
      <c r="K120" s="414"/>
      <c r="L120" s="137"/>
    </row>
    <row r="121" spans="1:12" s="145" customFormat="1" ht="13.5" thickBot="1">
      <c r="A121" s="140" t="s">
        <v>402</v>
      </c>
      <c r="B121" s="156"/>
      <c r="C121" s="141">
        <f>SUM(C104:C105)</f>
        <v>4525000000</v>
      </c>
      <c r="D121" s="48"/>
      <c r="E121" s="48"/>
      <c r="F121" s="48"/>
      <c r="G121" s="142"/>
      <c r="H121" s="143">
        <f>SUM(H105:H120)</f>
        <v>4524999999.996534</v>
      </c>
      <c r="I121" s="244">
        <f>+C121-H121</f>
        <v>0.0034656524658203125</v>
      </c>
      <c r="J121" s="8"/>
      <c r="K121" s="417"/>
      <c r="L121" s="144"/>
    </row>
    <row r="122" spans="1:12" s="138" customFormat="1" ht="12.75">
      <c r="A122" s="153"/>
      <c r="B122" s="135"/>
      <c r="C122" s="135"/>
      <c r="D122" s="134"/>
      <c r="E122" s="134"/>
      <c r="F122" s="134"/>
      <c r="G122" s="135"/>
      <c r="H122" s="136"/>
      <c r="I122" s="242"/>
      <c r="J122" s="242"/>
      <c r="K122" s="414"/>
      <c r="L122" s="137"/>
    </row>
    <row r="123" spans="1:12" s="138" customFormat="1" ht="12.75">
      <c r="A123" s="133" t="str">
        <f>+'[5]Clasific. Económica de Ingresos'!A40</f>
        <v>1.1.9.1.01.00.0.0.000</v>
      </c>
      <c r="B123" s="135" t="s">
        <v>415</v>
      </c>
      <c r="C123" s="40">
        <f>SUM('[5]Clasific. Económica de Ingresos'!C40)</f>
        <v>475000000</v>
      </c>
      <c r="D123" s="134"/>
      <c r="E123" s="134"/>
      <c r="F123" s="134"/>
      <c r="G123" s="135"/>
      <c r="H123" s="136"/>
      <c r="I123" s="242"/>
      <c r="J123" s="242"/>
      <c r="K123" s="414"/>
      <c r="L123" s="137"/>
    </row>
    <row r="124" spans="1:12" s="138" customFormat="1" ht="12.75">
      <c r="A124" s="133"/>
      <c r="B124" s="134"/>
      <c r="C124" s="40"/>
      <c r="D124" s="134" t="s">
        <v>389</v>
      </c>
      <c r="E124" s="134" t="s">
        <v>390</v>
      </c>
      <c r="F124" s="134" t="s">
        <v>391</v>
      </c>
      <c r="G124" s="135" t="s">
        <v>392</v>
      </c>
      <c r="H124" s="139">
        <v>194962858.56</v>
      </c>
      <c r="I124" s="243"/>
      <c r="J124" s="243"/>
      <c r="K124" s="414"/>
      <c r="L124" s="137"/>
    </row>
    <row r="125" spans="1:12" s="138" customFormat="1" ht="13.5" thickBot="1">
      <c r="A125" s="133"/>
      <c r="B125" s="134"/>
      <c r="C125" s="40"/>
      <c r="D125" s="134" t="s">
        <v>389</v>
      </c>
      <c r="E125" s="134" t="s">
        <v>397</v>
      </c>
      <c r="F125" s="134"/>
      <c r="G125" s="135" t="s">
        <v>416</v>
      </c>
      <c r="H125" s="139">
        <f>+'[5]Egresos Programa I General'!E10</f>
        <v>280037141.438567</v>
      </c>
      <c r="I125" s="243"/>
      <c r="J125" s="243"/>
      <c r="K125" s="414"/>
      <c r="L125" s="137"/>
    </row>
    <row r="126" spans="1:12" s="138" customFormat="1" ht="26.25" hidden="1" thickBot="1">
      <c r="A126" s="133"/>
      <c r="B126" s="134"/>
      <c r="C126" s="40"/>
      <c r="D126" s="134" t="s">
        <v>396</v>
      </c>
      <c r="E126" s="134" t="s">
        <v>400</v>
      </c>
      <c r="F126" s="134"/>
      <c r="G126" s="152" t="s">
        <v>504</v>
      </c>
      <c r="H126" s="139"/>
      <c r="I126" s="243"/>
      <c r="J126" s="243"/>
      <c r="K126" s="414"/>
      <c r="L126" s="137"/>
    </row>
    <row r="127" spans="1:12" s="138" customFormat="1" ht="13.5" hidden="1" thickBot="1">
      <c r="A127" s="133"/>
      <c r="B127" s="134"/>
      <c r="C127" s="40"/>
      <c r="D127" s="134" t="s">
        <v>396</v>
      </c>
      <c r="E127" s="134" t="s">
        <v>395</v>
      </c>
      <c r="F127" s="151"/>
      <c r="G127" s="135" t="s">
        <v>479</v>
      </c>
      <c r="H127" s="139">
        <v>0</v>
      </c>
      <c r="I127" s="243"/>
      <c r="J127" s="243"/>
      <c r="K127" s="414"/>
      <c r="L127" s="137"/>
    </row>
    <row r="128" spans="1:12" s="145" customFormat="1" ht="13.5" thickBot="1">
      <c r="A128" s="140" t="s">
        <v>402</v>
      </c>
      <c r="B128" s="156"/>
      <c r="C128" s="141">
        <f>SUM(C123:C124)</f>
        <v>475000000</v>
      </c>
      <c r="D128" s="48"/>
      <c r="E128" s="48"/>
      <c r="F128" s="48"/>
      <c r="G128" s="142"/>
      <c r="H128" s="143">
        <f>SUM(H124:H127)</f>
        <v>474999999.998567</v>
      </c>
      <c r="I128" s="244">
        <f>+C128-H128</f>
        <v>0.0014330148696899414</v>
      </c>
      <c r="J128" s="8"/>
      <c r="K128" s="417"/>
      <c r="L128" s="144"/>
    </row>
    <row r="129" spans="1:10" ht="12.75">
      <c r="A129" s="146"/>
      <c r="B129" s="157"/>
      <c r="C129" s="147"/>
      <c r="D129" s="106"/>
      <c r="E129" s="106"/>
      <c r="F129" s="106"/>
      <c r="G129" s="114"/>
      <c r="H129" s="148"/>
      <c r="I129" s="245"/>
      <c r="J129" s="245"/>
    </row>
    <row r="130" spans="1:10" ht="12.75">
      <c r="A130" s="105" t="str">
        <f>+'[5]Clasific. Económica de Ingresos'!A41</f>
        <v>1.1.9.1.02.00.0.0.000</v>
      </c>
      <c r="B130" s="157" t="s">
        <v>417</v>
      </c>
      <c r="C130" s="115">
        <f>SUM('[5]Clasific. Económica de Ingresos'!C41)</f>
        <v>84000000</v>
      </c>
      <c r="D130" s="106"/>
      <c r="E130" s="106"/>
      <c r="F130" s="106"/>
      <c r="G130" s="114"/>
      <c r="H130" s="148"/>
      <c r="I130" s="245"/>
      <c r="J130" s="245"/>
    </row>
    <row r="131" spans="1:10" ht="12.75">
      <c r="A131" s="105"/>
      <c r="B131" s="157"/>
      <c r="C131" s="115"/>
      <c r="D131" s="106" t="s">
        <v>389</v>
      </c>
      <c r="E131" s="106" t="s">
        <v>393</v>
      </c>
      <c r="F131" s="131"/>
      <c r="G131" s="114" t="str">
        <f>+'[5]ProgramaI'!B25</f>
        <v>CONAGEBIO (10% de la Ley 7788)</v>
      </c>
      <c r="H131" s="130">
        <f>+'[5]ProgramaI'!E25</f>
        <v>8400000</v>
      </c>
      <c r="I131" s="240"/>
      <c r="J131" s="240"/>
    </row>
    <row r="132" spans="1:10" ht="12.75">
      <c r="A132" s="105"/>
      <c r="B132" s="106"/>
      <c r="C132" s="115"/>
      <c r="D132" s="106" t="s">
        <v>389</v>
      </c>
      <c r="E132" s="106" t="s">
        <v>393</v>
      </c>
      <c r="F132" s="131" t="s">
        <v>391</v>
      </c>
      <c r="G132" s="114" t="str">
        <f>+'[5]ProgramaI'!B26</f>
        <v>Fondo para Parques Nacionales</v>
      </c>
      <c r="H132" s="130">
        <f>+'[5]ProgramaI'!E26</f>
        <v>52920000</v>
      </c>
      <c r="I132" s="240"/>
      <c r="J132" s="240"/>
    </row>
    <row r="133" spans="1:10" ht="13.5" thickBot="1">
      <c r="A133" s="105"/>
      <c r="B133" s="106"/>
      <c r="C133" s="115"/>
      <c r="D133" s="106" t="s">
        <v>394</v>
      </c>
      <c r="E133" s="106">
        <v>25</v>
      </c>
      <c r="F133" s="106"/>
      <c r="G133" s="114" t="str">
        <f>+'[5]Egresos Programa II General'!B33</f>
        <v>Protección del Medio Ambiente</v>
      </c>
      <c r="H133" s="115">
        <v>22680000</v>
      </c>
      <c r="I133" s="413"/>
      <c r="J133" s="413"/>
    </row>
    <row r="134" spans="1:12" s="126" customFormat="1" ht="13.5" thickBot="1">
      <c r="A134" s="121" t="s">
        <v>402</v>
      </c>
      <c r="B134" s="158"/>
      <c r="C134" s="122">
        <f>SUM(C130:C133)</f>
        <v>84000000</v>
      </c>
      <c r="D134" s="123"/>
      <c r="E134" s="123"/>
      <c r="F134" s="123"/>
      <c r="G134" s="124"/>
      <c r="H134" s="132">
        <f>SUM(H131:H133)</f>
        <v>84000000</v>
      </c>
      <c r="I134" s="238">
        <f>+C134-H134</f>
        <v>0</v>
      </c>
      <c r="J134" s="248"/>
      <c r="K134" s="416"/>
      <c r="L134" s="125"/>
    </row>
    <row r="135" spans="1:10" ht="12.75">
      <c r="A135" s="146"/>
      <c r="B135" s="157"/>
      <c r="C135" s="147"/>
      <c r="D135" s="106"/>
      <c r="E135" s="106"/>
      <c r="F135" s="106"/>
      <c r="G135" s="114"/>
      <c r="H135" s="148"/>
      <c r="I135" s="245"/>
      <c r="J135" s="245"/>
    </row>
    <row r="136" spans="1:10" ht="12.75">
      <c r="A136" s="105" t="str">
        <f>+'[5]Clasific. Económica de Ingresos'!A50</f>
        <v>1.3.1.1.05.00.0.0.000</v>
      </c>
      <c r="B136" s="157" t="s">
        <v>418</v>
      </c>
      <c r="C136" s="115">
        <f>SUM('[5]Clasific. Económica de Ingresos'!C50)</f>
        <v>2665000000</v>
      </c>
      <c r="D136" s="106" t="s">
        <v>389</v>
      </c>
      <c r="E136" s="106" t="s">
        <v>390</v>
      </c>
      <c r="F136" s="106" t="s">
        <v>391</v>
      </c>
      <c r="G136" s="114" t="s">
        <v>392</v>
      </c>
      <c r="H136" s="148">
        <f>+C136*10%</f>
        <v>266500000</v>
      </c>
      <c r="I136" s="245"/>
      <c r="J136" s="245"/>
    </row>
    <row r="137" spans="1:10" ht="12.75">
      <c r="A137" s="105"/>
      <c r="B137" s="106"/>
      <c r="C137" s="115"/>
      <c r="D137" s="106" t="s">
        <v>394</v>
      </c>
      <c r="E137" s="106" t="s">
        <v>405</v>
      </c>
      <c r="F137" s="106" t="s">
        <v>391</v>
      </c>
      <c r="G137" s="117" t="s">
        <v>419</v>
      </c>
      <c r="H137" s="148">
        <f>+'[5]Egresos Programa II General'!C17-H179-H303</f>
        <v>2107500000.0000763</v>
      </c>
      <c r="I137" s="245"/>
      <c r="J137" s="245"/>
    </row>
    <row r="138" spans="1:10" ht="33.75" customHeight="1">
      <c r="A138" s="105"/>
      <c r="B138" s="180"/>
      <c r="C138" s="115"/>
      <c r="D138" s="106" t="s">
        <v>396</v>
      </c>
      <c r="E138" s="106" t="s">
        <v>420</v>
      </c>
      <c r="F138" s="106" t="s">
        <v>390</v>
      </c>
      <c r="G138" s="212" t="str">
        <f>+'[5]Egresos Programa III General'!B31</f>
        <v>REHABILITACION POZOS DULCE NOMBRE BOSQUES EL REY</v>
      </c>
      <c r="H138" s="148">
        <f>+'[5]Egresos Programa III General'!C31</f>
        <v>11000000</v>
      </c>
      <c r="I138" s="245"/>
      <c r="J138" s="245"/>
    </row>
    <row r="139" spans="1:10" ht="27.75" customHeight="1">
      <c r="A139" s="105"/>
      <c r="B139" s="180"/>
      <c r="C139" s="115"/>
      <c r="D139" s="106" t="s">
        <v>396</v>
      </c>
      <c r="E139" s="106" t="s">
        <v>420</v>
      </c>
      <c r="F139" s="106" t="s">
        <v>390</v>
      </c>
      <c r="G139" s="212" t="str">
        <f>+'[5]Egresos Programa III General'!B32</f>
        <v>CAMBIO DE REDES DE DISTRIBUCION DESAMPARADOS CALLELIMON-LA GARITA TACACORI</v>
      </c>
      <c r="H139" s="148">
        <f>+'[5]Egresos Programa III General'!C32</f>
        <v>80000000</v>
      </c>
      <c r="I139" s="245"/>
      <c r="J139" s="245"/>
    </row>
    <row r="140" spans="1:10" ht="24.75" customHeight="1">
      <c r="A140" s="105"/>
      <c r="B140" s="180"/>
      <c r="C140" s="115"/>
      <c r="D140" s="106" t="s">
        <v>396</v>
      </c>
      <c r="E140" s="106">
        <v>5</v>
      </c>
      <c r="F140" s="106">
        <v>3</v>
      </c>
      <c r="G140" s="212" t="str">
        <f>+'[5]Egresos Programa III General'!B30</f>
        <v>MACROMEDICION</v>
      </c>
      <c r="H140" s="148">
        <f>+'[5]Egresos Programa III General'!C30</f>
        <v>50000000</v>
      </c>
      <c r="I140" s="245"/>
      <c r="J140" s="245"/>
    </row>
    <row r="141" spans="1:10" ht="24.75" customHeight="1">
      <c r="A141" s="105"/>
      <c r="B141" s="180"/>
      <c r="C141" s="115"/>
      <c r="D141" s="106" t="s">
        <v>396</v>
      </c>
      <c r="E141" s="106" t="s">
        <v>420</v>
      </c>
      <c r="F141" s="106" t="s">
        <v>585</v>
      </c>
      <c r="G141" s="212" t="str">
        <f>+'[5]Egresos Programa III General'!B41</f>
        <v>ENERGIZACIÓN DE POZOS EN URB. LA GIRALDA RIO SEGUNDO Y LOS LLANOS</v>
      </c>
      <c r="H141" s="148">
        <f>+'[5]Egresos Programa III General'!C41</f>
        <v>150000000</v>
      </c>
      <c r="I141" s="245"/>
      <c r="J141" s="245"/>
    </row>
    <row r="142" spans="1:10" ht="12.75" hidden="1">
      <c r="A142" s="105"/>
      <c r="B142" s="180"/>
      <c r="C142" s="115"/>
      <c r="D142" s="106" t="s">
        <v>396</v>
      </c>
      <c r="E142" s="106">
        <v>5</v>
      </c>
      <c r="F142" s="106">
        <v>7</v>
      </c>
      <c r="G142" s="212" t="s">
        <v>483</v>
      </c>
      <c r="H142" s="148"/>
      <c r="I142" s="245"/>
      <c r="J142" s="245"/>
    </row>
    <row r="143" spans="1:10" ht="12.75" hidden="1">
      <c r="A143" s="105"/>
      <c r="B143" s="180"/>
      <c r="C143" s="115"/>
      <c r="D143" s="106" t="s">
        <v>396</v>
      </c>
      <c r="E143" s="106">
        <v>5</v>
      </c>
      <c r="F143" s="106">
        <v>8</v>
      </c>
      <c r="G143" s="212" t="s">
        <v>484</v>
      </c>
      <c r="H143" s="148"/>
      <c r="I143" s="245"/>
      <c r="J143" s="245"/>
    </row>
    <row r="144" spans="1:10" ht="12.75" hidden="1">
      <c r="A144" s="105"/>
      <c r="B144" s="180"/>
      <c r="C144" s="115"/>
      <c r="D144" s="106" t="s">
        <v>396</v>
      </c>
      <c r="E144" s="106">
        <v>5</v>
      </c>
      <c r="F144" s="106">
        <v>9</v>
      </c>
      <c r="G144" s="212" t="s">
        <v>485</v>
      </c>
      <c r="H144" s="148"/>
      <c r="I144" s="245"/>
      <c r="J144" s="245"/>
    </row>
    <row r="145" spans="1:10" ht="12.75" hidden="1">
      <c r="A145" s="105"/>
      <c r="B145" s="180"/>
      <c r="C145" s="115"/>
      <c r="D145" s="106" t="s">
        <v>396</v>
      </c>
      <c r="E145" s="106">
        <v>5</v>
      </c>
      <c r="F145" s="106">
        <v>11</v>
      </c>
      <c r="G145" s="212" t="s">
        <v>486</v>
      </c>
      <c r="H145" s="148"/>
      <c r="I145" s="245"/>
      <c r="J145" s="245"/>
    </row>
    <row r="146" spans="1:10" ht="13.5" thickBot="1">
      <c r="A146" s="105"/>
      <c r="B146" s="106"/>
      <c r="C146" s="115"/>
      <c r="D146" s="106"/>
      <c r="E146" s="106"/>
      <c r="F146" s="106"/>
      <c r="G146" s="117"/>
      <c r="H146" s="148"/>
      <c r="I146" s="245"/>
      <c r="J146" s="245"/>
    </row>
    <row r="147" spans="1:12" s="126" customFormat="1" ht="13.5" thickBot="1">
      <c r="A147" s="121" t="s">
        <v>402</v>
      </c>
      <c r="B147" s="158"/>
      <c r="C147" s="122">
        <f>SUM(C136:C145)</f>
        <v>2665000000</v>
      </c>
      <c r="D147" s="123"/>
      <c r="E147" s="123"/>
      <c r="F147" s="123"/>
      <c r="G147" s="124"/>
      <c r="H147" s="132">
        <f>SUM(H136:H146)</f>
        <v>2665000000.0000763</v>
      </c>
      <c r="I147" s="238">
        <f>+C147-H147</f>
        <v>-7.62939453125E-05</v>
      </c>
      <c r="J147" s="241"/>
      <c r="K147" s="416"/>
      <c r="L147" s="125"/>
    </row>
    <row r="148" spans="1:10" ht="12.75">
      <c r="A148" s="146" t="s">
        <v>146</v>
      </c>
      <c r="B148" s="157"/>
      <c r="C148" s="147"/>
      <c r="D148" s="106"/>
      <c r="E148" s="106"/>
      <c r="F148" s="106"/>
      <c r="G148" s="114"/>
      <c r="H148" s="148"/>
      <c r="I148" s="245"/>
      <c r="J148" s="245"/>
    </row>
    <row r="149" spans="1:10" ht="12.75">
      <c r="A149" s="105" t="str">
        <f>+'[5]Clasific. Económica de Ingresos'!A56</f>
        <v>1.3.1.2.04.01.1.0.000</v>
      </c>
      <c r="B149" s="157" t="s">
        <v>421</v>
      </c>
      <c r="C149" s="115">
        <f>SUM('[5]Clasific. Económica de Ingresos'!C56)</f>
        <v>277360000</v>
      </c>
      <c r="D149" s="106"/>
      <c r="E149" s="106"/>
      <c r="F149" s="106"/>
      <c r="G149" s="114"/>
      <c r="H149" s="148"/>
      <c r="I149" s="245"/>
      <c r="J149" s="245"/>
    </row>
    <row r="150" spans="1:10" ht="12.75">
      <c r="A150" s="105"/>
      <c r="B150" s="106"/>
      <c r="C150" s="115"/>
      <c r="D150" s="106" t="s">
        <v>389</v>
      </c>
      <c r="E150" s="106" t="s">
        <v>390</v>
      </c>
      <c r="F150" s="106" t="s">
        <v>391</v>
      </c>
      <c r="G150" s="114" t="s">
        <v>392</v>
      </c>
      <c r="H150" s="148">
        <f>+C149*10%</f>
        <v>27736000</v>
      </c>
      <c r="I150" s="245"/>
      <c r="J150" s="245"/>
    </row>
    <row r="151" spans="1:10" ht="13.5" customHeight="1" thickBot="1">
      <c r="A151" s="105"/>
      <c r="B151" s="106"/>
      <c r="C151" s="29"/>
      <c r="D151" s="106" t="s">
        <v>394</v>
      </c>
      <c r="E151" s="106" t="s">
        <v>400</v>
      </c>
      <c r="F151" s="106"/>
      <c r="G151" s="114" t="str">
        <f>+'[5]Egresos Programa II General'!B19</f>
        <v>Mercados, Plazas y Ferias</v>
      </c>
      <c r="H151" s="130">
        <f>+'[5]Egresos Programa II General'!C19-H161-H217-H17</f>
        <v>249623999.99727827</v>
      </c>
      <c r="I151" s="240"/>
      <c r="J151" s="240"/>
    </row>
    <row r="152" spans="1:10" ht="13.5" hidden="1" thickBot="1">
      <c r="A152" s="105"/>
      <c r="B152" s="106"/>
      <c r="C152" s="115"/>
      <c r="D152" s="106" t="s">
        <v>396</v>
      </c>
      <c r="E152" s="106" t="s">
        <v>390</v>
      </c>
      <c r="F152" s="106" t="s">
        <v>397</v>
      </c>
      <c r="G152" s="114" t="s">
        <v>477</v>
      </c>
      <c r="H152" s="130"/>
      <c r="I152" s="237"/>
      <c r="J152" s="237"/>
    </row>
    <row r="153" spans="1:12" s="126" customFormat="1" ht="13.5" thickBot="1">
      <c r="A153" s="121" t="s">
        <v>402</v>
      </c>
      <c r="B153" s="158"/>
      <c r="C153" s="122">
        <f>SUM(C149:C151)</f>
        <v>277360000</v>
      </c>
      <c r="D153" s="123"/>
      <c r="E153" s="123"/>
      <c r="F153" s="123"/>
      <c r="G153" s="124"/>
      <c r="H153" s="132">
        <f>SUM(H150:H152)</f>
        <v>277359999.9972783</v>
      </c>
      <c r="I153" s="238">
        <f>+C153-H153</f>
        <v>0.002721726894378662</v>
      </c>
      <c r="J153" s="241"/>
      <c r="K153" s="416"/>
      <c r="L153" s="125"/>
    </row>
    <row r="154" spans="1:12" s="138" customFormat="1" ht="12.75" customHeight="1" hidden="1">
      <c r="A154" s="133"/>
      <c r="B154" s="134"/>
      <c r="C154" s="40"/>
      <c r="D154" s="134"/>
      <c r="E154" s="134"/>
      <c r="F154" s="134"/>
      <c r="G154" s="135"/>
      <c r="H154" s="130"/>
      <c r="I154" s="243"/>
      <c r="J154" s="243"/>
      <c r="K154" s="414"/>
      <c r="L154" s="137"/>
    </row>
    <row r="155" spans="1:12" s="138" customFormat="1" ht="12.75" customHeight="1" hidden="1">
      <c r="A155" s="133" t="str">
        <f>+'[5]Clasific. Económica de Ingresos'!A57</f>
        <v>1.3.1.2.04.01.2.0.000</v>
      </c>
      <c r="B155" s="135" t="s">
        <v>422</v>
      </c>
      <c r="C155" s="40">
        <f>SUM('[5]Clasific. Económica de Ingresos'!C57)</f>
        <v>0</v>
      </c>
      <c r="D155" s="134"/>
      <c r="E155" s="134"/>
      <c r="F155" s="134"/>
      <c r="G155" s="135"/>
      <c r="H155" s="148"/>
      <c r="I155" s="242"/>
      <c r="J155" s="242"/>
      <c r="K155" s="414"/>
      <c r="L155" s="137"/>
    </row>
    <row r="156" spans="1:12" s="138" customFormat="1" ht="13.5" customHeight="1" hidden="1" thickBot="1">
      <c r="A156" s="133"/>
      <c r="B156" s="134"/>
      <c r="C156" s="40"/>
      <c r="D156" s="134" t="s">
        <v>396</v>
      </c>
      <c r="E156" s="134" t="s">
        <v>400</v>
      </c>
      <c r="F156" s="134"/>
      <c r="G156" s="297"/>
      <c r="H156" s="130"/>
      <c r="I156" s="243"/>
      <c r="J156" s="243"/>
      <c r="K156" s="414"/>
      <c r="L156" s="137"/>
    </row>
    <row r="157" spans="1:12" s="145" customFormat="1" ht="13.5" customHeight="1" hidden="1" thickBot="1">
      <c r="A157" s="140" t="s">
        <v>402</v>
      </c>
      <c r="B157" s="156"/>
      <c r="C157" s="141">
        <f>SUM(C155:C156)</f>
        <v>0</v>
      </c>
      <c r="D157" s="48"/>
      <c r="E157" s="48"/>
      <c r="F157" s="48"/>
      <c r="G157" s="142"/>
      <c r="H157" s="132">
        <f>SUM(H156:H156)</f>
        <v>0</v>
      </c>
      <c r="I157" s="244">
        <f>+C157-H157</f>
        <v>0</v>
      </c>
      <c r="J157" s="8"/>
      <c r="K157" s="417"/>
      <c r="L157" s="144"/>
    </row>
    <row r="158" spans="1:10" ht="12.75">
      <c r="A158" s="146"/>
      <c r="B158" s="157"/>
      <c r="C158" s="147"/>
      <c r="D158" s="106"/>
      <c r="E158" s="106"/>
      <c r="F158" s="106"/>
      <c r="G158" s="114"/>
      <c r="H158" s="148"/>
      <c r="I158" s="245"/>
      <c r="J158" s="245"/>
    </row>
    <row r="159" spans="1:10" ht="12.75">
      <c r="A159" s="105" t="str">
        <f>+'[5]Clasific. Económica de Ingresos'!A58</f>
        <v>1.3.1.2.04.09.0.0.000</v>
      </c>
      <c r="B159" s="106" t="s">
        <v>72</v>
      </c>
      <c r="C159" s="115">
        <f>SUM('[5]Clasific. Económica de Ingresos'!C58)</f>
        <v>800000</v>
      </c>
      <c r="D159" s="106"/>
      <c r="E159" s="106"/>
      <c r="F159" s="106"/>
      <c r="G159" s="114"/>
      <c r="H159" s="148"/>
      <c r="I159" s="245"/>
      <c r="J159" s="245"/>
    </row>
    <row r="160" spans="1:10" ht="12.75">
      <c r="A160" s="105"/>
      <c r="B160" s="106"/>
      <c r="C160" s="115"/>
      <c r="D160" s="106" t="s">
        <v>389</v>
      </c>
      <c r="E160" s="106" t="s">
        <v>390</v>
      </c>
      <c r="F160" s="106" t="s">
        <v>391</v>
      </c>
      <c r="G160" s="114" t="s">
        <v>392</v>
      </c>
      <c r="H160" s="148">
        <f>+C159*10%</f>
        <v>80000</v>
      </c>
      <c r="I160" s="245"/>
      <c r="J160" s="245"/>
    </row>
    <row r="161" spans="1:10" ht="13.5" thickBot="1">
      <c r="A161" s="105"/>
      <c r="B161" s="106"/>
      <c r="C161" s="115"/>
      <c r="D161" s="106" t="s">
        <v>394</v>
      </c>
      <c r="E161" s="106" t="s">
        <v>400</v>
      </c>
      <c r="F161" s="106"/>
      <c r="G161" s="114" t="str">
        <f>+'[5]Egresos Programa II General'!B19</f>
        <v>Mercados, Plazas y Ferias</v>
      </c>
      <c r="H161" s="130">
        <v>720000</v>
      </c>
      <c r="I161" s="240"/>
      <c r="J161" s="240"/>
    </row>
    <row r="162" spans="1:12" s="126" customFormat="1" ht="13.5" thickBot="1">
      <c r="A162" s="121" t="s">
        <v>402</v>
      </c>
      <c r="B162" s="158"/>
      <c r="C162" s="122">
        <f>SUM(C159:C161)</f>
        <v>800000</v>
      </c>
      <c r="D162" s="123"/>
      <c r="E162" s="123"/>
      <c r="F162" s="123"/>
      <c r="G162" s="124"/>
      <c r="H162" s="132">
        <f>SUM(H160:H161)</f>
        <v>800000</v>
      </c>
      <c r="I162" s="238">
        <f>+C162-H162</f>
        <v>0</v>
      </c>
      <c r="J162" s="241"/>
      <c r="K162" s="416"/>
      <c r="L162" s="125"/>
    </row>
    <row r="163" spans="1:10" ht="12.75">
      <c r="A163" s="146"/>
      <c r="B163" s="157"/>
      <c r="C163" s="147"/>
      <c r="D163" s="106"/>
      <c r="E163" s="106"/>
      <c r="F163" s="106"/>
      <c r="G163" s="114"/>
      <c r="H163" s="148"/>
      <c r="I163" s="245"/>
      <c r="J163" s="245"/>
    </row>
    <row r="164" spans="1:10" ht="12.75">
      <c r="A164" s="105" t="str">
        <f>+'[5]Clasific. Económica de Ingresos'!A61</f>
        <v>1.3.1.2.05.01.1.0.000</v>
      </c>
      <c r="B164" s="106" t="s">
        <v>423</v>
      </c>
      <c r="C164" s="115">
        <f>SUM('[5]Clasific. Económica de Ingresos'!C61)</f>
        <v>650000000</v>
      </c>
      <c r="D164" s="106"/>
      <c r="E164" s="106"/>
      <c r="F164" s="106"/>
      <c r="G164" s="114"/>
      <c r="H164" s="148"/>
      <c r="I164" s="245"/>
      <c r="J164" s="245"/>
    </row>
    <row r="165" spans="1:10" ht="12.75">
      <c r="A165" s="105"/>
      <c r="B165" s="106"/>
      <c r="C165" s="115"/>
      <c r="D165" s="106" t="s">
        <v>389</v>
      </c>
      <c r="E165" s="106" t="s">
        <v>390</v>
      </c>
      <c r="F165" s="106" t="s">
        <v>391</v>
      </c>
      <c r="G165" s="114" t="s">
        <v>392</v>
      </c>
      <c r="H165" s="148">
        <f>+C164*10%</f>
        <v>65000000</v>
      </c>
      <c r="I165" s="245"/>
      <c r="J165" s="245"/>
    </row>
    <row r="166" spans="1:10" ht="13.5" thickBot="1">
      <c r="A166" s="105"/>
      <c r="B166" s="106"/>
      <c r="C166" s="115"/>
      <c r="D166" s="106" t="s">
        <v>394</v>
      </c>
      <c r="E166" s="106">
        <v>13</v>
      </c>
      <c r="F166" s="106"/>
      <c r="G166" s="114" t="str">
        <f>+'[5]Egresos Programa II General'!B27</f>
        <v>Alcantarillados Sanitarios</v>
      </c>
      <c r="H166" s="130">
        <f>+'[5]Egresos Programa II General'!C27-H314-H21</f>
        <v>584999999.9962989</v>
      </c>
      <c r="I166" s="240"/>
      <c r="J166" s="240"/>
    </row>
    <row r="167" spans="1:10" ht="13.5" hidden="1" thickBot="1">
      <c r="A167" s="105"/>
      <c r="B167" s="180"/>
      <c r="C167" s="115"/>
      <c r="D167" s="106" t="s">
        <v>396</v>
      </c>
      <c r="E167" s="106" t="s">
        <v>420</v>
      </c>
      <c r="F167" s="106">
        <v>1</v>
      </c>
      <c r="G167" s="212" t="s">
        <v>487</v>
      </c>
      <c r="H167" s="148"/>
      <c r="I167" s="245"/>
      <c r="J167" s="245"/>
    </row>
    <row r="168" spans="1:10" ht="13.5" hidden="1" thickBot="1">
      <c r="A168" s="105"/>
      <c r="B168" s="180"/>
      <c r="C168" s="115"/>
      <c r="D168" s="106" t="s">
        <v>396</v>
      </c>
      <c r="E168" s="106" t="s">
        <v>420</v>
      </c>
      <c r="F168" s="106">
        <v>5</v>
      </c>
      <c r="G168" s="212" t="s">
        <v>488</v>
      </c>
      <c r="H168" s="148"/>
      <c r="I168" s="245"/>
      <c r="J168" s="245"/>
    </row>
    <row r="169" spans="1:12" s="126" customFormat="1" ht="13.5" thickBot="1">
      <c r="A169" s="121" t="s">
        <v>402</v>
      </c>
      <c r="B169" s="158"/>
      <c r="C169" s="122">
        <f>SUM(C164:C168)</f>
        <v>650000000</v>
      </c>
      <c r="D169" s="123"/>
      <c r="E169" s="123"/>
      <c r="F169" s="123"/>
      <c r="G169" s="124"/>
      <c r="H169" s="132">
        <f>SUM(H165:H168)</f>
        <v>649999999.9962989</v>
      </c>
      <c r="I169" s="238">
        <f>+C169-H169</f>
        <v>0.0037010908126831055</v>
      </c>
      <c r="J169" s="241"/>
      <c r="K169" s="416"/>
      <c r="L169" s="125"/>
    </row>
    <row r="170" spans="1:10" ht="12.75">
      <c r="A170" s="146"/>
      <c r="B170" s="157"/>
      <c r="C170" s="147"/>
      <c r="D170" s="106"/>
      <c r="E170" s="106"/>
      <c r="F170" s="106"/>
      <c r="G170" s="114"/>
      <c r="H170" s="148"/>
      <c r="I170" s="245"/>
      <c r="J170" s="245"/>
    </row>
    <row r="171" spans="1:10" ht="12.75">
      <c r="A171" s="105" t="str">
        <f>+'[5]Clasific. Económica de Ingresos'!A68</f>
        <v>1.3.1.2.05.04.2.0.000</v>
      </c>
      <c r="B171" s="106" t="s">
        <v>513</v>
      </c>
      <c r="C171" s="115">
        <f>SUM('[5]Clasific. Económica de Ingresos'!C62)</f>
        <v>543600000</v>
      </c>
      <c r="D171" s="106"/>
      <c r="E171" s="106"/>
      <c r="F171" s="106"/>
      <c r="G171" s="114"/>
      <c r="H171" s="148"/>
      <c r="I171" s="245"/>
      <c r="J171" s="245"/>
    </row>
    <row r="172" spans="1:10" ht="12.75">
      <c r="A172" s="105"/>
      <c r="B172" s="106"/>
      <c r="C172" s="115"/>
      <c r="D172" s="106" t="s">
        <v>389</v>
      </c>
      <c r="E172" s="106" t="s">
        <v>390</v>
      </c>
      <c r="F172" s="106" t="s">
        <v>391</v>
      </c>
      <c r="G172" s="114" t="s">
        <v>392</v>
      </c>
      <c r="H172" s="148">
        <f>+C171*10%</f>
        <v>54360000</v>
      </c>
      <c r="I172" s="245"/>
      <c r="J172" s="245"/>
    </row>
    <row r="173" spans="1:10" ht="13.5" thickBot="1">
      <c r="A173" s="105"/>
      <c r="B173" s="106"/>
      <c r="C173" s="115"/>
      <c r="D173" s="106" t="s">
        <v>394</v>
      </c>
      <c r="E173" s="106">
        <v>30</v>
      </c>
      <c r="F173" s="106"/>
      <c r="G173" s="114" t="str">
        <f>+'[5]Egresos Programa II General'!B41</f>
        <v>Alcantarillado Pluvial</v>
      </c>
      <c r="H173" s="130">
        <f>'[5]Egresos Programa II General'!C41-H315</f>
        <v>489240000.0016067</v>
      </c>
      <c r="J173" s="240"/>
    </row>
    <row r="174" spans="1:10" ht="13.5" hidden="1" thickBot="1">
      <c r="A174" s="105"/>
      <c r="B174" s="106"/>
      <c r="C174" s="115"/>
      <c r="D174" s="106" t="s">
        <v>396</v>
      </c>
      <c r="E174" s="106" t="s">
        <v>420</v>
      </c>
      <c r="F174" s="106" t="s">
        <v>405</v>
      </c>
      <c r="G174" s="114" t="str">
        <f>+'[5]Egresos Programa III General'!B39</f>
        <v>Estudio Infraestructura pluvial distrito Turrúcares</v>
      </c>
      <c r="H174" s="130">
        <f>+'[5]Egresos Programa III General'!C39</f>
        <v>0</v>
      </c>
      <c r="J174" s="240"/>
    </row>
    <row r="175" spans="1:12" s="126" customFormat="1" ht="13.5" thickBot="1">
      <c r="A175" s="121" t="s">
        <v>402</v>
      </c>
      <c r="B175" s="158"/>
      <c r="C175" s="132">
        <f>SUM(C171:C173)</f>
        <v>543600000</v>
      </c>
      <c r="D175" s="123"/>
      <c r="E175" s="123"/>
      <c r="F175" s="123"/>
      <c r="G175" s="124"/>
      <c r="H175" s="132">
        <f>SUM(H172:H174)</f>
        <v>543600000.0016067</v>
      </c>
      <c r="I175" s="238">
        <f>+C175-H175</f>
        <v>-0.0016067028045654297</v>
      </c>
      <c r="J175" s="241"/>
      <c r="K175" s="416"/>
      <c r="L175" s="125"/>
    </row>
    <row r="176" spans="1:10" ht="12.75">
      <c r="A176" s="105"/>
      <c r="B176" s="106"/>
      <c r="C176" s="115"/>
      <c r="D176" s="106"/>
      <c r="E176" s="106"/>
      <c r="F176" s="106"/>
      <c r="G176" s="114"/>
      <c r="H176" s="130"/>
      <c r="I176" s="240"/>
      <c r="J176" s="240"/>
    </row>
    <row r="177" spans="1:10" ht="25.5">
      <c r="A177" s="105" t="str">
        <f>+'[5]Clasific. Económica de Ingresos'!A64</f>
        <v>1.3.1.2.05.02.1.0.000</v>
      </c>
      <c r="B177" s="159" t="s">
        <v>424</v>
      </c>
      <c r="C177" s="115">
        <f>+'[5]Clasific. Económica de Ingresos'!C63</f>
        <v>60000000</v>
      </c>
      <c r="D177" s="106"/>
      <c r="E177" s="106"/>
      <c r="F177" s="106"/>
      <c r="G177" s="114"/>
      <c r="H177" s="148"/>
      <c r="I177" s="245"/>
      <c r="J177" s="245"/>
    </row>
    <row r="178" spans="1:10" ht="24.75" customHeight="1">
      <c r="A178" s="105"/>
      <c r="B178" s="106"/>
      <c r="C178" s="115"/>
      <c r="D178" s="106" t="s">
        <v>389</v>
      </c>
      <c r="E178" s="106" t="s">
        <v>390</v>
      </c>
      <c r="F178" s="106" t="s">
        <v>391</v>
      </c>
      <c r="G178" s="114" t="s">
        <v>392</v>
      </c>
      <c r="H178" s="148">
        <f>+'[5]INGRESOS LIBRES DETALLE Nº17'!H65</f>
        <v>6000000</v>
      </c>
      <c r="I178" s="245"/>
      <c r="J178" s="245"/>
    </row>
    <row r="179" spans="1:10" ht="13.5" thickBot="1">
      <c r="A179" s="105"/>
      <c r="B179" s="180"/>
      <c r="C179" s="115"/>
      <c r="D179" s="106" t="s">
        <v>394</v>
      </c>
      <c r="E179" s="106" t="s">
        <v>405</v>
      </c>
      <c r="F179" s="106" t="s">
        <v>391</v>
      </c>
      <c r="G179" s="117" t="s">
        <v>419</v>
      </c>
      <c r="H179" s="148">
        <v>54000000</v>
      </c>
      <c r="I179" s="245"/>
      <c r="J179" s="245"/>
    </row>
    <row r="180" spans="1:10" ht="13.5" hidden="1" thickBot="1">
      <c r="A180" s="105"/>
      <c r="B180" s="106"/>
      <c r="C180" s="115"/>
      <c r="D180" s="106"/>
      <c r="E180" s="106"/>
      <c r="F180" s="106"/>
      <c r="G180" s="117"/>
      <c r="H180" s="148"/>
      <c r="I180" s="245"/>
      <c r="J180" s="245"/>
    </row>
    <row r="181" spans="1:12" s="126" customFormat="1" ht="13.5" thickBot="1">
      <c r="A181" s="121" t="s">
        <v>402</v>
      </c>
      <c r="B181" s="158"/>
      <c r="C181" s="122">
        <f>SUM(C177:C179)</f>
        <v>60000000</v>
      </c>
      <c r="D181" s="123"/>
      <c r="E181" s="123"/>
      <c r="F181" s="123"/>
      <c r="G181" s="124"/>
      <c r="H181" s="132">
        <f>SUM(H177:H180)</f>
        <v>60000000</v>
      </c>
      <c r="I181" s="238">
        <f>+C181-H181</f>
        <v>0</v>
      </c>
      <c r="J181" s="241"/>
      <c r="K181" s="416"/>
      <c r="L181" s="125"/>
    </row>
    <row r="182" spans="1:10" ht="12.75">
      <c r="A182" s="146"/>
      <c r="B182" s="157"/>
      <c r="C182" s="147"/>
      <c r="D182" s="106"/>
      <c r="E182" s="106"/>
      <c r="F182" s="106"/>
      <c r="G182" s="114"/>
      <c r="H182" s="148"/>
      <c r="I182" s="245"/>
      <c r="J182" s="245"/>
    </row>
    <row r="183" spans="1:10" ht="12.75">
      <c r="A183" s="105" t="str">
        <f>+'[5]Clasific. Económica de Ingresos'!A67</f>
        <v>1.3.1.2.05.04.1.0.000</v>
      </c>
      <c r="B183" s="157" t="s">
        <v>88</v>
      </c>
      <c r="C183" s="115">
        <f>SUM('[5]Clasific. Económica de Ingresos'!C67)</f>
        <v>3080000000</v>
      </c>
      <c r="D183" s="106"/>
      <c r="E183" s="106"/>
      <c r="F183" s="106"/>
      <c r="G183" s="114"/>
      <c r="H183" s="148"/>
      <c r="I183" s="245"/>
      <c r="J183" s="245"/>
    </row>
    <row r="184" spans="1:10" ht="12.75">
      <c r="A184" s="105"/>
      <c r="B184" s="106"/>
      <c r="C184" s="115"/>
      <c r="D184" s="106" t="s">
        <v>389</v>
      </c>
      <c r="E184" s="106" t="s">
        <v>390</v>
      </c>
      <c r="F184" s="106" t="s">
        <v>391</v>
      </c>
      <c r="G184" s="114" t="s">
        <v>392</v>
      </c>
      <c r="H184" s="148">
        <f>+C183*10%</f>
        <v>308000000</v>
      </c>
      <c r="I184" s="245"/>
      <c r="J184" s="245"/>
    </row>
    <row r="185" spans="1:10" ht="12.75">
      <c r="A185" s="105"/>
      <c r="B185" s="106"/>
      <c r="C185" s="115"/>
      <c r="D185" s="106" t="s">
        <v>394</v>
      </c>
      <c r="E185" s="106" t="s">
        <v>397</v>
      </c>
      <c r="F185" s="106" t="s">
        <v>391</v>
      </c>
      <c r="G185" s="114" t="str">
        <f>+'[5]Egresos Programa II General'!B13</f>
        <v>Recolección de Basuras</v>
      </c>
      <c r="H185" s="148">
        <f>+'[5]Egresos Programa II General'!C13-H15</f>
        <v>2758000000.004821</v>
      </c>
      <c r="I185" s="245"/>
      <c r="J185" s="245"/>
    </row>
    <row r="186" spans="1:10" ht="26.25" thickBot="1">
      <c r="A186" s="105"/>
      <c r="B186" s="106"/>
      <c r="C186" s="115"/>
      <c r="D186" s="106" t="s">
        <v>396</v>
      </c>
      <c r="E186" s="106" t="s">
        <v>405</v>
      </c>
      <c r="F186" s="106" t="s">
        <v>393</v>
      </c>
      <c r="G186" s="262" t="str">
        <f>+'[5]Egresos Programa III General'!B51</f>
        <v>IMPLEMENTACION DEL PLAN MUNICIPAL PARA GESTION INTEGRAL DE RESIDUOS SOLIDOS</v>
      </c>
      <c r="H186" s="148">
        <f>+'[5]Egresos Programa III General'!C51</f>
        <v>14000000</v>
      </c>
      <c r="I186" s="245"/>
      <c r="J186" s="245"/>
    </row>
    <row r="187" spans="1:10" ht="13.5" thickBot="1">
      <c r="A187" s="121" t="s">
        <v>402</v>
      </c>
      <c r="B187" s="158"/>
      <c r="C187" s="122">
        <f>SUM(C183:C185)</f>
        <v>3080000000</v>
      </c>
      <c r="D187" s="123"/>
      <c r="E187" s="123"/>
      <c r="F187" s="123"/>
      <c r="G187" s="124"/>
      <c r="H187" s="132">
        <f>SUM(H184:H186)</f>
        <v>3080000000.004821</v>
      </c>
      <c r="I187" s="238">
        <f>+C187-H187</f>
        <v>-0.004820823669433594</v>
      </c>
      <c r="J187" s="241"/>
    </row>
    <row r="188" spans="1:10" ht="12.75">
      <c r="A188" s="146"/>
      <c r="B188" s="157"/>
      <c r="C188" s="147"/>
      <c r="D188" s="106"/>
      <c r="E188" s="106"/>
      <c r="F188" s="106"/>
      <c r="G188" s="114"/>
      <c r="H188" s="148"/>
      <c r="I188" s="245"/>
      <c r="J188" s="245"/>
    </row>
    <row r="189" spans="1:10" ht="25.5">
      <c r="A189" s="105" t="str">
        <f>+'[5]Clasific. Económica de Ingresos'!A68</f>
        <v>1.3.1.2.05.04.2.0.000</v>
      </c>
      <c r="B189" s="157" t="s">
        <v>90</v>
      </c>
      <c r="C189" s="115">
        <f>SUM('[5]Clasific. Económica de Ingresos'!C68)</f>
        <v>456500000</v>
      </c>
      <c r="D189" s="106"/>
      <c r="E189" s="106"/>
      <c r="F189" s="106"/>
      <c r="G189" s="114"/>
      <c r="H189" s="148"/>
      <c r="I189" s="245"/>
      <c r="J189" s="245"/>
    </row>
    <row r="190" spans="1:10" ht="12.75">
      <c r="A190" s="105"/>
      <c r="B190" s="157"/>
      <c r="C190" s="115"/>
      <c r="D190" s="106" t="s">
        <v>389</v>
      </c>
      <c r="E190" s="106" t="s">
        <v>390</v>
      </c>
      <c r="F190" s="106" t="s">
        <v>391</v>
      </c>
      <c r="G190" s="114" t="s">
        <v>392</v>
      </c>
      <c r="H190" s="148">
        <f>+C189*10%</f>
        <v>45650000</v>
      </c>
      <c r="I190" s="245"/>
      <c r="J190" s="245"/>
    </row>
    <row r="191" spans="1:13" ht="13.5" thickBot="1">
      <c r="A191" s="105"/>
      <c r="B191" s="106"/>
      <c r="C191" s="115"/>
      <c r="D191" s="106" t="s">
        <v>394</v>
      </c>
      <c r="E191" s="106" t="s">
        <v>390</v>
      </c>
      <c r="F191" s="106"/>
      <c r="G191" s="114" t="str">
        <f>+'[5]Egresos Programa II General'!B11</f>
        <v>Aseo de Vías y Sitios Públicos</v>
      </c>
      <c r="H191" s="130">
        <f>+'[5]Egresos Programa II General'!C11-H14</f>
        <v>410850000.0044215</v>
      </c>
      <c r="I191" s="240"/>
      <c r="J191" s="240"/>
      <c r="M191" s="116"/>
    </row>
    <row r="192" spans="1:12" s="126" customFormat="1" ht="13.5" thickBot="1">
      <c r="A192" s="121" t="s">
        <v>402</v>
      </c>
      <c r="B192" s="158"/>
      <c r="C192" s="122">
        <f>SUM(C189:C191)</f>
        <v>456500000</v>
      </c>
      <c r="D192" s="123"/>
      <c r="E192" s="123"/>
      <c r="F192" s="123"/>
      <c r="G192" s="124"/>
      <c r="H192" s="132">
        <f>SUM(H189:H191)</f>
        <v>456500000.0044215</v>
      </c>
      <c r="I192" s="238">
        <f>+C192-H192</f>
        <v>-0.0044214725494384766</v>
      </c>
      <c r="J192" s="241"/>
      <c r="K192" s="416"/>
      <c r="L192" s="125"/>
    </row>
    <row r="193" spans="1:10" ht="12.75">
      <c r="A193" s="146"/>
      <c r="B193" s="157"/>
      <c r="C193" s="147"/>
      <c r="D193" s="106"/>
      <c r="E193" s="106"/>
      <c r="F193" s="106"/>
      <c r="G193" s="114"/>
      <c r="H193" s="148"/>
      <c r="I193" s="245"/>
      <c r="J193" s="245"/>
    </row>
    <row r="194" spans="1:10" ht="12.75">
      <c r="A194" s="105" t="str">
        <f>+'[5]Clasific. Económica de Ingresos'!A69</f>
        <v>1.3.1.2.05.04.4.0.000</v>
      </c>
      <c r="B194" s="157" t="s">
        <v>425</v>
      </c>
      <c r="C194" s="115">
        <f>+'[5]Clasific. Económica de Ingresos'!C69</f>
        <v>239500000</v>
      </c>
      <c r="D194" s="106"/>
      <c r="E194" s="106"/>
      <c r="F194" s="106"/>
      <c r="G194" s="114"/>
      <c r="H194" s="148"/>
      <c r="I194" s="245"/>
      <c r="J194" s="245"/>
    </row>
    <row r="195" spans="1:10" ht="12.75">
      <c r="A195" s="105"/>
      <c r="B195" s="106"/>
      <c r="C195" s="115"/>
      <c r="D195" s="106" t="s">
        <v>389</v>
      </c>
      <c r="E195" s="106" t="s">
        <v>390</v>
      </c>
      <c r="F195" s="106" t="s">
        <v>391</v>
      </c>
      <c r="G195" s="114" t="s">
        <v>392</v>
      </c>
      <c r="H195" s="148">
        <f>+C194*10%</f>
        <v>23950000</v>
      </c>
      <c r="I195" s="245"/>
      <c r="J195" s="245"/>
    </row>
    <row r="196" spans="1:13" ht="13.5" thickBot="1">
      <c r="A196" s="105"/>
      <c r="B196" s="106"/>
      <c r="C196" s="115"/>
      <c r="D196" s="106" t="s">
        <v>394</v>
      </c>
      <c r="E196" s="106" t="s">
        <v>420</v>
      </c>
      <c r="F196" s="106" t="s">
        <v>391</v>
      </c>
      <c r="G196" s="114" t="str">
        <f>+'[5]Egresos Programa II General'!B15</f>
        <v>Parques Obras de Ornato</v>
      </c>
      <c r="H196" s="130">
        <f>+'[5]Egresos Programa II General'!C15-H16</f>
        <v>215549999.99608347</v>
      </c>
      <c r="I196" s="240"/>
      <c r="J196" s="240"/>
      <c r="M196" s="116"/>
    </row>
    <row r="197" spans="1:10" ht="26.25" hidden="1" thickBot="1">
      <c r="A197" s="105"/>
      <c r="B197" s="106"/>
      <c r="C197" s="115"/>
      <c r="D197" s="106" t="s">
        <v>396</v>
      </c>
      <c r="E197" s="106" t="s">
        <v>405</v>
      </c>
      <c r="F197" s="106" t="s">
        <v>400</v>
      </c>
      <c r="G197" s="262" t="s">
        <v>564</v>
      </c>
      <c r="H197" s="130">
        <v>0</v>
      </c>
      <c r="I197" s="237"/>
      <c r="J197" s="237"/>
    </row>
    <row r="198" spans="1:12" s="126" customFormat="1" ht="13.5" thickBot="1">
      <c r="A198" s="121" t="s">
        <v>402</v>
      </c>
      <c r="B198" s="158"/>
      <c r="C198" s="122">
        <f>SUM(C194:C197)</f>
        <v>239500000</v>
      </c>
      <c r="D198" s="123"/>
      <c r="E198" s="123"/>
      <c r="F198" s="123"/>
      <c r="G198" s="124"/>
      <c r="H198" s="132">
        <f>SUM(H195:H197)</f>
        <v>239499999.99608347</v>
      </c>
      <c r="I198" s="238">
        <f>+C198-H198</f>
        <v>0.003916531801223755</v>
      </c>
      <c r="J198" s="241"/>
      <c r="K198" s="416"/>
      <c r="L198" s="125"/>
    </row>
    <row r="199" spans="1:12" s="138" customFormat="1" ht="12.75">
      <c r="A199" s="153"/>
      <c r="B199" s="135"/>
      <c r="C199" s="135"/>
      <c r="D199" s="134"/>
      <c r="E199" s="39"/>
      <c r="F199" s="134"/>
      <c r="G199" s="135"/>
      <c r="H199" s="164"/>
      <c r="I199" s="250"/>
      <c r="J199" s="250"/>
      <c r="K199" s="414"/>
      <c r="L199" s="137"/>
    </row>
    <row r="200" spans="1:12" s="138" customFormat="1" ht="12.75">
      <c r="A200" s="133" t="str">
        <f>+'[5]Clasific. Económica de Ingresos'!A72</f>
        <v>1.3.1.2.09.09.0.0.000</v>
      </c>
      <c r="B200" s="135" t="s">
        <v>426</v>
      </c>
      <c r="C200" s="40">
        <f>SUM('[5]Clasific. Económica de Ingresos'!C72)</f>
        <v>10000000</v>
      </c>
      <c r="D200" s="134"/>
      <c r="E200" s="134"/>
      <c r="F200" s="134"/>
      <c r="G200" s="135"/>
      <c r="H200" s="136"/>
      <c r="I200" s="242"/>
      <c r="J200" s="242"/>
      <c r="K200" s="414"/>
      <c r="L200" s="137"/>
    </row>
    <row r="201" spans="1:10" ht="25.5" customHeight="1" hidden="1">
      <c r="A201" s="105"/>
      <c r="B201" s="135"/>
      <c r="C201" s="40"/>
      <c r="D201" s="134" t="s">
        <v>396</v>
      </c>
      <c r="E201" s="134">
        <v>5</v>
      </c>
      <c r="F201" s="134" t="s">
        <v>400</v>
      </c>
      <c r="G201" s="152" t="str">
        <f>+'[5]Egresos Programa III General'!B40</f>
        <v>Cortes Pluviales del Este</v>
      </c>
      <c r="H201" s="136">
        <v>0</v>
      </c>
      <c r="I201" s="245"/>
      <c r="J201" s="245"/>
    </row>
    <row r="202" spans="1:12" s="138" customFormat="1" ht="13.5" thickBot="1">
      <c r="A202" s="133"/>
      <c r="B202" s="134"/>
      <c r="C202" s="40"/>
      <c r="D202" s="134" t="s">
        <v>396</v>
      </c>
      <c r="E202" s="134" t="s">
        <v>400</v>
      </c>
      <c r="F202" s="134"/>
      <c r="G202" s="135" t="s">
        <v>401</v>
      </c>
      <c r="H202" s="139">
        <v>10000000</v>
      </c>
      <c r="I202" s="243"/>
      <c r="J202" s="243"/>
      <c r="K202" s="414"/>
      <c r="L202" s="137"/>
    </row>
    <row r="203" spans="1:12" s="145" customFormat="1" ht="13.5" thickBot="1">
      <c r="A203" s="140" t="s">
        <v>402</v>
      </c>
      <c r="B203" s="156"/>
      <c r="C203" s="141">
        <f>SUM(C200:C202)</f>
        <v>10000000</v>
      </c>
      <c r="D203" s="48"/>
      <c r="E203" s="48"/>
      <c r="F203" s="48"/>
      <c r="G203" s="142"/>
      <c r="H203" s="143">
        <f>SUM(H200:H202)</f>
        <v>10000000</v>
      </c>
      <c r="I203" s="244">
        <f>+C203-H203</f>
        <v>0</v>
      </c>
      <c r="J203" s="8"/>
      <c r="K203" s="417"/>
      <c r="L203" s="144"/>
    </row>
    <row r="204" spans="1:10" ht="12.75">
      <c r="A204" s="146"/>
      <c r="B204" s="157"/>
      <c r="C204" s="147"/>
      <c r="D204" s="106"/>
      <c r="E204" s="106"/>
      <c r="F204" s="106"/>
      <c r="G204" s="114"/>
      <c r="H204" s="148"/>
      <c r="I204" s="245"/>
      <c r="J204" s="245"/>
    </row>
    <row r="205" spans="1:10" ht="25.5">
      <c r="A205" s="105" t="str">
        <f>+'[5]Clasific. Económica de Ingresos'!A77</f>
        <v>1.3.1.3.01.01.1.0.000</v>
      </c>
      <c r="B205" s="157" t="s">
        <v>427</v>
      </c>
      <c r="C205" s="115">
        <f>SUM('[5]Clasific. Económica de Ingresos'!C77)</f>
        <v>268750000</v>
      </c>
      <c r="D205" s="106"/>
      <c r="E205" s="106"/>
      <c r="F205" s="106"/>
      <c r="G205" s="114"/>
      <c r="H205" s="148"/>
      <c r="I205" s="245"/>
      <c r="J205" s="245"/>
    </row>
    <row r="206" spans="1:10" ht="12.75">
      <c r="A206" s="105"/>
      <c r="B206" s="106"/>
      <c r="C206" s="115"/>
      <c r="D206" s="106" t="s">
        <v>389</v>
      </c>
      <c r="E206" s="106" t="s">
        <v>390</v>
      </c>
      <c r="F206" s="106" t="s">
        <v>391</v>
      </c>
      <c r="G206" s="114" t="s">
        <v>392</v>
      </c>
      <c r="H206" s="148">
        <f>+C205*10%</f>
        <v>26875000</v>
      </c>
      <c r="I206" s="245"/>
      <c r="J206" s="245"/>
    </row>
    <row r="207" spans="1:10" ht="13.5" thickBot="1">
      <c r="A207" s="105"/>
      <c r="B207" s="106"/>
      <c r="C207" s="115"/>
      <c r="D207" s="106" t="s">
        <v>394</v>
      </c>
      <c r="E207" s="106">
        <v>11</v>
      </c>
      <c r="F207" s="106"/>
      <c r="G207" s="114" t="str">
        <f>+'[5]Egresos Programa II General'!B25</f>
        <v>Estacionamientos y Terminales</v>
      </c>
      <c r="H207" s="130">
        <f>+'[5]Egresos Programa II General'!C25-'Origen y Aplicación'!H20</f>
        <v>241874999.9964608</v>
      </c>
      <c r="I207" s="240"/>
      <c r="J207" s="240"/>
    </row>
    <row r="208" spans="1:10" ht="13.5" thickBot="1">
      <c r="A208" s="121" t="s">
        <v>402</v>
      </c>
      <c r="B208" s="158"/>
      <c r="C208" s="122">
        <f>SUM(C205:C207)</f>
        <v>268750000</v>
      </c>
      <c r="D208" s="123"/>
      <c r="E208" s="123"/>
      <c r="F208" s="123"/>
      <c r="G208" s="124"/>
      <c r="H208" s="132">
        <f>SUM(H206:H207)</f>
        <v>268749999.9964608</v>
      </c>
      <c r="I208" s="238">
        <f>+C208-H208</f>
        <v>0.0035392045974731445</v>
      </c>
      <c r="J208" s="241"/>
    </row>
    <row r="209" spans="1:10" ht="12.75">
      <c r="A209" s="636" t="s">
        <v>0</v>
      </c>
      <c r="B209" s="637"/>
      <c r="C209" s="637"/>
      <c r="D209" s="637"/>
      <c r="E209" s="637"/>
      <c r="F209" s="637"/>
      <c r="G209" s="637"/>
      <c r="H209" s="638"/>
      <c r="I209" s="106"/>
      <c r="J209" s="106"/>
    </row>
    <row r="210" spans="1:10" ht="12.75">
      <c r="A210" s="627" t="s">
        <v>179</v>
      </c>
      <c r="B210" s="628"/>
      <c r="C210" s="628"/>
      <c r="D210" s="628"/>
      <c r="E210" s="628"/>
      <c r="F210" s="628"/>
      <c r="G210" s="628"/>
      <c r="H210" s="629"/>
      <c r="I210" s="106"/>
      <c r="J210" s="106"/>
    </row>
    <row r="211" spans="1:10" ht="12.75">
      <c r="A211" s="627" t="s">
        <v>638</v>
      </c>
      <c r="B211" s="628"/>
      <c r="C211" s="628"/>
      <c r="D211" s="628"/>
      <c r="E211" s="628"/>
      <c r="F211" s="628"/>
      <c r="G211" s="628"/>
      <c r="H211" s="629"/>
      <c r="I211" s="106"/>
      <c r="J211" s="106"/>
    </row>
    <row r="212" spans="1:10" ht="12.75">
      <c r="A212" s="627" t="s">
        <v>380</v>
      </c>
      <c r="B212" s="628"/>
      <c r="C212" s="628"/>
      <c r="D212" s="628"/>
      <c r="E212" s="628"/>
      <c r="F212" s="628"/>
      <c r="G212" s="628"/>
      <c r="H212" s="629"/>
      <c r="I212" s="106"/>
      <c r="J212" s="106"/>
    </row>
    <row r="213" spans="1:10" ht="13.5" thickBot="1">
      <c r="A213" s="630" t="s">
        <v>381</v>
      </c>
      <c r="B213" s="631"/>
      <c r="C213" s="631"/>
      <c r="D213" s="631"/>
      <c r="E213" s="631"/>
      <c r="F213" s="631"/>
      <c r="G213" s="631"/>
      <c r="H213" s="632"/>
      <c r="I213" s="106"/>
      <c r="J213" s="106"/>
    </row>
    <row r="214" spans="1:10" ht="12.75">
      <c r="A214" s="146"/>
      <c r="B214" s="157"/>
      <c r="C214" s="147"/>
      <c r="D214" s="106"/>
      <c r="E214" s="106"/>
      <c r="F214" s="106"/>
      <c r="G214" s="114"/>
      <c r="H214" s="148"/>
      <c r="I214" s="245"/>
      <c r="J214" s="245"/>
    </row>
    <row r="215" spans="1:10" ht="12.75">
      <c r="A215" s="105" t="str">
        <f>+'[5]Clasific. Económica de Ingresos'!A87</f>
        <v>1.3.1.3.02.03.1.0.000</v>
      </c>
      <c r="B215" s="157" t="s">
        <v>428</v>
      </c>
      <c r="C215" s="115">
        <f>SUM('[5]Clasific. Económica de Ingresos'!C87)</f>
        <v>12000000</v>
      </c>
      <c r="D215" s="106"/>
      <c r="E215" s="106"/>
      <c r="F215" s="106"/>
      <c r="G215" s="114"/>
      <c r="H215" s="148"/>
      <c r="I215" s="245"/>
      <c r="J215" s="245"/>
    </row>
    <row r="216" spans="1:10" ht="12.75">
      <c r="A216" s="105"/>
      <c r="B216" s="106"/>
      <c r="C216" s="115"/>
      <c r="D216" s="106" t="s">
        <v>389</v>
      </c>
      <c r="E216" s="106" t="s">
        <v>390</v>
      </c>
      <c r="F216" s="106" t="s">
        <v>391</v>
      </c>
      <c r="G216" s="114" t="s">
        <v>392</v>
      </c>
      <c r="H216" s="148">
        <f>+C215*10%</f>
        <v>1200000</v>
      </c>
      <c r="I216" s="245"/>
      <c r="J216" s="245"/>
    </row>
    <row r="217" spans="1:10" ht="13.5" thickBot="1">
      <c r="A217" s="105"/>
      <c r="B217" s="106"/>
      <c r="C217" s="115"/>
      <c r="D217" s="106" t="s">
        <v>394</v>
      </c>
      <c r="E217" s="106" t="s">
        <v>400</v>
      </c>
      <c r="F217" s="106"/>
      <c r="G217" s="114" t="str">
        <f>+'[5]Egresos Programa II General'!B19</f>
        <v>Mercados, Plazas y Ferias</v>
      </c>
      <c r="H217" s="130">
        <v>10800000</v>
      </c>
      <c r="I217" s="240"/>
      <c r="J217" s="240"/>
    </row>
    <row r="218" spans="1:10" ht="13.5" thickBot="1">
      <c r="A218" s="121" t="s">
        <v>402</v>
      </c>
      <c r="B218" s="158"/>
      <c r="C218" s="122">
        <f>SUM(C215:C217)</f>
        <v>12000000</v>
      </c>
      <c r="D218" s="123"/>
      <c r="E218" s="123"/>
      <c r="F218" s="123"/>
      <c r="G218" s="124"/>
      <c r="H218" s="132">
        <f>SUM(H216:H217)</f>
        <v>12000000</v>
      </c>
      <c r="I218" s="238">
        <f>+C218-H218</f>
        <v>0</v>
      </c>
      <c r="J218" s="241"/>
    </row>
    <row r="219" spans="1:10" ht="13.5" thickBot="1">
      <c r="A219" s="107"/>
      <c r="B219" s="108"/>
      <c r="C219" s="109"/>
      <c r="D219" s="109"/>
      <c r="E219" s="109"/>
      <c r="F219" s="109"/>
      <c r="G219" s="110"/>
      <c r="H219" s="258"/>
      <c r="I219" s="181"/>
      <c r="J219" s="181"/>
    </row>
    <row r="220" spans="1:10" ht="13.5" thickBot="1">
      <c r="A220" s="174"/>
      <c r="B220" s="175"/>
      <c r="C220" s="176"/>
      <c r="D220" s="175"/>
      <c r="E220" s="109"/>
      <c r="F220" s="175"/>
      <c r="G220" s="177"/>
      <c r="H220" s="178"/>
      <c r="I220" s="249"/>
      <c r="J220" s="249"/>
    </row>
    <row r="221" spans="1:12" s="138" customFormat="1" ht="12.75">
      <c r="A221" s="153" t="s">
        <v>146</v>
      </c>
      <c r="B221" s="135"/>
      <c r="C221" s="135"/>
      <c r="D221" s="134"/>
      <c r="E221" s="134"/>
      <c r="F221" s="134"/>
      <c r="G221" s="135"/>
      <c r="H221" s="136"/>
      <c r="I221" s="242"/>
      <c r="J221" s="242"/>
      <c r="K221" s="414"/>
      <c r="L221" s="137"/>
    </row>
    <row r="222" spans="1:12" s="138" customFormat="1" ht="12.75">
      <c r="A222" s="133" t="str">
        <f>+'[5]Clasific. Económica de Ingresos'!A94</f>
        <v>1.3.2.3.01.06.0.0.000</v>
      </c>
      <c r="B222" s="135" t="s">
        <v>429</v>
      </c>
      <c r="C222" s="40">
        <f>SUM('[5]Clasific. Económica de Ingresos'!C94)</f>
        <v>600000000</v>
      </c>
      <c r="D222" s="134"/>
      <c r="E222" s="134"/>
      <c r="F222" s="134"/>
      <c r="G222" s="135"/>
      <c r="H222" s="136"/>
      <c r="I222" s="242"/>
      <c r="J222" s="242"/>
      <c r="K222" s="414"/>
      <c r="L222" s="137"/>
    </row>
    <row r="223" spans="1:12" s="138" customFormat="1" ht="12.75">
      <c r="A223" s="133"/>
      <c r="B223" s="135"/>
      <c r="C223" s="40"/>
      <c r="D223" s="134" t="s">
        <v>389</v>
      </c>
      <c r="E223" s="134" t="s">
        <v>390</v>
      </c>
      <c r="F223" s="134" t="s">
        <v>391</v>
      </c>
      <c r="G223" s="135" t="s">
        <v>392</v>
      </c>
      <c r="H223" s="136">
        <v>480647626.6</v>
      </c>
      <c r="I223" s="242"/>
      <c r="J223" s="242"/>
      <c r="K223" s="414"/>
      <c r="L223" s="137"/>
    </row>
    <row r="224" spans="1:12" s="138" customFormat="1" ht="13.5" thickBot="1">
      <c r="A224" s="133"/>
      <c r="B224" s="135"/>
      <c r="C224" s="40"/>
      <c r="D224" s="134" t="s">
        <v>389</v>
      </c>
      <c r="E224" s="134" t="s">
        <v>393</v>
      </c>
      <c r="F224" s="134"/>
      <c r="G224" s="135" t="str">
        <f>+'[5]ProgramaI'!B32</f>
        <v>Comité Cantonal Deportes y Recreación </v>
      </c>
      <c r="H224" s="136">
        <v>119352373.4</v>
      </c>
      <c r="I224" s="242"/>
      <c r="J224" s="242"/>
      <c r="K224" s="414"/>
      <c r="L224" s="137"/>
    </row>
    <row r="225" spans="1:12" s="138" customFormat="1" ht="28.5" customHeight="1" hidden="1">
      <c r="A225" s="133"/>
      <c r="B225" s="134"/>
      <c r="C225" s="40"/>
      <c r="D225" s="134" t="s">
        <v>396</v>
      </c>
      <c r="E225" s="134" t="s">
        <v>397</v>
      </c>
      <c r="F225" s="134" t="s">
        <v>405</v>
      </c>
      <c r="G225" s="152" t="str">
        <f>+'[5]Egresos Programa III General'!B26</f>
        <v>CONSTRUCCION DE BOULEVAR COSTADO SUR CANCHA DE FUTBOL DE SAN RAFAEL</v>
      </c>
      <c r="H225" s="136">
        <v>0</v>
      </c>
      <c r="I225" s="242"/>
      <c r="J225" s="242"/>
      <c r="K225" s="414"/>
      <c r="L225" s="137"/>
    </row>
    <row r="226" spans="1:12" s="138" customFormat="1" ht="13.5" hidden="1" thickBot="1">
      <c r="A226" s="133"/>
      <c r="B226" s="134"/>
      <c r="C226" s="40"/>
      <c r="D226" s="134" t="s">
        <v>396</v>
      </c>
      <c r="E226" s="134" t="s">
        <v>405</v>
      </c>
      <c r="F226" s="134" t="s">
        <v>420</v>
      </c>
      <c r="G226" s="135" t="s">
        <v>497</v>
      </c>
      <c r="H226" s="136"/>
      <c r="I226" s="242"/>
      <c r="J226" s="242"/>
      <c r="K226" s="414"/>
      <c r="L226" s="137"/>
    </row>
    <row r="227" spans="1:12" s="138" customFormat="1" ht="13.5" hidden="1" thickBot="1">
      <c r="A227" s="133"/>
      <c r="B227" s="134"/>
      <c r="C227" s="40"/>
      <c r="D227" s="134" t="s">
        <v>396</v>
      </c>
      <c r="E227" s="134" t="s">
        <v>405</v>
      </c>
      <c r="F227" s="134" t="s">
        <v>405</v>
      </c>
      <c r="G227" s="135" t="s">
        <v>498</v>
      </c>
      <c r="H227" s="136"/>
      <c r="I227" s="242"/>
      <c r="J227" s="242"/>
      <c r="K227" s="414"/>
      <c r="L227" s="137"/>
    </row>
    <row r="228" spans="1:12" s="138" customFormat="1" ht="13.5" hidden="1" thickBot="1">
      <c r="A228" s="133"/>
      <c r="B228" s="134"/>
      <c r="C228" s="40"/>
      <c r="D228" s="134" t="s">
        <v>396</v>
      </c>
      <c r="E228" s="134" t="s">
        <v>405</v>
      </c>
      <c r="F228" s="134" t="s">
        <v>400</v>
      </c>
      <c r="G228" s="135" t="s">
        <v>499</v>
      </c>
      <c r="H228" s="136"/>
      <c r="I228" s="242"/>
      <c r="J228" s="242"/>
      <c r="K228" s="414"/>
      <c r="L228" s="137"/>
    </row>
    <row r="229" spans="1:12" s="138" customFormat="1" ht="26.25" hidden="1" thickBot="1">
      <c r="A229" s="133"/>
      <c r="B229" s="134"/>
      <c r="C229" s="40"/>
      <c r="D229" s="134" t="s">
        <v>396</v>
      </c>
      <c r="E229" s="134" t="s">
        <v>405</v>
      </c>
      <c r="F229" s="134">
        <v>10</v>
      </c>
      <c r="G229" s="152" t="s">
        <v>500</v>
      </c>
      <c r="H229" s="136"/>
      <c r="I229" s="242"/>
      <c r="J229" s="242"/>
      <c r="K229" s="414"/>
      <c r="L229" s="137"/>
    </row>
    <row r="230" spans="1:12" s="138" customFormat="1" ht="13.5" hidden="1" thickBot="1">
      <c r="A230" s="133"/>
      <c r="B230" s="134"/>
      <c r="C230" s="40"/>
      <c r="D230" s="134" t="s">
        <v>396</v>
      </c>
      <c r="E230" s="134" t="s">
        <v>400</v>
      </c>
      <c r="F230" s="151"/>
      <c r="G230" s="135" t="s">
        <v>401</v>
      </c>
      <c r="H230" s="136"/>
      <c r="I230" s="242"/>
      <c r="J230" s="242"/>
      <c r="K230" s="414"/>
      <c r="L230" s="137"/>
    </row>
    <row r="231" spans="1:12" s="138" customFormat="1" ht="13.5" hidden="1" thickBot="1">
      <c r="A231" s="133"/>
      <c r="B231" s="134"/>
      <c r="C231" s="40"/>
      <c r="D231" s="134" t="s">
        <v>396</v>
      </c>
      <c r="E231" s="134" t="s">
        <v>395</v>
      </c>
      <c r="F231" s="151"/>
      <c r="G231" s="135" t="s">
        <v>479</v>
      </c>
      <c r="H231" s="136">
        <v>0</v>
      </c>
      <c r="I231" s="242"/>
      <c r="J231" s="242"/>
      <c r="K231" s="414"/>
      <c r="L231" s="137"/>
    </row>
    <row r="232" spans="1:12" s="145" customFormat="1" ht="13.5" thickBot="1">
      <c r="A232" s="140" t="s">
        <v>402</v>
      </c>
      <c r="B232" s="156"/>
      <c r="C232" s="141">
        <f>SUM(C222:C231)</f>
        <v>600000000</v>
      </c>
      <c r="D232" s="48"/>
      <c r="E232" s="48"/>
      <c r="F232" s="48"/>
      <c r="G232" s="142"/>
      <c r="H232" s="143">
        <f>SUM(H222:H231)</f>
        <v>600000000</v>
      </c>
      <c r="I232" s="244">
        <f>+C232-H232</f>
        <v>0</v>
      </c>
      <c r="J232" s="8"/>
      <c r="K232" s="417"/>
      <c r="L232" s="144"/>
    </row>
    <row r="233" spans="1:12" s="138" customFormat="1" ht="12.75">
      <c r="A233" s="150"/>
      <c r="B233" s="165"/>
      <c r="C233" s="155"/>
      <c r="D233" s="134"/>
      <c r="E233" s="134"/>
      <c r="F233" s="134"/>
      <c r="G233" s="135"/>
      <c r="H233" s="136"/>
      <c r="I233" s="242"/>
      <c r="J233" s="242"/>
      <c r="K233" s="414"/>
      <c r="L233" s="137"/>
    </row>
    <row r="234" spans="1:12" s="145" customFormat="1" ht="25.5">
      <c r="A234" s="133" t="str">
        <f>+'[5]Clasific. Económica de Ingresos'!A101</f>
        <v>1.3.3.1.01.01.0.0.000</v>
      </c>
      <c r="B234" s="165" t="s">
        <v>430</v>
      </c>
      <c r="C234" s="40">
        <f>SUM('[5]Clasific. Económica de Ingresos'!C101)</f>
        <v>221850000</v>
      </c>
      <c r="D234" s="134"/>
      <c r="E234" s="134"/>
      <c r="F234" s="134"/>
      <c r="G234" s="135"/>
      <c r="H234" s="136"/>
      <c r="I234" s="242"/>
      <c r="J234" s="242"/>
      <c r="K234" s="417"/>
      <c r="L234" s="144"/>
    </row>
    <row r="235" spans="1:12" s="145" customFormat="1" ht="12.75">
      <c r="A235" s="133"/>
      <c r="B235" s="165"/>
      <c r="C235" s="40"/>
      <c r="D235" s="134" t="s">
        <v>389</v>
      </c>
      <c r="E235" s="134" t="s">
        <v>390</v>
      </c>
      <c r="F235" s="134" t="s">
        <v>391</v>
      </c>
      <c r="G235" s="135" t="s">
        <v>392</v>
      </c>
      <c r="H235" s="136">
        <f>55000000+136850000</f>
        <v>191850000</v>
      </c>
      <c r="I235" s="242"/>
      <c r="J235" s="242"/>
      <c r="K235" s="417"/>
      <c r="L235" s="144"/>
    </row>
    <row r="236" spans="1:12" s="138" customFormat="1" ht="12.75" hidden="1">
      <c r="A236" s="133"/>
      <c r="B236" s="134"/>
      <c r="C236" s="40"/>
      <c r="D236" s="134" t="s">
        <v>389</v>
      </c>
      <c r="E236" s="134" t="s">
        <v>393</v>
      </c>
      <c r="F236" s="134"/>
      <c r="G236" s="135" t="str">
        <f>+'[5]ProgramaI'!B32</f>
        <v>Comité Cantonal Deportes y Recreación </v>
      </c>
      <c r="H236" s="136">
        <v>0</v>
      </c>
      <c r="I236" s="242"/>
      <c r="J236" s="242"/>
      <c r="K236" s="414"/>
      <c r="L236" s="137"/>
    </row>
    <row r="237" spans="1:12" s="138" customFormat="1" ht="12.75" hidden="1">
      <c r="A237" s="133"/>
      <c r="B237" s="134"/>
      <c r="C237" s="40"/>
      <c r="D237" s="134" t="s">
        <v>394</v>
      </c>
      <c r="E237" s="134">
        <v>23</v>
      </c>
      <c r="F237" s="134"/>
      <c r="G237" s="135" t="str">
        <f>+'[5]Egresos Programa II General'!B31</f>
        <v>Seguridad y Vigilancia en la Comunidad</v>
      </c>
      <c r="H237" s="136"/>
      <c r="I237" s="242"/>
      <c r="J237" s="242"/>
      <c r="K237" s="414"/>
      <c r="L237" s="137"/>
    </row>
    <row r="238" spans="1:12" s="138" customFormat="1" ht="26.25" thickBot="1">
      <c r="A238" s="153"/>
      <c r="B238" s="135"/>
      <c r="C238" s="40"/>
      <c r="D238" s="134" t="s">
        <v>396</v>
      </c>
      <c r="E238" s="134" t="s">
        <v>405</v>
      </c>
      <c r="F238" s="134">
        <v>12</v>
      </c>
      <c r="G238" s="152" t="str">
        <f>+'[5]Egresos Programa III General'!B59</f>
        <v> MEJORAS PARQUE URB. LAS AZUCENAS  CANOAS GUADALUPE </v>
      </c>
      <c r="H238" s="136">
        <f>+'[5]Egresos Programa III General'!C59</f>
        <v>30000000</v>
      </c>
      <c r="I238" s="242"/>
      <c r="J238" s="242"/>
      <c r="K238" s="414"/>
      <c r="L238" s="137"/>
    </row>
    <row r="239" spans="1:12" s="138" customFormat="1" ht="13.5" thickBot="1">
      <c r="A239" s="140" t="s">
        <v>402</v>
      </c>
      <c r="B239" s="156"/>
      <c r="C239" s="141">
        <f>SUM(C234:C237)</f>
        <v>221850000</v>
      </c>
      <c r="D239" s="48"/>
      <c r="E239" s="48"/>
      <c r="F239" s="48"/>
      <c r="G239" s="142"/>
      <c r="H239" s="143">
        <f>SUM(H235:H238)</f>
        <v>221850000</v>
      </c>
      <c r="I239" s="244">
        <f>+C239-H239</f>
        <v>0</v>
      </c>
      <c r="J239" s="8"/>
      <c r="K239" s="414"/>
      <c r="L239" s="137"/>
    </row>
    <row r="240" spans="1:12" s="138" customFormat="1" ht="12.75">
      <c r="A240" s="133"/>
      <c r="B240" s="134"/>
      <c r="C240" s="40"/>
      <c r="D240" s="151"/>
      <c r="E240" s="151"/>
      <c r="F240" s="151"/>
      <c r="G240" s="166"/>
      <c r="H240" s="164"/>
      <c r="I240" s="250"/>
      <c r="J240" s="250"/>
      <c r="K240" s="414"/>
      <c r="L240" s="137"/>
    </row>
    <row r="241" spans="1:12" s="138" customFormat="1" ht="25.5">
      <c r="A241" s="133" t="str">
        <f>+'[5]Clasific. Económica de Ingresos'!A103</f>
        <v>1.3.3.1.02.01.0.0.000</v>
      </c>
      <c r="B241" s="152" t="s">
        <v>431</v>
      </c>
      <c r="C241" s="40">
        <f>SUM('[5]Clasific. Económica de Ingresos'!C103)</f>
        <v>110000000</v>
      </c>
      <c r="D241" s="134"/>
      <c r="E241" s="134"/>
      <c r="F241" s="134"/>
      <c r="G241" s="135"/>
      <c r="H241" s="136"/>
      <c r="I241" s="242"/>
      <c r="J241" s="242"/>
      <c r="K241" s="414"/>
      <c r="L241" s="137"/>
    </row>
    <row r="242" spans="1:12" s="138" customFormat="1" ht="12.75">
      <c r="A242" s="133"/>
      <c r="B242" s="134"/>
      <c r="C242" s="40"/>
      <c r="D242" s="134" t="s">
        <v>389</v>
      </c>
      <c r="E242" s="134" t="s">
        <v>393</v>
      </c>
      <c r="F242" s="134"/>
      <c r="G242" s="135" t="str">
        <f>+'[5]ProgramaI'!B32</f>
        <v>Comité Cantonal Deportes y Recreación </v>
      </c>
      <c r="H242" s="139">
        <v>95000000</v>
      </c>
      <c r="I242" s="243"/>
      <c r="J242" s="243"/>
      <c r="K242" s="414"/>
      <c r="L242" s="137"/>
    </row>
    <row r="243" spans="1:12" s="138" customFormat="1" ht="12.75" hidden="1">
      <c r="A243" s="133"/>
      <c r="B243" s="134"/>
      <c r="C243" s="40"/>
      <c r="D243" s="134" t="s">
        <v>389</v>
      </c>
      <c r="E243" s="134" t="s">
        <v>393</v>
      </c>
      <c r="F243" s="134"/>
      <c r="G243" s="135" t="str">
        <f>+'[5]ProgramaI'!B33</f>
        <v>FEDOMA</v>
      </c>
      <c r="H243" s="139">
        <f>+'[5]ProgramaI'!E33</f>
        <v>0</v>
      </c>
      <c r="I243" s="243"/>
      <c r="J243" s="243"/>
      <c r="K243" s="414"/>
      <c r="L243" s="137"/>
    </row>
    <row r="244" spans="1:12" s="138" customFormat="1" ht="13.5" thickBot="1">
      <c r="A244" s="133"/>
      <c r="B244" s="134"/>
      <c r="C244" s="40"/>
      <c r="D244" s="134" t="s">
        <v>389</v>
      </c>
      <c r="E244" s="134" t="s">
        <v>393</v>
      </c>
      <c r="F244" s="134"/>
      <c r="G244" s="135" t="str">
        <f>+'[5]ProgramaI'!B46</f>
        <v>Reintegros o devoluciones</v>
      </c>
      <c r="H244" s="139">
        <f>+'[5]ProgramaI'!E46</f>
        <v>15000000</v>
      </c>
      <c r="I244" s="243"/>
      <c r="J244" s="243"/>
      <c r="K244" s="414"/>
      <c r="L244" s="137"/>
    </row>
    <row r="245" spans="1:12" s="138" customFormat="1" ht="26.25" hidden="1" thickBot="1">
      <c r="A245" s="133"/>
      <c r="B245" s="134"/>
      <c r="C245" s="40"/>
      <c r="D245" s="134" t="s">
        <v>396</v>
      </c>
      <c r="E245" s="134" t="s">
        <v>397</v>
      </c>
      <c r="F245" s="134" t="s">
        <v>390</v>
      </c>
      <c r="G245" s="152" t="s">
        <v>501</v>
      </c>
      <c r="H245" s="139">
        <v>0</v>
      </c>
      <c r="I245" s="243"/>
      <c r="J245" s="243"/>
      <c r="K245" s="414"/>
      <c r="L245" s="137"/>
    </row>
    <row r="246" spans="1:12" s="138" customFormat="1" ht="13.5" hidden="1" thickBot="1">
      <c r="A246" s="263"/>
      <c r="B246" s="39"/>
      <c r="C246" s="40"/>
      <c r="D246" s="134" t="s">
        <v>396</v>
      </c>
      <c r="E246" s="134" t="s">
        <v>405</v>
      </c>
      <c r="F246" s="134" t="s">
        <v>390</v>
      </c>
      <c r="G246" s="135" t="s">
        <v>410</v>
      </c>
      <c r="H246" s="136">
        <v>0</v>
      </c>
      <c r="I246" s="264"/>
      <c r="J246" s="264"/>
      <c r="K246" s="265"/>
      <c r="L246" s="137"/>
    </row>
    <row r="247" spans="1:12" s="138" customFormat="1" ht="13.5" hidden="1" thickBot="1">
      <c r="A247" s="133"/>
      <c r="B247" s="134"/>
      <c r="C247" s="40"/>
      <c r="D247" s="134" t="s">
        <v>396</v>
      </c>
      <c r="E247" s="134" t="s">
        <v>405</v>
      </c>
      <c r="F247" s="134" t="s">
        <v>395</v>
      </c>
      <c r="G247" s="135" t="s">
        <v>502</v>
      </c>
      <c r="H247" s="139">
        <v>0</v>
      </c>
      <c r="I247" s="243"/>
      <c r="J247" s="243"/>
      <c r="K247" s="414"/>
      <c r="L247" s="137"/>
    </row>
    <row r="248" spans="1:12" s="138" customFormat="1" ht="26.25" hidden="1" thickBot="1">
      <c r="A248" s="133"/>
      <c r="B248" s="134"/>
      <c r="C248" s="40"/>
      <c r="D248" s="134" t="s">
        <v>396</v>
      </c>
      <c r="E248" s="134" t="s">
        <v>405</v>
      </c>
      <c r="F248" s="134">
        <v>13</v>
      </c>
      <c r="G248" s="152" t="s">
        <v>503</v>
      </c>
      <c r="H248" s="139">
        <v>0</v>
      </c>
      <c r="I248" s="243"/>
      <c r="J248" s="243"/>
      <c r="K248" s="414"/>
      <c r="L248" s="137"/>
    </row>
    <row r="249" spans="1:12" s="138" customFormat="1" ht="13.5" hidden="1" thickBot="1">
      <c r="A249" s="133"/>
      <c r="B249" s="134"/>
      <c r="C249" s="40"/>
      <c r="D249" s="134" t="s">
        <v>396</v>
      </c>
      <c r="E249" s="134" t="s">
        <v>397</v>
      </c>
      <c r="F249" s="272" t="s">
        <v>397</v>
      </c>
      <c r="G249" s="135" t="s">
        <v>496</v>
      </c>
      <c r="H249" s="139">
        <v>0</v>
      </c>
      <c r="I249" s="243"/>
      <c r="J249" s="243"/>
      <c r="K249" s="414"/>
      <c r="L249" s="137"/>
    </row>
    <row r="250" spans="1:12" s="138" customFormat="1" ht="26.25" hidden="1" thickBot="1">
      <c r="A250" s="133"/>
      <c r="B250" s="134"/>
      <c r="C250" s="40"/>
      <c r="D250" s="134" t="s">
        <v>396</v>
      </c>
      <c r="E250" s="134" t="s">
        <v>400</v>
      </c>
      <c r="F250" s="134"/>
      <c r="G250" s="152" t="s">
        <v>504</v>
      </c>
      <c r="H250" s="139"/>
      <c r="I250" s="243"/>
      <c r="J250" s="243"/>
      <c r="K250" s="414"/>
      <c r="L250" s="137"/>
    </row>
    <row r="251" spans="1:12" s="138" customFormat="1" ht="13.5" thickBot="1">
      <c r="A251" s="140" t="s">
        <v>402</v>
      </c>
      <c r="B251" s="156"/>
      <c r="C251" s="141">
        <f>SUM(C241:C244)</f>
        <v>110000000</v>
      </c>
      <c r="D251" s="48"/>
      <c r="E251" s="48"/>
      <c r="F251" s="48"/>
      <c r="G251" s="142"/>
      <c r="H251" s="143">
        <f>SUM(H242:H250)</f>
        <v>110000000</v>
      </c>
      <c r="I251" s="244">
        <f>+C251-H251</f>
        <v>0</v>
      </c>
      <c r="J251" s="248"/>
      <c r="K251" s="414"/>
      <c r="L251" s="137"/>
    </row>
    <row r="252" spans="1:12" s="138" customFormat="1" ht="12.75">
      <c r="A252" s="153" t="s">
        <v>146</v>
      </c>
      <c r="B252" s="135"/>
      <c r="C252" s="135"/>
      <c r="D252" s="134"/>
      <c r="E252" s="134"/>
      <c r="F252" s="134"/>
      <c r="G252" s="135"/>
      <c r="H252" s="136"/>
      <c r="I252" s="242"/>
      <c r="J252" s="242"/>
      <c r="K252" s="414"/>
      <c r="L252" s="137"/>
    </row>
    <row r="253" spans="1:12" s="138" customFormat="1" ht="12.75">
      <c r="A253" s="133" t="str">
        <f>+'[5]Clasific. Económica de Ingresos'!A104</f>
        <v>1.3.3.1.09.00.0.0.000</v>
      </c>
      <c r="B253" s="135" t="s">
        <v>489</v>
      </c>
      <c r="C253" s="40">
        <f>SUM('[5]Clasific. Económica de Ingresos'!C104)</f>
        <v>138000000</v>
      </c>
      <c r="D253" s="134"/>
      <c r="E253" s="134"/>
      <c r="F253" s="134"/>
      <c r="G253" s="135"/>
      <c r="H253" s="136"/>
      <c r="I253" s="242"/>
      <c r="J253" s="242"/>
      <c r="K253" s="414"/>
      <c r="L253" s="137"/>
    </row>
    <row r="254" spans="1:12" s="138" customFormat="1" ht="12.75">
      <c r="A254" s="154"/>
      <c r="B254" s="246"/>
      <c r="C254" s="40"/>
      <c r="D254" s="134" t="s">
        <v>389</v>
      </c>
      <c r="E254" s="134" t="s">
        <v>390</v>
      </c>
      <c r="F254" s="134" t="s">
        <v>391</v>
      </c>
      <c r="G254" s="135" t="s">
        <v>392</v>
      </c>
      <c r="H254" s="139">
        <f>4964081.6+25650000</f>
        <v>30614081.6</v>
      </c>
      <c r="I254" s="243"/>
      <c r="J254" s="243"/>
      <c r="K254" s="414"/>
      <c r="L254" s="137"/>
    </row>
    <row r="255" spans="1:12" s="138" customFormat="1" ht="14.25" customHeight="1">
      <c r="A255" s="133"/>
      <c r="B255" s="134"/>
      <c r="C255" s="40"/>
      <c r="D255" s="134" t="s">
        <v>394</v>
      </c>
      <c r="E255" s="134">
        <v>29</v>
      </c>
      <c r="F255" s="134"/>
      <c r="G255" s="135" t="str">
        <f>+'[5]Egresos Programa II General'!B39</f>
        <v>Por incumplimiento de Deberes de los Propietarios BI</v>
      </c>
      <c r="H255" s="139">
        <f>+'[5]Egresos Programa II General'!C39-'Origen y Aplicación'!H272</f>
        <v>92385918.39623415</v>
      </c>
      <c r="I255" s="243"/>
      <c r="J255" s="243"/>
      <c r="K255" s="414"/>
      <c r="L255" s="137"/>
    </row>
    <row r="256" spans="1:12" s="138" customFormat="1" ht="26.25" thickBot="1">
      <c r="A256" s="133"/>
      <c r="B256" s="134"/>
      <c r="C256" s="40"/>
      <c r="D256" s="134" t="s">
        <v>396</v>
      </c>
      <c r="E256" s="134" t="s">
        <v>390</v>
      </c>
      <c r="F256" s="134" t="s">
        <v>420</v>
      </c>
      <c r="G256" s="152" t="str">
        <f>+'[5]Egresos Programa III General'!B16</f>
        <v> MEJORAS EN LA ESCUELA DAVID GONZALEZ ALFARO</v>
      </c>
      <c r="H256" s="139">
        <f>+'[5]Egresos Programa III General'!C16</f>
        <v>15000000</v>
      </c>
      <c r="I256" s="243">
        <v>0</v>
      </c>
      <c r="J256" s="243"/>
      <c r="K256" s="414"/>
      <c r="L256" s="137"/>
    </row>
    <row r="257" spans="1:12" s="145" customFormat="1" ht="13.5" thickBot="1">
      <c r="A257" s="140" t="s">
        <v>402</v>
      </c>
      <c r="B257" s="156"/>
      <c r="C257" s="141">
        <f>SUM(C253:C255)</f>
        <v>138000000</v>
      </c>
      <c r="D257" s="48"/>
      <c r="E257" s="48"/>
      <c r="F257" s="48"/>
      <c r="G257" s="142"/>
      <c r="H257" s="143">
        <f>SUM(H254:H256)</f>
        <v>137999999.99623415</v>
      </c>
      <c r="I257" s="244">
        <f>+C257-H257</f>
        <v>0.0037658512592315674</v>
      </c>
      <c r="J257" s="8"/>
      <c r="K257" s="417"/>
      <c r="L257" s="144"/>
    </row>
    <row r="258" spans="1:12" s="138" customFormat="1" ht="12.75">
      <c r="A258" s="150"/>
      <c r="B258" s="165"/>
      <c r="C258" s="155"/>
      <c r="D258" s="7"/>
      <c r="E258" s="7"/>
      <c r="F258" s="7"/>
      <c r="G258" s="135"/>
      <c r="H258" s="167"/>
      <c r="I258" s="251"/>
      <c r="J258" s="251"/>
      <c r="K258" s="414"/>
      <c r="L258" s="137"/>
    </row>
    <row r="259" spans="1:12" s="138" customFormat="1" ht="12.75" customHeight="1">
      <c r="A259" s="133" t="str">
        <f>+'[5]Clasific. Económica de Ingresos'!A109</f>
        <v>1.3.4.1.00.00.0.0.000</v>
      </c>
      <c r="B259" s="165" t="s">
        <v>432</v>
      </c>
      <c r="C259" s="40">
        <f>SUM('[5]Clasific. Económica de Ingresos'!C109)</f>
        <v>615000000</v>
      </c>
      <c r="D259" s="134"/>
      <c r="E259" s="134"/>
      <c r="F259" s="134"/>
      <c r="G259" s="135"/>
      <c r="H259" s="136"/>
      <c r="I259" s="242"/>
      <c r="J259" s="242"/>
      <c r="K259" s="414"/>
      <c r="L259" s="137"/>
    </row>
    <row r="260" spans="1:12" s="138" customFormat="1" ht="12.75">
      <c r="A260" s="133"/>
      <c r="B260" s="134"/>
      <c r="C260" s="40"/>
      <c r="D260" s="134" t="s">
        <v>389</v>
      </c>
      <c r="E260" s="134" t="s">
        <v>393</v>
      </c>
      <c r="F260" s="134"/>
      <c r="G260" s="135" t="str">
        <f>+'[5]ProgramaI'!B30</f>
        <v>Consejo Nac. De Rehab. y Educ. Esp. </v>
      </c>
      <c r="H260" s="139">
        <f>+'[5]ProgramaI'!E30</f>
        <v>115429165.63</v>
      </c>
      <c r="I260" s="243"/>
      <c r="J260" s="243"/>
      <c r="K260" s="414"/>
      <c r="L260" s="137"/>
    </row>
    <row r="261" spans="1:12" s="138" customFormat="1" ht="12.75">
      <c r="A261" s="133"/>
      <c r="B261" s="134"/>
      <c r="C261" s="40"/>
      <c r="D261" s="134" t="s">
        <v>389</v>
      </c>
      <c r="E261" s="134" t="s">
        <v>393</v>
      </c>
      <c r="F261" s="134"/>
      <c r="G261" s="135" t="str">
        <f>+'[5]ProgramaI'!B32</f>
        <v>Comité Cantonal Deportes y Recreación </v>
      </c>
      <c r="H261" s="139">
        <f>+'[5]ProgramaI'!E32-H242-H236-H90-H224</f>
        <v>476671425.98</v>
      </c>
      <c r="I261" s="243"/>
      <c r="J261" s="243"/>
      <c r="K261" s="414"/>
      <c r="L261" s="137"/>
    </row>
    <row r="262" spans="1:12" s="138" customFormat="1" ht="12.75" hidden="1">
      <c r="A262" s="133"/>
      <c r="B262" s="134"/>
      <c r="C262" s="40"/>
      <c r="D262" s="134" t="s">
        <v>389</v>
      </c>
      <c r="E262" s="134" t="s">
        <v>393</v>
      </c>
      <c r="F262" s="134"/>
      <c r="G262" s="135" t="str">
        <f>+'[5]ProgramaI'!B46</f>
        <v>Reintegros o devoluciones</v>
      </c>
      <c r="H262" s="139">
        <v>0</v>
      </c>
      <c r="I262" s="243"/>
      <c r="J262" s="243"/>
      <c r="K262" s="414"/>
      <c r="L262" s="137"/>
    </row>
    <row r="263" spans="1:12" s="138" customFormat="1" ht="12.75">
      <c r="A263" s="154"/>
      <c r="B263" s="246"/>
      <c r="C263" s="40"/>
      <c r="D263" s="134" t="s">
        <v>396</v>
      </c>
      <c r="E263" s="134" t="s">
        <v>390</v>
      </c>
      <c r="F263" s="134" t="s">
        <v>393</v>
      </c>
      <c r="G263" s="152" t="str">
        <f>+'[5]Egresos Programa III General'!B15</f>
        <v>MEJORAS EN EL EBAIS DE RIO SEGUNDO</v>
      </c>
      <c r="H263" s="136">
        <f>+'[5]Egresos Programa III General'!C15</f>
        <v>15000000</v>
      </c>
      <c r="I263" s="243"/>
      <c r="J263" s="243"/>
      <c r="K263" s="414"/>
      <c r="L263" s="137"/>
    </row>
    <row r="264" spans="1:12" s="138" customFormat="1" ht="26.25" thickBot="1">
      <c r="A264" s="154"/>
      <c r="B264" s="246"/>
      <c r="C264" s="40"/>
      <c r="D264" s="134" t="s">
        <v>396</v>
      </c>
      <c r="E264" s="134" t="s">
        <v>390</v>
      </c>
      <c r="F264" s="134" t="s">
        <v>405</v>
      </c>
      <c r="G264" s="152" t="str">
        <f>+'[5]Egresos Programa III General'!B17</f>
        <v> MEJORAS INFRESTRUCTURA ESCUELA AEROPUERTO</v>
      </c>
      <c r="H264" s="136">
        <f>+'[5]Egresos Programa III General'!C17</f>
        <v>7899408.39</v>
      </c>
      <c r="I264" s="243"/>
      <c r="J264" s="243"/>
      <c r="K264" s="414"/>
      <c r="L264" s="137"/>
    </row>
    <row r="265" spans="1:12" s="138" customFormat="1" ht="13.5" customHeight="1" hidden="1">
      <c r="A265" s="133"/>
      <c r="B265" s="135"/>
      <c r="C265" s="40"/>
      <c r="D265" s="134" t="s">
        <v>396</v>
      </c>
      <c r="E265" s="134" t="s">
        <v>397</v>
      </c>
      <c r="F265" s="134" t="s">
        <v>397</v>
      </c>
      <c r="G265" s="135" t="s">
        <v>496</v>
      </c>
      <c r="H265" s="139"/>
      <c r="I265" s="242"/>
      <c r="J265" s="242"/>
      <c r="K265" s="414"/>
      <c r="L265" s="137"/>
    </row>
    <row r="266" spans="1:12" s="138" customFormat="1" ht="15" customHeight="1" hidden="1">
      <c r="A266" s="133"/>
      <c r="B266" s="134"/>
      <c r="C266" s="40"/>
      <c r="D266" s="134" t="s">
        <v>396</v>
      </c>
      <c r="E266" s="134" t="s">
        <v>405</v>
      </c>
      <c r="F266" s="134" t="s">
        <v>390</v>
      </c>
      <c r="G266" s="152" t="s">
        <v>410</v>
      </c>
      <c r="H266" s="139"/>
      <c r="I266" s="243"/>
      <c r="J266" s="243"/>
      <c r="K266" s="414"/>
      <c r="L266" s="137"/>
    </row>
    <row r="267" spans="1:12" s="138" customFormat="1" ht="13.5" hidden="1" thickBot="1">
      <c r="A267" s="133"/>
      <c r="B267" s="134"/>
      <c r="C267" s="40"/>
      <c r="D267" s="134" t="s">
        <v>396</v>
      </c>
      <c r="E267" s="134" t="s">
        <v>400</v>
      </c>
      <c r="F267" s="134"/>
      <c r="G267" s="135" t="s">
        <v>401</v>
      </c>
      <c r="H267" s="139"/>
      <c r="I267" s="243"/>
      <c r="J267" s="243"/>
      <c r="K267" s="414"/>
      <c r="L267" s="137"/>
    </row>
    <row r="268" spans="1:12" s="138" customFormat="1" ht="13.5" hidden="1" thickBot="1">
      <c r="A268" s="133"/>
      <c r="B268" s="134"/>
      <c r="C268" s="40"/>
      <c r="D268" s="134" t="s">
        <v>396</v>
      </c>
      <c r="E268" s="134" t="s">
        <v>395</v>
      </c>
      <c r="F268" s="151"/>
      <c r="G268" s="135" t="s">
        <v>479</v>
      </c>
      <c r="H268" s="139">
        <v>0</v>
      </c>
      <c r="I268" s="243"/>
      <c r="J268" s="243"/>
      <c r="K268" s="414"/>
      <c r="L268" s="137"/>
    </row>
    <row r="269" spans="1:12" s="138" customFormat="1" ht="13.5" thickBot="1">
      <c r="A269" s="140" t="s">
        <v>402</v>
      </c>
      <c r="B269" s="156"/>
      <c r="C269" s="141">
        <f>SUM(C259:C260)</f>
        <v>615000000</v>
      </c>
      <c r="D269" s="48"/>
      <c r="E269" s="48"/>
      <c r="F269" s="48"/>
      <c r="G269" s="142"/>
      <c r="H269" s="143">
        <f>SUM(H260:H268)</f>
        <v>615000000</v>
      </c>
      <c r="I269" s="244">
        <f>+C269-H269</f>
        <v>0</v>
      </c>
      <c r="J269" s="8"/>
      <c r="K269" s="414"/>
      <c r="L269" s="137"/>
    </row>
    <row r="270" spans="1:10" ht="12.75">
      <c r="A270" s="162"/>
      <c r="B270" s="114"/>
      <c r="C270" s="114"/>
      <c r="D270" s="131"/>
      <c r="E270" s="131"/>
      <c r="F270" s="131"/>
      <c r="G270" s="163"/>
      <c r="H270" s="161"/>
      <c r="I270" s="249"/>
      <c r="J270" s="249"/>
    </row>
    <row r="271" spans="1:10" ht="12.75">
      <c r="A271" s="105" t="str">
        <f>+'[5]Clasific. Económica de Ingresos'!A70</f>
        <v>1.3.1.2.05.04.5.0.000</v>
      </c>
      <c r="B271" s="114" t="s">
        <v>94</v>
      </c>
      <c r="C271" s="115">
        <f>+'[5]Clasific. Económica de Ingresos'!C70</f>
        <v>28500000</v>
      </c>
      <c r="D271" s="106" t="s">
        <v>389</v>
      </c>
      <c r="E271" s="106" t="s">
        <v>390</v>
      </c>
      <c r="F271" s="106" t="s">
        <v>391</v>
      </c>
      <c r="G271" s="114" t="s">
        <v>392</v>
      </c>
      <c r="H271" s="148">
        <f>+C271*10%</f>
        <v>2850000</v>
      </c>
      <c r="I271" s="252"/>
      <c r="J271" s="252"/>
    </row>
    <row r="272" spans="1:10" ht="13.5" thickBot="1">
      <c r="A272" s="105"/>
      <c r="B272" s="106"/>
      <c r="C272" s="115"/>
      <c r="D272" s="106" t="s">
        <v>394</v>
      </c>
      <c r="E272" s="106">
        <v>29</v>
      </c>
      <c r="F272" s="106"/>
      <c r="G272" s="114" t="str">
        <f>+'[5]Egresos Programa II General'!B39</f>
        <v>Por incumplimiento de Deberes de los Propietarios BI</v>
      </c>
      <c r="H272" s="148">
        <v>25650000</v>
      </c>
      <c r="J272" s="413"/>
    </row>
    <row r="273" spans="1:12" s="126" customFormat="1" ht="13.5" thickBot="1">
      <c r="A273" s="121" t="s">
        <v>402</v>
      </c>
      <c r="B273" s="158"/>
      <c r="C273" s="122">
        <f>SUM(C271:C272)</f>
        <v>28500000</v>
      </c>
      <c r="D273" s="123"/>
      <c r="E273" s="123"/>
      <c r="F273" s="123"/>
      <c r="G273" s="124"/>
      <c r="H273" s="132">
        <f>SUM(H271:H272)</f>
        <v>28500000</v>
      </c>
      <c r="I273" s="238">
        <f>+C273-H273</f>
        <v>0</v>
      </c>
      <c r="J273" s="241"/>
      <c r="K273" s="416"/>
      <c r="L273" s="125"/>
    </row>
    <row r="274" spans="1:10" ht="12.75">
      <c r="A274" s="169"/>
      <c r="B274" s="170"/>
      <c r="C274" s="171"/>
      <c r="D274" s="102"/>
      <c r="E274" s="102"/>
      <c r="F274" s="102"/>
      <c r="G274" s="172"/>
      <c r="H274" s="173"/>
      <c r="I274" s="245"/>
      <c r="J274" s="245"/>
    </row>
    <row r="275" spans="1:10" ht="25.5">
      <c r="A275" s="105" t="str">
        <f>+'[5]Clasific. Económica de Ingresos'!A116</f>
        <v>1.4.1.2.01.00.0.0.000</v>
      </c>
      <c r="B275" s="157" t="s">
        <v>653</v>
      </c>
      <c r="C275" s="115">
        <f>SUM('[5]Clasific. Económica de Ingresos'!C116)</f>
        <v>60000000</v>
      </c>
      <c r="D275" s="106"/>
      <c r="E275" s="106"/>
      <c r="F275" s="106"/>
      <c r="G275" s="114"/>
      <c r="H275" s="148"/>
      <c r="I275" s="245"/>
      <c r="J275" s="245"/>
    </row>
    <row r="276" spans="1:10" ht="13.5" thickBot="1">
      <c r="A276" s="105"/>
      <c r="B276" s="106"/>
      <c r="C276" s="115"/>
      <c r="D276" s="106" t="s">
        <v>586</v>
      </c>
      <c r="E276" s="106">
        <v>23</v>
      </c>
      <c r="F276" s="106"/>
      <c r="G276" s="114" t="str">
        <f>+'[5]Egresos Programa II General'!B31</f>
        <v>Seguridad y Vigilancia en la Comunidad</v>
      </c>
      <c r="H276" s="130">
        <f>36547519.92+23452480.08</f>
        <v>60000000</v>
      </c>
      <c r="I276" s="240"/>
      <c r="J276" s="240"/>
    </row>
    <row r="277" spans="1:10" ht="28.5" customHeight="1" hidden="1" thickBot="1">
      <c r="A277" s="105"/>
      <c r="B277" s="180"/>
      <c r="C277" s="115"/>
      <c r="D277" s="106" t="s">
        <v>396</v>
      </c>
      <c r="E277" s="106" t="s">
        <v>395</v>
      </c>
      <c r="F277" s="106"/>
      <c r="G277" s="212" t="s">
        <v>491</v>
      </c>
      <c r="H277" s="148">
        <v>0</v>
      </c>
      <c r="I277" s="245"/>
      <c r="J277" s="245"/>
    </row>
    <row r="278" spans="1:12" s="126" customFormat="1" ht="13.5" thickBot="1">
      <c r="A278" s="121" t="s">
        <v>402</v>
      </c>
      <c r="B278" s="158"/>
      <c r="C278" s="122">
        <f>SUM(C275:C276)</f>
        <v>60000000</v>
      </c>
      <c r="D278" s="123"/>
      <c r="E278" s="123"/>
      <c r="F278" s="123"/>
      <c r="G278" s="124"/>
      <c r="H278" s="132">
        <f>SUM(H276:H277)</f>
        <v>60000000</v>
      </c>
      <c r="I278" s="238">
        <f>+C278-H278</f>
        <v>0</v>
      </c>
      <c r="J278" s="241"/>
      <c r="K278" s="416"/>
      <c r="L278" s="125"/>
    </row>
    <row r="279" spans="1:10" ht="10.5" customHeight="1">
      <c r="A279" s="105"/>
      <c r="B279" s="106"/>
      <c r="C279" s="115"/>
      <c r="D279" s="106"/>
      <c r="E279" s="106"/>
      <c r="F279" s="106"/>
      <c r="G279" s="114"/>
      <c r="H279" s="130"/>
      <c r="I279" s="240"/>
      <c r="J279" s="240"/>
    </row>
    <row r="280" spans="1:10" ht="13.5" customHeight="1" thickBot="1">
      <c r="A280" s="105"/>
      <c r="B280" s="106"/>
      <c r="C280" s="29"/>
      <c r="D280" s="30"/>
      <c r="E280" s="30"/>
      <c r="F280" s="30"/>
      <c r="G280" s="114"/>
      <c r="H280" s="182"/>
      <c r="I280" s="254"/>
      <c r="J280" s="254"/>
    </row>
    <row r="281" spans="1:10" ht="25.5">
      <c r="A281" s="209" t="str">
        <f>+'[5]Clasific. Económica de Ingresos'!A117</f>
        <v>1.4.1.2.02,00.0.0.000</v>
      </c>
      <c r="B281" s="266" t="str">
        <f>+'[5]Clasific. Económica de Ingresos'!B117</f>
        <v>Programas comites cantonales de la Persona Joven</v>
      </c>
      <c r="C281" s="267">
        <f>SUM('[5]Clasific. Económica de Ingresos'!C117)</f>
        <v>6500000</v>
      </c>
      <c r="D281" s="102"/>
      <c r="E281" s="102"/>
      <c r="F281" s="102"/>
      <c r="G281" s="172"/>
      <c r="H281" s="173"/>
      <c r="I281" s="245"/>
      <c r="J281" s="245"/>
    </row>
    <row r="282" spans="1:10" ht="13.5" thickBot="1">
      <c r="A282" s="105"/>
      <c r="B282" s="106"/>
      <c r="C282" s="115"/>
      <c r="D282" s="106" t="s">
        <v>394</v>
      </c>
      <c r="E282" s="106">
        <v>10</v>
      </c>
      <c r="F282" s="106"/>
      <c r="G282" s="114" t="s">
        <v>490</v>
      </c>
      <c r="H282" s="130">
        <v>6500000</v>
      </c>
      <c r="I282" s="240"/>
      <c r="J282" s="240"/>
    </row>
    <row r="283" spans="1:10" ht="28.5" customHeight="1" hidden="1" thickBot="1">
      <c r="A283" s="174"/>
      <c r="B283" s="268"/>
      <c r="C283" s="176"/>
      <c r="D283" s="175" t="s">
        <v>394</v>
      </c>
      <c r="E283" s="175">
        <v>10</v>
      </c>
      <c r="F283" s="175"/>
      <c r="G283" s="269" t="s">
        <v>491</v>
      </c>
      <c r="H283" s="258">
        <v>0</v>
      </c>
      <c r="I283" s="245"/>
      <c r="J283" s="245"/>
    </row>
    <row r="284" spans="1:11" ht="13.5" thickBot="1">
      <c r="A284" s="121" t="s">
        <v>402</v>
      </c>
      <c r="B284" s="158"/>
      <c r="C284" s="122">
        <f>SUM(C281:C282)</f>
        <v>6500000</v>
      </c>
      <c r="D284" s="123"/>
      <c r="E284" s="123"/>
      <c r="F284" s="123"/>
      <c r="G284" s="124"/>
      <c r="H284" s="132">
        <f>SUM(H282:H283)</f>
        <v>6500000</v>
      </c>
      <c r="I284" s="238">
        <f>+C284-H284</f>
        <v>0</v>
      </c>
      <c r="J284" s="241"/>
      <c r="K284" s="418"/>
    </row>
    <row r="285" spans="1:10" ht="12.75">
      <c r="A285" s="169" t="s">
        <v>146</v>
      </c>
      <c r="B285" s="170"/>
      <c r="C285" s="171"/>
      <c r="D285" s="102"/>
      <c r="E285" s="102"/>
      <c r="F285" s="102"/>
      <c r="G285" s="172"/>
      <c r="H285" s="173"/>
      <c r="I285" s="245"/>
      <c r="J285" s="245"/>
    </row>
    <row r="286" spans="1:10" ht="33.75" customHeight="1">
      <c r="A286" s="105" t="str">
        <f>+'[5]Clasific. Económica de Ingresos'!A119</f>
        <v>1.4.1.3.01.00.0.0.000</v>
      </c>
      <c r="B286" s="157" t="s">
        <v>433</v>
      </c>
      <c r="C286" s="115">
        <f>SUM('[5]Clasific. Económica de Ingresos'!C119)</f>
        <v>57214376</v>
      </c>
      <c r="D286" s="106"/>
      <c r="E286" s="106"/>
      <c r="F286" s="106"/>
      <c r="G286" s="114"/>
      <c r="H286" s="148"/>
      <c r="I286" s="245"/>
      <c r="J286" s="245"/>
    </row>
    <row r="287" spans="1:10" ht="12.75">
      <c r="A287" s="105"/>
      <c r="B287" s="106"/>
      <c r="C287" s="115"/>
      <c r="D287" s="106" t="s">
        <v>394</v>
      </c>
      <c r="E287" s="106">
        <v>10</v>
      </c>
      <c r="F287" s="106"/>
      <c r="G287" s="114" t="s">
        <v>490</v>
      </c>
      <c r="H287" s="130">
        <v>28893259.88</v>
      </c>
      <c r="I287" s="240"/>
      <c r="J287" s="240"/>
    </row>
    <row r="288" spans="1:10" ht="12.75" hidden="1">
      <c r="A288" s="105"/>
      <c r="B288" s="106"/>
      <c r="C288" s="115"/>
      <c r="D288" s="106" t="s">
        <v>394</v>
      </c>
      <c r="E288" s="106">
        <v>31</v>
      </c>
      <c r="F288" s="106"/>
      <c r="G288" s="114" t="str">
        <f>+'[5]Egresos Programa II General'!B43</f>
        <v>Aporte en Especie para Servicios Y Proyectos Comunitarios</v>
      </c>
      <c r="H288" s="130"/>
      <c r="I288" s="240"/>
      <c r="J288" s="240"/>
    </row>
    <row r="289" spans="1:10" ht="12.75" hidden="1">
      <c r="A289" s="105"/>
      <c r="B289" s="106"/>
      <c r="C289" s="115"/>
      <c r="D289" s="106" t="s">
        <v>396</v>
      </c>
      <c r="E289" s="106" t="s">
        <v>400</v>
      </c>
      <c r="F289" s="115"/>
      <c r="G289" s="98" t="s">
        <v>363</v>
      </c>
      <c r="H289" s="130"/>
      <c r="I289" s="240"/>
      <c r="J289" s="240"/>
    </row>
    <row r="290" spans="1:10" ht="12.75" hidden="1">
      <c r="A290" s="105"/>
      <c r="B290" s="106"/>
      <c r="C290" s="115"/>
      <c r="D290" s="106" t="s">
        <v>396</v>
      </c>
      <c r="E290" s="106" t="s">
        <v>400</v>
      </c>
      <c r="F290" s="115"/>
      <c r="G290" s="114" t="s">
        <v>401</v>
      </c>
      <c r="H290" s="130"/>
      <c r="I290" s="240"/>
      <c r="J290" s="240"/>
    </row>
    <row r="291" spans="1:10" ht="13.5" thickBot="1">
      <c r="A291" s="174"/>
      <c r="B291" s="106"/>
      <c r="C291" s="115"/>
      <c r="D291" s="106" t="s">
        <v>396</v>
      </c>
      <c r="E291" s="106">
        <v>6</v>
      </c>
      <c r="F291" s="106">
        <v>1</v>
      </c>
      <c r="G291" s="114" t="s">
        <v>565</v>
      </c>
      <c r="H291" s="130">
        <f>20000000+8321116.12</f>
        <v>28321116.12</v>
      </c>
      <c r="I291" s="240"/>
      <c r="J291" s="240"/>
    </row>
    <row r="292" spans="1:10" ht="26.25" hidden="1" thickBot="1">
      <c r="A292" s="105"/>
      <c r="B292" s="106"/>
      <c r="C292" s="115"/>
      <c r="D292" s="106" t="s">
        <v>396</v>
      </c>
      <c r="E292" s="106" t="s">
        <v>397</v>
      </c>
      <c r="F292" s="106" t="s">
        <v>405</v>
      </c>
      <c r="G292" s="262" t="str">
        <f>+'[5]Egresos Programa III General'!B26</f>
        <v>CONSTRUCCION DE BOULEVAR COSTADO SUR CANCHA DE FUTBOL DE SAN RAFAEL</v>
      </c>
      <c r="H292" s="130">
        <v>0</v>
      </c>
      <c r="I292" s="240"/>
      <c r="J292" s="240"/>
    </row>
    <row r="293" spans="1:12" s="126" customFormat="1" ht="13.5" thickBot="1">
      <c r="A293" s="121" t="s">
        <v>402</v>
      </c>
      <c r="B293" s="158"/>
      <c r="C293" s="122">
        <f>SUM(C286:C290)</f>
        <v>57214376</v>
      </c>
      <c r="D293" s="123"/>
      <c r="E293" s="123"/>
      <c r="F293" s="123"/>
      <c r="G293" s="124"/>
      <c r="H293" s="132">
        <f>SUM(H287:H292)</f>
        <v>57214376</v>
      </c>
      <c r="I293" s="238">
        <f>+C293-H293</f>
        <v>0</v>
      </c>
      <c r="J293" s="241"/>
      <c r="K293" s="410"/>
      <c r="L293" s="125"/>
    </row>
    <row r="294" spans="1:12" s="138" customFormat="1" ht="12.75" hidden="1">
      <c r="A294" s="150"/>
      <c r="B294" s="165"/>
      <c r="C294" s="155"/>
      <c r="D294" s="7"/>
      <c r="E294" s="7"/>
      <c r="F294" s="7"/>
      <c r="G294" s="135"/>
      <c r="H294" s="167"/>
      <c r="I294" s="251"/>
      <c r="J294" s="251"/>
      <c r="K294" s="414"/>
      <c r="L294" s="137"/>
    </row>
    <row r="295" spans="1:12" s="138" customFormat="1" ht="12.75" hidden="1">
      <c r="A295" s="153" t="str">
        <f>+'[5]Clasific. Económica de Ingresos'!A127</f>
        <v>2.1.2.1.01.00.0.0.000</v>
      </c>
      <c r="B295" s="135" t="s">
        <v>434</v>
      </c>
      <c r="C295" s="40">
        <f>SUM('[5]Clasific. Económica de Ingresos'!C127)</f>
        <v>0</v>
      </c>
      <c r="D295" s="134" t="s">
        <v>389</v>
      </c>
      <c r="E295" s="134" t="s">
        <v>390</v>
      </c>
      <c r="F295" s="134" t="s">
        <v>391</v>
      </c>
      <c r="G295" s="135" t="s">
        <v>392</v>
      </c>
      <c r="H295" s="136">
        <v>0</v>
      </c>
      <c r="I295" s="242"/>
      <c r="J295" s="242"/>
      <c r="K295" s="414"/>
      <c r="L295" s="137"/>
    </row>
    <row r="296" ht="12.75" hidden="1"/>
    <row r="297" spans="1:12" s="357" customFormat="1" ht="12.75" hidden="1">
      <c r="A297" s="350"/>
      <c r="B297" s="351"/>
      <c r="C297" s="352"/>
      <c r="D297" s="351" t="s">
        <v>396</v>
      </c>
      <c r="E297" s="351" t="s">
        <v>400</v>
      </c>
      <c r="F297" s="351"/>
      <c r="G297" s="353" t="s">
        <v>504</v>
      </c>
      <c r="H297" s="354">
        <v>0</v>
      </c>
      <c r="I297" s="355"/>
      <c r="J297" s="355"/>
      <c r="K297" s="419"/>
      <c r="L297" s="356"/>
    </row>
    <row r="298" spans="1:12" s="138" customFormat="1" ht="12.75" hidden="1">
      <c r="A298" s="133"/>
      <c r="B298" s="134"/>
      <c r="C298" s="40"/>
      <c r="D298" s="134" t="s">
        <v>396</v>
      </c>
      <c r="E298" s="134" t="s">
        <v>400</v>
      </c>
      <c r="F298" s="151"/>
      <c r="G298" s="135" t="s">
        <v>401</v>
      </c>
      <c r="H298" s="136">
        <v>0</v>
      </c>
      <c r="I298" s="242"/>
      <c r="J298" s="242"/>
      <c r="K298" s="414"/>
      <c r="L298" s="137"/>
    </row>
    <row r="299" spans="1:12" s="357" customFormat="1" ht="12.75" hidden="1">
      <c r="A299" s="350"/>
      <c r="B299" s="351"/>
      <c r="C299" s="352"/>
      <c r="D299" s="351" t="s">
        <v>396</v>
      </c>
      <c r="E299" s="351" t="s">
        <v>400</v>
      </c>
      <c r="F299" s="351" t="s">
        <v>391</v>
      </c>
      <c r="G299" s="358" t="s">
        <v>363</v>
      </c>
      <c r="H299" s="354"/>
      <c r="I299" s="355"/>
      <c r="J299" s="355"/>
      <c r="K299" s="419"/>
      <c r="L299" s="356"/>
    </row>
    <row r="300" spans="1:12" s="357" customFormat="1" ht="13.5" hidden="1" thickBot="1">
      <c r="A300" s="359" t="s">
        <v>402</v>
      </c>
      <c r="B300" s="360"/>
      <c r="C300" s="361">
        <f>SUM(C295:C297)</f>
        <v>0</v>
      </c>
      <c r="D300" s="362"/>
      <c r="E300" s="362"/>
      <c r="F300" s="362"/>
      <c r="G300" s="363"/>
      <c r="H300" s="364">
        <f>SUM(H295:H299)</f>
        <v>0</v>
      </c>
      <c r="I300" s="365">
        <f>+C300-H300</f>
        <v>0</v>
      </c>
      <c r="J300" s="366"/>
      <c r="K300" s="419"/>
      <c r="L300" s="356"/>
    </row>
    <row r="301" spans="1:10" ht="12.75">
      <c r="A301" s="105"/>
      <c r="B301" s="106"/>
      <c r="C301" s="115"/>
      <c r="D301" s="131"/>
      <c r="E301" s="131"/>
      <c r="F301" s="131"/>
      <c r="G301" s="163"/>
      <c r="H301" s="179"/>
      <c r="I301" s="253"/>
      <c r="J301" s="253"/>
    </row>
    <row r="302" spans="1:10" ht="12.75">
      <c r="A302" s="105" t="str">
        <f>+'[5]Clasific. Económica de Ingresos'!A132</f>
        <v>2.2.1.1.00.00.0.0.000</v>
      </c>
      <c r="B302" s="157" t="s">
        <v>165</v>
      </c>
      <c r="C302" s="115">
        <f>+'[5]Clasific. Económica de Ingresos'!C132</f>
        <v>4000000</v>
      </c>
      <c r="D302" s="106"/>
      <c r="E302" s="106"/>
      <c r="F302" s="106"/>
      <c r="G302" s="114"/>
      <c r="H302" s="148"/>
      <c r="I302" s="245"/>
      <c r="J302" s="245"/>
    </row>
    <row r="303" spans="1:10" ht="13.5" thickBot="1">
      <c r="A303" s="105"/>
      <c r="B303" s="106"/>
      <c r="C303" s="115"/>
      <c r="D303" s="106" t="s">
        <v>394</v>
      </c>
      <c r="E303" s="106" t="s">
        <v>405</v>
      </c>
      <c r="F303" s="106" t="s">
        <v>391</v>
      </c>
      <c r="G303" s="117" t="s">
        <v>419</v>
      </c>
      <c r="H303" s="148">
        <v>4000000</v>
      </c>
      <c r="I303" s="245"/>
      <c r="J303" s="245"/>
    </row>
    <row r="304" spans="1:10" ht="13.5" thickBot="1">
      <c r="A304" s="121" t="s">
        <v>402</v>
      </c>
      <c r="B304" s="158"/>
      <c r="C304" s="122">
        <f>SUM(C302:C303)</f>
        <v>4000000</v>
      </c>
      <c r="D304" s="123"/>
      <c r="E304" s="123"/>
      <c r="F304" s="123"/>
      <c r="G304" s="124"/>
      <c r="H304" s="132">
        <f>SUM(H303:H303)</f>
        <v>4000000</v>
      </c>
      <c r="I304" s="238">
        <f>+C304-H304</f>
        <v>0</v>
      </c>
      <c r="J304" s="241"/>
    </row>
    <row r="305" spans="1:10" ht="12.75">
      <c r="A305" s="105"/>
      <c r="B305" s="106"/>
      <c r="C305" s="115"/>
      <c r="D305" s="106"/>
      <c r="E305" s="106"/>
      <c r="F305" s="106"/>
      <c r="G305" s="114"/>
      <c r="H305" s="130"/>
      <c r="I305" s="240"/>
      <c r="J305" s="240"/>
    </row>
    <row r="306" spans="1:12" ht="25.5">
      <c r="A306" s="105" t="str">
        <f>+'[5]Clasific. Económica de Ingresos'!A139</f>
        <v>2.4.1.1.01.00.0.0.000</v>
      </c>
      <c r="B306" s="180" t="s">
        <v>435</v>
      </c>
      <c r="C306" s="181">
        <f>SUM('[5]Clasific. Económica de Ingresos'!C139)</f>
        <v>325000000</v>
      </c>
      <c r="D306" s="106"/>
      <c r="E306" s="106"/>
      <c r="F306" s="106"/>
      <c r="G306" s="114"/>
      <c r="H306" s="148"/>
      <c r="I306" s="245"/>
      <c r="J306" s="245"/>
      <c r="K306" s="104"/>
      <c r="L306" s="104"/>
    </row>
    <row r="307" spans="1:12" ht="12.75">
      <c r="A307" s="105"/>
      <c r="B307" s="180"/>
      <c r="C307" s="181"/>
      <c r="D307" s="106" t="s">
        <v>396</v>
      </c>
      <c r="E307" s="106" t="s">
        <v>397</v>
      </c>
      <c r="F307" s="106" t="s">
        <v>390</v>
      </c>
      <c r="G307" s="114" t="s">
        <v>505</v>
      </c>
      <c r="H307" s="148">
        <v>74837673.2</v>
      </c>
      <c r="I307" s="245"/>
      <c r="J307" s="245"/>
      <c r="K307" s="104"/>
      <c r="L307" s="104"/>
    </row>
    <row r="308" spans="1:12" ht="13.5" thickBot="1">
      <c r="A308" s="105"/>
      <c r="B308" s="180"/>
      <c r="C308" s="181"/>
      <c r="D308" s="106" t="s">
        <v>396</v>
      </c>
      <c r="E308" s="106" t="s">
        <v>397</v>
      </c>
      <c r="F308" s="106" t="s">
        <v>399</v>
      </c>
      <c r="G308" s="114" t="s">
        <v>495</v>
      </c>
      <c r="H308" s="148">
        <v>250162326.8</v>
      </c>
      <c r="I308" s="245"/>
      <c r="J308" s="245"/>
      <c r="K308" s="104"/>
      <c r="L308" s="104"/>
    </row>
    <row r="309" spans="1:12" ht="13.5" hidden="1" thickBot="1">
      <c r="A309" s="105"/>
      <c r="B309" s="180"/>
      <c r="C309" s="181"/>
      <c r="D309" s="106" t="s">
        <v>396</v>
      </c>
      <c r="E309" s="106" t="s">
        <v>397</v>
      </c>
      <c r="F309" s="106" t="s">
        <v>393</v>
      </c>
      <c r="G309" s="114" t="s">
        <v>566</v>
      </c>
      <c r="H309" s="148">
        <v>0</v>
      </c>
      <c r="I309" s="245"/>
      <c r="J309" s="245"/>
      <c r="K309" s="104"/>
      <c r="L309" s="104"/>
    </row>
    <row r="310" spans="1:12" ht="13.5" hidden="1" thickBot="1">
      <c r="A310" s="105"/>
      <c r="B310" s="106"/>
      <c r="C310" s="115"/>
      <c r="D310" s="106" t="s">
        <v>396</v>
      </c>
      <c r="E310" s="106">
        <v>7</v>
      </c>
      <c r="F310" s="106"/>
      <c r="G310" s="114" t="s">
        <v>528</v>
      </c>
      <c r="H310" s="130">
        <v>0</v>
      </c>
      <c r="I310" s="240"/>
      <c r="J310" s="240"/>
      <c r="K310" s="104"/>
      <c r="L310" s="104"/>
    </row>
    <row r="311" spans="1:12" ht="13.5" thickBot="1">
      <c r="A311" s="121" t="s">
        <v>402</v>
      </c>
      <c r="B311" s="158"/>
      <c r="C311" s="122">
        <f>SUM(C306:C310)</f>
        <v>325000000</v>
      </c>
      <c r="D311" s="123"/>
      <c r="E311" s="123"/>
      <c r="F311" s="123"/>
      <c r="G311" s="124"/>
      <c r="H311" s="132">
        <f>SUM(H307:H310)</f>
        <v>325000000</v>
      </c>
      <c r="I311" s="238">
        <f>+C311-H311</f>
        <v>0</v>
      </c>
      <c r="J311" s="241"/>
      <c r="K311" s="104"/>
      <c r="L311" s="104"/>
    </row>
    <row r="312" spans="1:12" ht="12.75">
      <c r="A312" s="105"/>
      <c r="B312" s="106"/>
      <c r="C312" s="29"/>
      <c r="D312" s="30"/>
      <c r="E312" s="30"/>
      <c r="F312" s="30"/>
      <c r="G312" s="114"/>
      <c r="H312" s="182"/>
      <c r="I312" s="254"/>
      <c r="J312" s="254"/>
      <c r="K312" s="104"/>
      <c r="L312" s="104"/>
    </row>
    <row r="313" spans="1:12" ht="12.75">
      <c r="A313" s="105" t="str">
        <f>+'[5]Clasific. Económica de Ingresos'!A140</f>
        <v>2.4.1.1.02.00.0.0.000</v>
      </c>
      <c r="B313" s="180" t="str">
        <f>+'[5]Clasific. Económica de Ingresos'!B140</f>
        <v>Ley 8316 Fondo de Alcantarillados</v>
      </c>
      <c r="C313" s="115">
        <f>SUM('[5]Clasific. Económica de Ingresos'!C140)</f>
        <v>590000000</v>
      </c>
      <c r="D313" s="106"/>
      <c r="E313" s="106"/>
      <c r="F313" s="106"/>
      <c r="G313" s="114"/>
      <c r="H313" s="148"/>
      <c r="I313" s="245"/>
      <c r="J313" s="245"/>
      <c r="K313" s="104"/>
      <c r="L313" s="104"/>
    </row>
    <row r="314" spans="1:12" ht="12.75">
      <c r="A314" s="105"/>
      <c r="B314" s="180"/>
      <c r="C314" s="115"/>
      <c r="D314" s="106" t="s">
        <v>394</v>
      </c>
      <c r="E314" s="106">
        <v>13</v>
      </c>
      <c r="F314" s="106"/>
      <c r="G314" s="262" t="s">
        <v>568</v>
      </c>
      <c r="H314" s="148">
        <v>180000000</v>
      </c>
      <c r="I314" s="245"/>
      <c r="J314" s="245"/>
      <c r="K314" s="104"/>
      <c r="L314" s="104"/>
    </row>
    <row r="315" spans="1:12" ht="12.75">
      <c r="A315" s="105"/>
      <c r="B315" s="106"/>
      <c r="C315" s="115"/>
      <c r="D315" s="106" t="s">
        <v>394</v>
      </c>
      <c r="E315" s="106">
        <v>30</v>
      </c>
      <c r="F315" s="106" t="s">
        <v>146</v>
      </c>
      <c r="G315" s="262" t="str">
        <f>+'[5]Egresos Programa II General'!B41</f>
        <v>Alcantarillado Pluvial</v>
      </c>
      <c r="H315" s="130">
        <f>270000000+36000000</f>
        <v>306000000</v>
      </c>
      <c r="I315" s="240"/>
      <c r="J315" s="240"/>
      <c r="K315" s="104"/>
      <c r="L315" s="104"/>
    </row>
    <row r="316" spans="1:12" ht="25.5" hidden="1">
      <c r="A316" s="105"/>
      <c r="B316" s="106"/>
      <c r="C316" s="115"/>
      <c r="D316" s="106" t="s">
        <v>396</v>
      </c>
      <c r="E316" s="106" t="s">
        <v>420</v>
      </c>
      <c r="F316" s="106">
        <v>2</v>
      </c>
      <c r="G316" s="262" t="str">
        <f>+'[5]Egresos Programa III General'!B32</f>
        <v>CAMBIO DE REDES DE DISTRIBUCION DESAMPARADOS CALLELIMON-LA GARITA TACACORI</v>
      </c>
      <c r="H316" s="130">
        <v>0</v>
      </c>
      <c r="I316" s="240"/>
      <c r="J316" s="240"/>
      <c r="K316" s="104"/>
      <c r="L316" s="104"/>
    </row>
    <row r="317" spans="1:12" ht="24.75" customHeight="1" hidden="1">
      <c r="A317" s="105"/>
      <c r="B317" s="106"/>
      <c r="C317" s="115"/>
      <c r="D317" s="106" t="s">
        <v>396</v>
      </c>
      <c r="E317" s="106" t="s">
        <v>420</v>
      </c>
      <c r="F317" s="106">
        <v>3</v>
      </c>
      <c r="G317" s="262" t="str">
        <f>+'[5]Egresos Programa III General'!B33</f>
        <v> MEJORA PLUVIALES CONECTOR PEATONAL EN CALLE RODRIGUEZ</v>
      </c>
      <c r="H317" s="130">
        <v>0</v>
      </c>
      <c r="I317" s="240"/>
      <c r="J317" s="240"/>
      <c r="K317" s="104"/>
      <c r="L317" s="104"/>
    </row>
    <row r="318" spans="1:12" ht="13.5" thickBot="1">
      <c r="A318" s="105"/>
      <c r="B318" s="180"/>
      <c r="C318" s="115"/>
      <c r="D318" s="106" t="s">
        <v>396</v>
      </c>
      <c r="E318" s="106" t="s">
        <v>420</v>
      </c>
      <c r="F318" s="106" t="s">
        <v>399</v>
      </c>
      <c r="G318" s="262" t="str">
        <f>+'[5]Egresos Programa III General'!B34</f>
        <v>LEY 8316 MACROMEDICION</v>
      </c>
      <c r="H318" s="130">
        <f>+'[5]Egresos Programa III General'!C34</f>
        <v>104000000</v>
      </c>
      <c r="I318" s="245"/>
      <c r="J318" s="245"/>
      <c r="K318" s="104"/>
      <c r="L318" s="104"/>
    </row>
    <row r="319" spans="1:12" ht="12" customHeight="1" hidden="1">
      <c r="A319" s="105"/>
      <c r="B319" s="180"/>
      <c r="C319" s="115"/>
      <c r="D319" s="106" t="s">
        <v>396</v>
      </c>
      <c r="E319" s="106" t="s">
        <v>420</v>
      </c>
      <c r="F319" s="106">
        <v>5</v>
      </c>
      <c r="G319" s="262" t="str">
        <f>+'[5]Egresos Programa III General'!B35</f>
        <v> MEJORAS SISTEMA PLUVIAL CALLE PEDREGAL</v>
      </c>
      <c r="H319" s="130">
        <v>0</v>
      </c>
      <c r="I319" s="245"/>
      <c r="J319" s="245"/>
      <c r="K319" s="104"/>
      <c r="L319" s="104"/>
    </row>
    <row r="320" spans="1:12" ht="13.5" hidden="1" thickBot="1">
      <c r="A320" s="105"/>
      <c r="B320" s="180"/>
      <c r="C320" s="115"/>
      <c r="D320" s="106" t="s">
        <v>396</v>
      </c>
      <c r="E320" s="106">
        <v>5</v>
      </c>
      <c r="F320" s="106">
        <v>6</v>
      </c>
      <c r="G320" s="262" t="s">
        <v>506</v>
      </c>
      <c r="H320" s="148">
        <v>0</v>
      </c>
      <c r="I320" s="245"/>
      <c r="J320" s="245"/>
      <c r="K320" s="104"/>
      <c r="L320" s="104"/>
    </row>
    <row r="321" spans="1:12" ht="26.25" hidden="1" thickBot="1">
      <c r="A321" s="105"/>
      <c r="B321" s="180"/>
      <c r="C321" s="115"/>
      <c r="D321" s="106" t="s">
        <v>396</v>
      </c>
      <c r="E321" s="106">
        <v>5</v>
      </c>
      <c r="F321" s="106">
        <v>7</v>
      </c>
      <c r="G321" s="262" t="s">
        <v>507</v>
      </c>
      <c r="H321" s="148">
        <f>+'[5]Egresos Programa III General'!C36</f>
        <v>0</v>
      </c>
      <c r="I321" s="245"/>
      <c r="J321" s="245"/>
      <c r="K321" s="104"/>
      <c r="L321" s="104"/>
    </row>
    <row r="322" spans="1:12" ht="13.5" hidden="1" thickBot="1">
      <c r="A322" s="105"/>
      <c r="B322" s="180"/>
      <c r="C322" s="115"/>
      <c r="D322" s="106" t="s">
        <v>396</v>
      </c>
      <c r="E322" s="106">
        <v>5</v>
      </c>
      <c r="F322" s="106">
        <v>8</v>
      </c>
      <c r="G322" s="262" t="s">
        <v>508</v>
      </c>
      <c r="H322" s="148">
        <v>0</v>
      </c>
      <c r="I322" s="245"/>
      <c r="J322" s="245"/>
      <c r="L322" s="104"/>
    </row>
    <row r="323" spans="1:12" ht="24.75" customHeight="1" hidden="1">
      <c r="A323" s="105"/>
      <c r="B323" s="180"/>
      <c r="C323" s="115"/>
      <c r="D323" s="106" t="s">
        <v>396</v>
      </c>
      <c r="E323" s="106">
        <v>5</v>
      </c>
      <c r="F323" s="106">
        <v>9</v>
      </c>
      <c r="G323" s="262" t="s">
        <v>509</v>
      </c>
      <c r="H323" s="148">
        <v>0</v>
      </c>
      <c r="I323" s="245"/>
      <c r="J323" s="245"/>
      <c r="L323" s="104"/>
    </row>
    <row r="324" ht="13.5" hidden="1" thickBot="1"/>
    <row r="325" spans="1:12" ht="24.75" customHeight="1" hidden="1">
      <c r="A325" s="105"/>
      <c r="B325" s="180"/>
      <c r="C325" s="115"/>
      <c r="D325" s="106" t="s">
        <v>396</v>
      </c>
      <c r="E325" s="106">
        <v>5</v>
      </c>
      <c r="F325" s="106">
        <v>13</v>
      </c>
      <c r="G325" s="262" t="s">
        <v>510</v>
      </c>
      <c r="H325" s="148">
        <f>+'[5]Egresos Programa III General'!C42</f>
        <v>0</v>
      </c>
      <c r="I325" s="245"/>
      <c r="J325" s="245"/>
      <c r="L325" s="104"/>
    </row>
    <row r="326" spans="1:12" ht="24.75" customHeight="1" hidden="1">
      <c r="A326" s="105"/>
      <c r="B326" s="180"/>
      <c r="C326" s="115"/>
      <c r="D326" s="106" t="s">
        <v>396</v>
      </c>
      <c r="E326" s="106">
        <v>5</v>
      </c>
      <c r="F326" s="106">
        <v>14</v>
      </c>
      <c r="G326" s="262" t="s">
        <v>511</v>
      </c>
      <c r="H326" s="148">
        <f>+'[5]Egresos Programa III General'!C43</f>
        <v>0</v>
      </c>
      <c r="I326" s="245"/>
      <c r="J326" s="245"/>
      <c r="L326" s="104"/>
    </row>
    <row r="327" spans="1:12" ht="24.75" customHeight="1" hidden="1">
      <c r="A327" s="105"/>
      <c r="B327" s="180"/>
      <c r="C327" s="115"/>
      <c r="D327" s="106" t="s">
        <v>396</v>
      </c>
      <c r="E327" s="106">
        <v>6</v>
      </c>
      <c r="F327" s="106">
        <v>1</v>
      </c>
      <c r="G327" s="262" t="s">
        <v>410</v>
      </c>
      <c r="H327" s="148">
        <v>0</v>
      </c>
      <c r="I327" s="245"/>
      <c r="J327" s="245"/>
      <c r="L327" s="104"/>
    </row>
    <row r="328" spans="1:12" ht="36" customHeight="1" hidden="1" thickBot="1">
      <c r="A328" s="105"/>
      <c r="B328" s="180"/>
      <c r="C328" s="115"/>
      <c r="D328" s="106" t="s">
        <v>396</v>
      </c>
      <c r="E328" s="106" t="s">
        <v>395</v>
      </c>
      <c r="F328" s="106"/>
      <c r="G328" s="212" t="s">
        <v>491</v>
      </c>
      <c r="H328" s="148">
        <v>0</v>
      </c>
      <c r="I328" s="245"/>
      <c r="J328" s="245"/>
      <c r="L328" s="104"/>
    </row>
    <row r="329" spans="1:12" ht="13.5" thickBot="1">
      <c r="A329" s="121" t="s">
        <v>402</v>
      </c>
      <c r="B329" s="158"/>
      <c r="C329" s="122">
        <f>SUM(C313:C328)</f>
        <v>590000000</v>
      </c>
      <c r="D329" s="123"/>
      <c r="E329" s="123"/>
      <c r="F329" s="123"/>
      <c r="G329" s="124"/>
      <c r="H329" s="132">
        <f>SUM(H314:H328)</f>
        <v>590000000</v>
      </c>
      <c r="I329" s="238">
        <f>+C329-H329</f>
        <v>0</v>
      </c>
      <c r="J329" s="241"/>
      <c r="K329" s="418"/>
      <c r="L329" s="104"/>
    </row>
    <row r="330" spans="1:12" ht="12.75">
      <c r="A330" s="105"/>
      <c r="B330" s="106"/>
      <c r="C330" s="29"/>
      <c r="D330" s="30"/>
      <c r="E330" s="30"/>
      <c r="F330" s="30"/>
      <c r="G330" s="114"/>
      <c r="H330" s="182"/>
      <c r="I330" s="254"/>
      <c r="J330" s="254"/>
      <c r="L330" s="104"/>
    </row>
    <row r="331" spans="1:12" ht="38.25">
      <c r="A331" s="105" t="str">
        <f>+'[5]Clasific. Económica de Ingresos'!A147</f>
        <v>2.4.1.3.01.00.0.0.001</v>
      </c>
      <c r="B331" s="157" t="s">
        <v>436</v>
      </c>
      <c r="C331" s="115">
        <f>SUM('[5]Clasific. Económica de Ingresos'!C147)</f>
        <v>12388270</v>
      </c>
      <c r="D331" s="106"/>
      <c r="E331" s="106"/>
      <c r="F331" s="106"/>
      <c r="G331" s="114"/>
      <c r="H331" s="148"/>
      <c r="I331" s="245"/>
      <c r="J331" s="245"/>
      <c r="L331" s="104"/>
    </row>
    <row r="332" spans="1:12" ht="13.5" thickBot="1">
      <c r="A332" s="105"/>
      <c r="B332" s="106"/>
      <c r="C332" s="115"/>
      <c r="D332" s="106" t="s">
        <v>396</v>
      </c>
      <c r="E332" s="106" t="s">
        <v>397</v>
      </c>
      <c r="F332" s="106" t="s">
        <v>390</v>
      </c>
      <c r="G332" s="114" t="s">
        <v>398</v>
      </c>
      <c r="H332" s="130">
        <v>12388270</v>
      </c>
      <c r="I332" s="240"/>
      <c r="J332" s="240"/>
      <c r="L332" s="104"/>
    </row>
    <row r="333" spans="1:12" ht="13.5" thickBot="1">
      <c r="A333" s="121" t="s">
        <v>402</v>
      </c>
      <c r="B333" s="158"/>
      <c r="C333" s="122">
        <f>SUM(C331:C332)</f>
        <v>12388270</v>
      </c>
      <c r="D333" s="123"/>
      <c r="E333" s="123"/>
      <c r="F333" s="123"/>
      <c r="G333" s="124"/>
      <c r="H333" s="132">
        <f>SUM(H332:H332)</f>
        <v>12388270</v>
      </c>
      <c r="I333" s="238">
        <f>+C333-H333</f>
        <v>0</v>
      </c>
      <c r="J333" s="241"/>
      <c r="K333" s="418"/>
      <c r="L333" s="104"/>
    </row>
    <row r="334" spans="1:12" ht="12.75">
      <c r="A334" s="105"/>
      <c r="B334" s="106"/>
      <c r="C334" s="115"/>
      <c r="D334" s="131"/>
      <c r="E334" s="131"/>
      <c r="F334" s="131"/>
      <c r="G334" s="163"/>
      <c r="H334" s="179"/>
      <c r="I334" s="253"/>
      <c r="J334" s="253"/>
      <c r="L334" s="104"/>
    </row>
    <row r="335" spans="1:12" ht="12.75">
      <c r="A335" s="105" t="str">
        <f>+'[5]Clasific. Económica de Ingresos'!A153</f>
        <v>2,4.3,1,00,00,0,0,001</v>
      </c>
      <c r="B335" s="157" t="str">
        <f>+'[5]Clasific. Económica de Ingresos'!B153</f>
        <v>Aporte de Cooperación Alemana</v>
      </c>
      <c r="C335" s="367">
        <f>+'[5]Clasific. Económica de Ingresos'!C153</f>
        <v>51706480</v>
      </c>
      <c r="D335" s="106"/>
      <c r="E335" s="106"/>
      <c r="F335" s="106"/>
      <c r="G335" s="114"/>
      <c r="H335" s="148"/>
      <c r="I335" s="245"/>
      <c r="J335" s="245"/>
      <c r="L335" s="104"/>
    </row>
    <row r="336" spans="1:12" ht="24.75" customHeight="1" thickBot="1">
      <c r="A336" s="105"/>
      <c r="B336" s="180"/>
      <c r="C336" s="115"/>
      <c r="D336" s="106" t="s">
        <v>396</v>
      </c>
      <c r="E336" s="106">
        <v>5</v>
      </c>
      <c r="F336" s="106" t="s">
        <v>405</v>
      </c>
      <c r="G336" s="262" t="str">
        <f>+'[5]Egresos Programa III General'!B38</f>
        <v>OPTIMIZACION  SOSTENIBLE DE LA GESTION DE AGUAS RESIDUALES PARA LOS CIUDADANOS Y EL MEDIO AMBIENTE DE ALAJUELA</v>
      </c>
      <c r="H336" s="148">
        <f>+'[5]Egresos Programa III General'!C38</f>
        <v>51706480</v>
      </c>
      <c r="I336" s="245"/>
      <c r="J336" s="245"/>
      <c r="L336" s="104"/>
    </row>
    <row r="337" spans="1:12" ht="13.5" thickBot="1">
      <c r="A337" s="121" t="s">
        <v>402</v>
      </c>
      <c r="B337" s="158"/>
      <c r="C337" s="122">
        <f>SUM(C335:C336)</f>
        <v>51706480</v>
      </c>
      <c r="D337" s="123"/>
      <c r="E337" s="123"/>
      <c r="F337" s="123"/>
      <c r="G337" s="124"/>
      <c r="H337" s="132">
        <f>+H336</f>
        <v>51706480</v>
      </c>
      <c r="I337" s="238">
        <f>+C337-H337</f>
        <v>0</v>
      </c>
      <c r="J337" s="241"/>
      <c r="L337" s="104"/>
    </row>
    <row r="338" spans="1:10" ht="12.75">
      <c r="A338" s="636" t="s">
        <v>0</v>
      </c>
      <c r="B338" s="637"/>
      <c r="C338" s="637"/>
      <c r="D338" s="637"/>
      <c r="E338" s="637"/>
      <c r="F338" s="637"/>
      <c r="G338" s="637"/>
      <c r="H338" s="638"/>
      <c r="I338" s="106"/>
      <c r="J338" s="106"/>
    </row>
    <row r="339" spans="1:10" ht="12.75">
      <c r="A339" s="627" t="s">
        <v>179</v>
      </c>
      <c r="B339" s="628"/>
      <c r="C339" s="628"/>
      <c r="D339" s="628"/>
      <c r="E339" s="628"/>
      <c r="F339" s="628"/>
      <c r="G339" s="628"/>
      <c r="H339" s="629"/>
      <c r="I339" s="106"/>
      <c r="J339" s="106"/>
    </row>
    <row r="340" spans="1:10" ht="12.75">
      <c r="A340" s="627" t="s">
        <v>638</v>
      </c>
      <c r="B340" s="628"/>
      <c r="C340" s="628"/>
      <c r="D340" s="628"/>
      <c r="E340" s="628"/>
      <c r="F340" s="628"/>
      <c r="G340" s="628"/>
      <c r="H340" s="629"/>
      <c r="I340" s="106"/>
      <c r="J340" s="106"/>
    </row>
    <row r="341" spans="1:10" ht="12.75">
      <c r="A341" s="627" t="s">
        <v>380</v>
      </c>
      <c r="B341" s="628"/>
      <c r="C341" s="628"/>
      <c r="D341" s="628"/>
      <c r="E341" s="628"/>
      <c r="F341" s="628"/>
      <c r="G341" s="628"/>
      <c r="H341" s="629"/>
      <c r="I341" s="106"/>
      <c r="J341" s="106"/>
    </row>
    <row r="342" spans="1:10" ht="13.5" thickBot="1">
      <c r="A342" s="630" t="s">
        <v>381</v>
      </c>
      <c r="B342" s="631"/>
      <c r="C342" s="631"/>
      <c r="D342" s="631"/>
      <c r="E342" s="631"/>
      <c r="F342" s="631"/>
      <c r="G342" s="631"/>
      <c r="H342" s="632"/>
      <c r="I342" s="106"/>
      <c r="J342" s="106"/>
    </row>
    <row r="343" spans="1:10" ht="12.75">
      <c r="A343" s="105"/>
      <c r="B343" s="106"/>
      <c r="C343" s="115"/>
      <c r="D343" s="106"/>
      <c r="E343" s="106"/>
      <c r="F343" s="106"/>
      <c r="G343" s="114"/>
      <c r="H343" s="130"/>
      <c r="I343" s="240"/>
      <c r="J343" s="240"/>
    </row>
    <row r="344" spans="1:10" ht="25.5">
      <c r="A344" s="105" t="str">
        <f>+'[5]Clasific. Económica de Ingresos'!A143</f>
        <v>2.4.1.2.01.00.0.0.001</v>
      </c>
      <c r="B344" s="180" t="str">
        <f>+'[5]Clasific. Económica de Ingresos'!B143</f>
        <v>Fondo de Desarrollo Social y Asignaciones Familiares</v>
      </c>
      <c r="C344" s="181">
        <f>+'[5]Clasific. Económica de Ingresos'!C143</f>
        <v>89964000</v>
      </c>
      <c r="D344" s="106"/>
      <c r="E344" s="106"/>
      <c r="F344" s="106"/>
      <c r="G344" s="114"/>
      <c r="H344" s="148"/>
      <c r="I344" s="245"/>
      <c r="J344" s="245"/>
    </row>
    <row r="345" spans="1:10" ht="13.5" thickBot="1">
      <c r="A345" s="105"/>
      <c r="B345" s="180"/>
      <c r="C345" s="181"/>
      <c r="D345" s="106" t="s">
        <v>586</v>
      </c>
      <c r="E345" s="106">
        <v>10</v>
      </c>
      <c r="F345" s="106"/>
      <c r="G345" s="114" t="str">
        <f>+'[5]Egresos Programa II General'!B23</f>
        <v>Servicios Sociales Complementarios</v>
      </c>
      <c r="H345" s="148">
        <v>89964000</v>
      </c>
      <c r="I345" s="245"/>
      <c r="J345" s="245"/>
    </row>
    <row r="346" spans="1:10" ht="13.5" thickBot="1">
      <c r="A346" s="121" t="s">
        <v>402</v>
      </c>
      <c r="B346" s="158"/>
      <c r="C346" s="122">
        <f>SUM(C344:C345)</f>
        <v>89964000</v>
      </c>
      <c r="D346" s="123"/>
      <c r="E346" s="123"/>
      <c r="F346" s="123"/>
      <c r="G346" s="124"/>
      <c r="H346" s="132">
        <f>SUM(H345:H345)</f>
        <v>89964000</v>
      </c>
      <c r="I346" s="238">
        <f>+C346-H346</f>
        <v>0</v>
      </c>
      <c r="J346" s="241"/>
    </row>
    <row r="347" spans="1:12" s="184" customFormat="1" ht="13.5" hidden="1" thickBot="1">
      <c r="A347" s="153"/>
      <c r="B347" s="134"/>
      <c r="C347" s="40"/>
      <c r="D347" s="134"/>
      <c r="E347" s="134"/>
      <c r="F347" s="134"/>
      <c r="G347" s="135"/>
      <c r="H347" s="256"/>
      <c r="I347" s="256"/>
      <c r="J347" s="40"/>
      <c r="K347" s="411"/>
      <c r="L347" s="183"/>
    </row>
    <row r="348" spans="1:12" s="184" customFormat="1" ht="13.5" hidden="1" thickBot="1">
      <c r="A348" s="153" t="str">
        <f>+'[5]Clasific. Económica de Ingresos'!A162</f>
        <v>3.3.1.0.00.00.0.0.000</v>
      </c>
      <c r="B348" s="134" t="str">
        <f>+'[5]Clasific. Económica de Ingresos'!B162</f>
        <v>Superavit Libre</v>
      </c>
      <c r="C348" s="40">
        <f>+'[5]Clasific. Económica de Ingresos'!C162</f>
        <v>0</v>
      </c>
      <c r="D348" s="134"/>
      <c r="E348" s="134"/>
      <c r="F348" s="134"/>
      <c r="G348" s="135"/>
      <c r="H348" s="256"/>
      <c r="I348" s="256"/>
      <c r="J348" s="40"/>
      <c r="K348" s="411"/>
      <c r="L348" s="183"/>
    </row>
    <row r="349" spans="1:12" s="184" customFormat="1" ht="13.5" hidden="1" thickBot="1">
      <c r="A349" s="153"/>
      <c r="B349" s="134"/>
      <c r="C349" s="40"/>
      <c r="D349" s="134" t="s">
        <v>396</v>
      </c>
      <c r="E349" s="134" t="s">
        <v>395</v>
      </c>
      <c r="F349" s="134"/>
      <c r="G349" s="135" t="s">
        <v>654</v>
      </c>
      <c r="H349" s="256">
        <v>0</v>
      </c>
      <c r="I349" s="256"/>
      <c r="J349" s="40"/>
      <c r="K349" s="411"/>
      <c r="L349" s="183"/>
    </row>
    <row r="350" spans="1:12" s="184" customFormat="1" ht="13.5" hidden="1" thickBot="1">
      <c r="A350" s="420" t="s">
        <v>402</v>
      </c>
      <c r="B350" s="48"/>
      <c r="C350" s="421">
        <f>SUM(C348:C349)</f>
        <v>0</v>
      </c>
      <c r="D350" s="48"/>
      <c r="E350" s="48"/>
      <c r="F350" s="48"/>
      <c r="G350" s="142"/>
      <c r="H350" s="422">
        <f>SUM(H349:H349)</f>
        <v>0</v>
      </c>
      <c r="I350" s="256">
        <f>+C350-H350</f>
        <v>0</v>
      </c>
      <c r="J350" s="40"/>
      <c r="K350" s="411"/>
      <c r="L350" s="183"/>
    </row>
    <row r="351" spans="1:10" ht="12.75">
      <c r="A351" s="209"/>
      <c r="B351" s="102"/>
      <c r="C351" s="267"/>
      <c r="D351" s="102"/>
      <c r="E351" s="102"/>
      <c r="F351" s="102"/>
      <c r="G351" s="172"/>
      <c r="H351" s="273"/>
      <c r="I351" s="255"/>
      <c r="J351" s="255"/>
    </row>
    <row r="352" spans="1:10" ht="12.75">
      <c r="A352" s="162" t="s">
        <v>437</v>
      </c>
      <c r="B352" s="106"/>
      <c r="C352" s="115">
        <f>+C59+C69+C78+C134+C147+C153+C162+C169+C181+C187+C192+C198+C208+C218+C273+C278+C293+C304+C311+C333+C284+C329+C175+C337+C346</f>
        <v>15482783126</v>
      </c>
      <c r="D352" s="106"/>
      <c r="E352" s="106"/>
      <c r="F352" s="106"/>
      <c r="G352" s="114"/>
      <c r="H352" s="257">
        <f>+H59+H69+H78+H134+H147+H153+H162+H169+H181+H187+H192+H198+H208+H218+H273+H278+H293+H304+H311+H333+H284+H329+H175+H337+H346</f>
        <v>15482783126.00744</v>
      </c>
      <c r="I352" s="257">
        <f>+I59+I69+I78+I134+I147+I153+I162+I169+I181+I187+I192+I198+I208+I218+I273+I278+I293+I304+I311+I333+I284+I329+I175+I337+I346</f>
        <v>-0.007440835237503052</v>
      </c>
      <c r="J352" s="115"/>
    </row>
    <row r="353" spans="1:12" s="184" customFormat="1" ht="12.75">
      <c r="A353" s="153" t="s">
        <v>438</v>
      </c>
      <c r="B353" s="134"/>
      <c r="C353" s="40">
        <f>+C74+C86+C92+C96+C121+C128+C157+C203+C239+C251+C269+C232+C257+C300+C350</f>
        <v>7603050000</v>
      </c>
      <c r="D353" s="134"/>
      <c r="E353" s="134"/>
      <c r="F353" s="134"/>
      <c r="G353" s="135"/>
      <c r="H353" s="256">
        <f>+H74+H86+H92+H96+H121+H128+H157+H203+H239+H251+H269+H232+H257+H300+H350</f>
        <v>7603049999.991335</v>
      </c>
      <c r="I353" s="256">
        <f>+I74+I86+I92+I96+I121+I128+I157+I203+I239+I251+I269+I232+I257+I300</f>
        <v>0.008664518594741821</v>
      </c>
      <c r="J353" s="40"/>
      <c r="K353" s="411"/>
      <c r="L353" s="183"/>
    </row>
    <row r="354" spans="1:12" ht="13.5" thickBot="1">
      <c r="A354" s="174"/>
      <c r="B354" s="175"/>
      <c r="C354" s="176">
        <f>+C352+C353</f>
        <v>23085833126</v>
      </c>
      <c r="D354" s="175"/>
      <c r="E354" s="175"/>
      <c r="F354" s="175"/>
      <c r="G354" s="177"/>
      <c r="H354" s="341">
        <f>+H352+H353</f>
        <v>23085833125.998775</v>
      </c>
      <c r="I354" s="260">
        <f>+I352+I353</f>
        <v>0.0012236833572387695</v>
      </c>
      <c r="J354" s="115"/>
      <c r="L354" s="104"/>
    </row>
    <row r="355" spans="1:12" ht="13.5" thickBot="1">
      <c r="A355" s="111" t="s">
        <v>439</v>
      </c>
      <c r="B355" s="123"/>
      <c r="C355" s="122">
        <f>+C59+C69+C74+C78+C86+C92+C96+C121+C128+C134+C147+C153+C157+C162+C169++C181+C187+C192+C198+C203+C208+C218+C232+C239+C251+C269+C273+C278+C293+C300+C304+C311+C333+C257+C284+C329+C175+C337+C346+C350</f>
        <v>23085833126</v>
      </c>
      <c r="D355" s="185"/>
      <c r="E355" s="185"/>
      <c r="F355" s="185"/>
      <c r="G355" s="186"/>
      <c r="H355" s="342">
        <f>+H59+H69+H74+H78+H86+H92+H96+H121+H128+H134+H147+H153+H157+H162+H169++H181+H187+H192+H198+H203+H208+H218+H232+H239+H251+H269+H273+H278+H293+H300+H304+H311+H333+H257+H284+H329+H175+H337+H346+H350</f>
        <v>23085833125.998775</v>
      </c>
      <c r="I355" s="342">
        <f>+I59+I69+I74+I78+I86+I92+I96+I121+I128+I134+I147+I153+I157+I162+I169++I181+I187+I192+I198+I203+I208+I218+I232+I239+I251+I269+I273+I278+I293+I300+I304+I311+I333+I257+I284+I329+I175+I337+I346</f>
        <v>0.0012236833572387695</v>
      </c>
      <c r="J355" s="149"/>
      <c r="L355" s="104"/>
    </row>
    <row r="356" spans="1:12" ht="12.75">
      <c r="A356" s="105"/>
      <c r="B356" s="106"/>
      <c r="C356" s="149">
        <f>+C355-'[5]Clasific. Económica de Ingresos'!D167</f>
        <v>0</v>
      </c>
      <c r="D356" s="29"/>
      <c r="E356" s="29"/>
      <c r="F356" s="29"/>
      <c r="G356" s="168"/>
      <c r="H356" s="280"/>
      <c r="I356" s="149"/>
      <c r="J356" s="149"/>
      <c r="L356" s="104"/>
    </row>
    <row r="357" spans="1:12" ht="31.5" customHeight="1">
      <c r="A357" s="633" t="s">
        <v>567</v>
      </c>
      <c r="B357" s="634"/>
      <c r="C357" s="634"/>
      <c r="D357" s="634"/>
      <c r="E357" s="634"/>
      <c r="F357" s="634"/>
      <c r="G357" s="634"/>
      <c r="H357" s="635"/>
      <c r="I357" s="212"/>
      <c r="J357" s="212"/>
      <c r="L357" s="104"/>
    </row>
    <row r="358" spans="1:12" ht="12.75">
      <c r="A358" s="105"/>
      <c r="B358" s="106"/>
      <c r="C358" s="149"/>
      <c r="D358" s="29"/>
      <c r="E358" s="29"/>
      <c r="F358" s="29"/>
      <c r="G358" s="168"/>
      <c r="H358" s="280"/>
      <c r="I358" s="149"/>
      <c r="J358" s="149"/>
      <c r="L358" s="104"/>
    </row>
    <row r="359" spans="1:12" ht="12.75">
      <c r="A359" s="162" t="s">
        <v>440</v>
      </c>
      <c r="B359" s="106"/>
      <c r="C359" s="149"/>
      <c r="D359" s="29"/>
      <c r="E359" s="29"/>
      <c r="F359" s="29"/>
      <c r="G359" s="168"/>
      <c r="H359" s="280"/>
      <c r="I359" s="149"/>
      <c r="J359" s="149"/>
      <c r="L359" s="104"/>
    </row>
    <row r="360" spans="1:12" ht="12.75">
      <c r="A360" s="105"/>
      <c r="B360" s="106"/>
      <c r="C360" s="149"/>
      <c r="D360" s="29"/>
      <c r="E360" s="29"/>
      <c r="F360" s="29"/>
      <c r="G360" s="168"/>
      <c r="H360" s="280"/>
      <c r="I360" s="149"/>
      <c r="J360" s="149"/>
      <c r="L360" s="104"/>
    </row>
    <row r="361" spans="1:12" ht="13.5" thickBot="1">
      <c r="A361" s="298" t="s">
        <v>655</v>
      </c>
      <c r="B361" s="175"/>
      <c r="C361" s="299"/>
      <c r="D361" s="109"/>
      <c r="E361" s="109"/>
      <c r="F361" s="109"/>
      <c r="G361" s="110"/>
      <c r="H361" s="300"/>
      <c r="I361" s="149"/>
      <c r="J361" s="149"/>
      <c r="L361" s="104"/>
    </row>
    <row r="362" spans="8:12" ht="12.75">
      <c r="H362" s="270">
        <f>+H355-C355</f>
        <v>-0.001224517822265625</v>
      </c>
      <c r="L362" s="104"/>
    </row>
    <row r="363" spans="1:12" ht="12.75">
      <c r="A363" s="188"/>
      <c r="B363" s="188"/>
      <c r="C363" s="189"/>
      <c r="L363" s="104"/>
    </row>
    <row r="364" spans="1:12" ht="12.75">
      <c r="A364" s="188"/>
      <c r="B364" s="188"/>
      <c r="C364" s="189"/>
      <c r="L364" s="104"/>
    </row>
    <row r="365" spans="1:12" ht="12.75">
      <c r="A365" s="188"/>
      <c r="B365" s="188"/>
      <c r="C365" s="189"/>
      <c r="L365" s="104"/>
    </row>
    <row r="366" spans="1:12" ht="12.75">
      <c r="A366" s="188"/>
      <c r="B366" s="188"/>
      <c r="C366" s="189"/>
      <c r="L366" s="104"/>
    </row>
    <row r="367" spans="1:12" ht="12.75">
      <c r="A367" s="188"/>
      <c r="B367" s="188"/>
      <c r="C367" s="189"/>
      <c r="L367" s="104"/>
    </row>
    <row r="368" spans="1:12" ht="12.75">
      <c r="A368" s="188"/>
      <c r="B368" s="188"/>
      <c r="C368" s="189"/>
      <c r="L368" s="104"/>
    </row>
    <row r="369" spans="1:12" ht="12.75">
      <c r="A369" s="188"/>
      <c r="B369" s="188"/>
      <c r="C369" s="189"/>
      <c r="L369" s="104"/>
    </row>
    <row r="370" spans="1:12" ht="12.75">
      <c r="A370" s="188"/>
      <c r="B370" s="188"/>
      <c r="C370" s="189"/>
      <c r="J370" s="104"/>
      <c r="K370" s="104"/>
      <c r="L370" s="104"/>
    </row>
    <row r="371" spans="1:12" ht="12.75">
      <c r="A371" s="188"/>
      <c r="B371" s="188"/>
      <c r="C371" s="189"/>
      <c r="J371" s="104"/>
      <c r="K371" s="104"/>
      <c r="L371" s="104"/>
    </row>
    <row r="372" spans="1:12" ht="12.75">
      <c r="A372" s="188"/>
      <c r="B372" s="188"/>
      <c r="C372" s="189"/>
      <c r="J372" s="104"/>
      <c r="K372" s="104"/>
      <c r="L372" s="104"/>
    </row>
    <row r="373" spans="1:12" ht="12.75">
      <c r="A373" s="188"/>
      <c r="B373" s="188"/>
      <c r="C373" s="189"/>
      <c r="J373" s="104"/>
      <c r="K373" s="104"/>
      <c r="L373" s="104"/>
    </row>
    <row r="374" spans="1:12" ht="12.75">
      <c r="A374" s="188"/>
      <c r="B374" s="188"/>
      <c r="C374" s="189"/>
      <c r="J374" s="104"/>
      <c r="K374" s="104"/>
      <c r="L374" s="104"/>
    </row>
    <row r="375" spans="1:12" ht="12.75">
      <c r="A375" s="188"/>
      <c r="B375" s="188"/>
      <c r="C375" s="189"/>
      <c r="J375" s="104"/>
      <c r="K375" s="104"/>
      <c r="L375" s="104"/>
    </row>
    <row r="376" spans="1:12" ht="12.75">
      <c r="A376" s="188"/>
      <c r="B376" s="188"/>
      <c r="C376" s="189"/>
      <c r="J376" s="104"/>
      <c r="K376" s="104"/>
      <c r="L376" s="104"/>
    </row>
    <row r="377" spans="1:12" ht="12.75">
      <c r="A377" s="188"/>
      <c r="B377" s="188"/>
      <c r="C377" s="189"/>
      <c r="J377" s="104"/>
      <c r="K377" s="104"/>
      <c r="L377" s="104"/>
    </row>
    <row r="378" spans="1:12" ht="12.75">
      <c r="A378" s="188"/>
      <c r="B378" s="188"/>
      <c r="C378" s="189"/>
      <c r="J378" s="104"/>
      <c r="K378" s="104"/>
      <c r="L378" s="104"/>
    </row>
    <row r="379" spans="1:12" ht="12.75">
      <c r="A379" s="188"/>
      <c r="B379" s="188"/>
      <c r="C379" s="189"/>
      <c r="J379" s="104"/>
      <c r="K379" s="104"/>
      <c r="L379" s="104"/>
    </row>
    <row r="380" spans="1:12" ht="12.75">
      <c r="A380" s="188"/>
      <c r="B380" s="188"/>
      <c r="C380" s="189"/>
      <c r="J380" s="104"/>
      <c r="K380" s="104"/>
      <c r="L380" s="104"/>
    </row>
    <row r="381" spans="1:12" ht="12.75">
      <c r="A381" s="188"/>
      <c r="B381" s="188"/>
      <c r="C381" s="189"/>
      <c r="J381" s="104"/>
      <c r="K381" s="104"/>
      <c r="L381" s="104"/>
    </row>
    <row r="382" spans="1:12" ht="12.75">
      <c r="A382" s="188"/>
      <c r="B382" s="188"/>
      <c r="C382" s="189"/>
      <c r="J382" s="104"/>
      <c r="K382" s="104"/>
      <c r="L382" s="104"/>
    </row>
    <row r="383" spans="1:12" ht="12.75">
      <c r="A383" s="188"/>
      <c r="B383" s="188"/>
      <c r="C383" s="189"/>
      <c r="J383" s="104"/>
      <c r="K383" s="104"/>
      <c r="L383" s="104"/>
    </row>
    <row r="384" spans="1:12" ht="12.75">
      <c r="A384" s="188"/>
      <c r="B384" s="188"/>
      <c r="C384" s="189"/>
      <c r="J384" s="104"/>
      <c r="K384" s="104"/>
      <c r="L384" s="104"/>
    </row>
    <row r="385" spans="1:12" ht="12.75">
      <c r="A385" s="188"/>
      <c r="B385" s="188"/>
      <c r="C385" s="189"/>
      <c r="J385" s="104"/>
      <c r="K385" s="104"/>
      <c r="L385" s="104"/>
    </row>
    <row r="386" spans="1:12" ht="12.75">
      <c r="A386" s="188"/>
      <c r="B386" s="188"/>
      <c r="C386" s="189"/>
      <c r="G386" s="104"/>
      <c r="H386" s="104"/>
      <c r="I386" s="104"/>
      <c r="J386" s="104"/>
      <c r="K386" s="104"/>
      <c r="L386" s="104"/>
    </row>
    <row r="387" spans="1:12" ht="12.75">
      <c r="A387" s="188"/>
      <c r="B387" s="188"/>
      <c r="C387" s="189"/>
      <c r="G387" s="104"/>
      <c r="H387" s="104"/>
      <c r="I387" s="104"/>
      <c r="J387" s="104"/>
      <c r="K387" s="104"/>
      <c r="L387" s="104"/>
    </row>
    <row r="388" spans="1:12" ht="12.75">
      <c r="A388" s="188"/>
      <c r="B388" s="188"/>
      <c r="C388" s="189"/>
      <c r="G388" s="104"/>
      <c r="H388" s="104"/>
      <c r="I388" s="104"/>
      <c r="J388" s="104"/>
      <c r="K388" s="104"/>
      <c r="L388" s="104"/>
    </row>
    <row r="389" spans="1:12" ht="12.75">
      <c r="A389" s="188"/>
      <c r="B389" s="188"/>
      <c r="C389" s="189"/>
      <c r="G389" s="104"/>
      <c r="H389" s="104"/>
      <c r="I389" s="104"/>
      <c r="J389" s="104"/>
      <c r="K389" s="104"/>
      <c r="L389" s="104"/>
    </row>
    <row r="390" spans="1:12" ht="12.75">
      <c r="A390" s="188"/>
      <c r="B390" s="188"/>
      <c r="C390" s="189"/>
      <c r="G390" s="104"/>
      <c r="H390" s="104"/>
      <c r="I390" s="104"/>
      <c r="J390" s="104"/>
      <c r="K390" s="104"/>
      <c r="L390" s="104"/>
    </row>
    <row r="391" spans="1:12" ht="12.75">
      <c r="A391" s="188"/>
      <c r="B391" s="188"/>
      <c r="C391" s="189"/>
      <c r="G391" s="104"/>
      <c r="H391" s="104"/>
      <c r="I391" s="104"/>
      <c r="J391" s="104"/>
      <c r="K391" s="104"/>
      <c r="L391" s="104"/>
    </row>
    <row r="392" spans="1:12" ht="12.75">
      <c r="A392" s="188"/>
      <c r="B392" s="188"/>
      <c r="C392" s="189"/>
      <c r="G392" s="104"/>
      <c r="H392" s="104"/>
      <c r="I392" s="104"/>
      <c r="J392" s="104"/>
      <c r="K392" s="104"/>
      <c r="L392" s="104"/>
    </row>
    <row r="393" spans="1:12" ht="12.75">
      <c r="A393" s="188"/>
      <c r="B393" s="188"/>
      <c r="C393" s="189"/>
      <c r="G393" s="104"/>
      <c r="H393" s="104"/>
      <c r="I393" s="104"/>
      <c r="J393" s="104"/>
      <c r="K393" s="104"/>
      <c r="L393" s="104"/>
    </row>
    <row r="394" spans="1:12" ht="12.75">
      <c r="A394" s="188"/>
      <c r="B394" s="188"/>
      <c r="C394" s="189"/>
      <c r="G394" s="104"/>
      <c r="H394" s="104"/>
      <c r="I394" s="104"/>
      <c r="J394" s="104"/>
      <c r="K394" s="104"/>
      <c r="L394" s="104"/>
    </row>
    <row r="395" spans="1:12" ht="12.75">
      <c r="A395" s="188"/>
      <c r="B395" s="188"/>
      <c r="C395" s="189"/>
      <c r="G395" s="104"/>
      <c r="H395" s="104"/>
      <c r="I395" s="104"/>
      <c r="J395" s="104"/>
      <c r="K395" s="104"/>
      <c r="L395" s="104"/>
    </row>
    <row r="396" spans="1:12" ht="12.75">
      <c r="A396" s="188"/>
      <c r="B396" s="188"/>
      <c r="C396" s="189"/>
      <c r="G396" s="104"/>
      <c r="H396" s="104"/>
      <c r="I396" s="104"/>
      <c r="J396" s="104"/>
      <c r="K396" s="104"/>
      <c r="L396" s="104"/>
    </row>
    <row r="397" spans="1:12" ht="12.75">
      <c r="A397" s="188"/>
      <c r="B397" s="188"/>
      <c r="C397" s="189"/>
      <c r="G397" s="104"/>
      <c r="H397" s="104"/>
      <c r="I397" s="104"/>
      <c r="J397" s="104"/>
      <c r="K397" s="104"/>
      <c r="L397" s="104"/>
    </row>
    <row r="398" spans="1:12" ht="12.75">
      <c r="A398" s="188"/>
      <c r="B398" s="188"/>
      <c r="C398" s="189"/>
      <c r="G398" s="104"/>
      <c r="H398" s="104"/>
      <c r="I398" s="104"/>
      <c r="J398" s="104"/>
      <c r="K398" s="104"/>
      <c r="L398" s="104"/>
    </row>
    <row r="399" spans="1:12" ht="12.75">
      <c r="A399" s="188"/>
      <c r="B399" s="188"/>
      <c r="C399" s="189"/>
      <c r="G399" s="104"/>
      <c r="H399" s="104"/>
      <c r="I399" s="104"/>
      <c r="J399" s="104"/>
      <c r="K399" s="104"/>
      <c r="L399" s="104"/>
    </row>
    <row r="400" spans="1:12" ht="12.75">
      <c r="A400" s="188"/>
      <c r="B400" s="188"/>
      <c r="C400" s="189"/>
      <c r="G400" s="104"/>
      <c r="H400" s="104"/>
      <c r="I400" s="104"/>
      <c r="J400" s="104"/>
      <c r="K400" s="104"/>
      <c r="L400" s="104"/>
    </row>
    <row r="401" spans="1:12" ht="12.75">
      <c r="A401" s="188"/>
      <c r="B401" s="188"/>
      <c r="C401" s="189"/>
      <c r="G401" s="104"/>
      <c r="H401" s="104"/>
      <c r="I401" s="104"/>
      <c r="J401" s="104"/>
      <c r="K401" s="104"/>
      <c r="L401" s="104"/>
    </row>
    <row r="402" spans="1:12" ht="12.75">
      <c r="A402" s="188"/>
      <c r="B402" s="188"/>
      <c r="C402" s="189"/>
      <c r="G402" s="104"/>
      <c r="H402" s="104"/>
      <c r="I402" s="104"/>
      <c r="J402" s="104"/>
      <c r="K402" s="104"/>
      <c r="L402" s="104"/>
    </row>
    <row r="403" spans="1:12" ht="12.75">
      <c r="A403" s="188"/>
      <c r="B403" s="188"/>
      <c r="C403" s="189"/>
      <c r="G403" s="104"/>
      <c r="H403" s="104"/>
      <c r="I403" s="104"/>
      <c r="J403" s="104"/>
      <c r="K403" s="104"/>
      <c r="L403" s="104"/>
    </row>
    <row r="404" spans="1:12" ht="12.75">
      <c r="A404" s="188"/>
      <c r="B404" s="188"/>
      <c r="C404" s="189"/>
      <c r="G404" s="104"/>
      <c r="H404" s="104"/>
      <c r="I404" s="104"/>
      <c r="J404" s="104"/>
      <c r="K404" s="104"/>
      <c r="L404" s="104"/>
    </row>
    <row r="405" spans="1:12" ht="12.75">
      <c r="A405" s="188"/>
      <c r="B405" s="188"/>
      <c r="C405" s="189"/>
      <c r="G405" s="104"/>
      <c r="H405" s="104"/>
      <c r="I405" s="104"/>
      <c r="J405" s="104"/>
      <c r="K405" s="104"/>
      <c r="L405" s="104"/>
    </row>
    <row r="406" spans="1:12" ht="12.75">
      <c r="A406" s="188"/>
      <c r="B406" s="188"/>
      <c r="C406" s="189"/>
      <c r="G406" s="104"/>
      <c r="H406" s="104"/>
      <c r="I406" s="104"/>
      <c r="J406" s="104"/>
      <c r="K406" s="104"/>
      <c r="L406" s="104"/>
    </row>
    <row r="407" spans="1:12" ht="12.75">
      <c r="A407" s="188"/>
      <c r="B407" s="188"/>
      <c r="C407" s="189"/>
      <c r="G407" s="104"/>
      <c r="H407" s="104"/>
      <c r="I407" s="104"/>
      <c r="J407" s="104"/>
      <c r="K407" s="104"/>
      <c r="L407" s="104"/>
    </row>
    <row r="408" spans="1:12" ht="12.75">
      <c r="A408" s="188"/>
      <c r="B408" s="188"/>
      <c r="C408" s="189"/>
      <c r="G408" s="104"/>
      <c r="H408" s="104"/>
      <c r="I408" s="104"/>
      <c r="J408" s="104"/>
      <c r="K408" s="104"/>
      <c r="L408" s="104"/>
    </row>
    <row r="409" spans="1:12" ht="12.75">
      <c r="A409" s="188"/>
      <c r="B409" s="188"/>
      <c r="C409" s="189"/>
      <c r="G409" s="104"/>
      <c r="H409" s="104"/>
      <c r="I409" s="104"/>
      <c r="J409" s="104"/>
      <c r="K409" s="104"/>
      <c r="L409" s="104"/>
    </row>
    <row r="410" spans="1:12" ht="12.75">
      <c r="A410" s="188"/>
      <c r="B410" s="188"/>
      <c r="C410" s="189"/>
      <c r="G410" s="104"/>
      <c r="H410" s="104"/>
      <c r="I410" s="104"/>
      <c r="J410" s="104"/>
      <c r="K410" s="104"/>
      <c r="L410" s="104"/>
    </row>
    <row r="411" spans="1:12" ht="12.75">
      <c r="A411" s="188"/>
      <c r="B411" s="188"/>
      <c r="C411" s="189"/>
      <c r="G411" s="104"/>
      <c r="H411" s="104"/>
      <c r="I411" s="104"/>
      <c r="J411" s="104"/>
      <c r="K411" s="104"/>
      <c r="L411" s="104"/>
    </row>
    <row r="412" spans="1:12" ht="12.75">
      <c r="A412" s="188"/>
      <c r="B412" s="188"/>
      <c r="C412" s="189"/>
      <c r="G412" s="104"/>
      <c r="H412" s="104"/>
      <c r="I412" s="104"/>
      <c r="J412" s="104"/>
      <c r="K412" s="104"/>
      <c r="L412" s="104"/>
    </row>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sheetData>
  <sheetProtection/>
  <mergeCells count="21">
    <mergeCell ref="A1:H1"/>
    <mergeCell ref="A2:H2"/>
    <mergeCell ref="A3:H3"/>
    <mergeCell ref="A4:H4"/>
    <mergeCell ref="A5:H5"/>
    <mergeCell ref="A97:H97"/>
    <mergeCell ref="A98:H98"/>
    <mergeCell ref="A99:H99"/>
    <mergeCell ref="A100:H100"/>
    <mergeCell ref="A101:H101"/>
    <mergeCell ref="A209:H209"/>
    <mergeCell ref="A210:H210"/>
    <mergeCell ref="A341:H341"/>
    <mergeCell ref="A342:H342"/>
    <mergeCell ref="A357:H357"/>
    <mergeCell ref="A211:H211"/>
    <mergeCell ref="A212:H212"/>
    <mergeCell ref="A213:H213"/>
    <mergeCell ref="A338:H338"/>
    <mergeCell ref="A339:H339"/>
    <mergeCell ref="A340:H340"/>
  </mergeCells>
  <printOptions horizontalCentered="1" verticalCentered="1"/>
  <pageMargins left="0" right="0" top="0" bottom="0" header="0" footer="0"/>
  <pageSetup horizontalDpi="300" verticalDpi="300" orientation="landscape" scale="47" r:id="rId3"/>
  <rowBreaks count="3" manualBreakCount="3">
    <brk id="96" max="8" man="1"/>
    <brk id="208" max="8" man="1"/>
    <brk id="337" max="8" man="1"/>
  </rowBreaks>
  <legacyDrawing r:id="rId2"/>
</worksheet>
</file>

<file path=xl/worksheets/sheet6.xml><?xml version="1.0" encoding="utf-8"?>
<worksheet xmlns="http://schemas.openxmlformats.org/spreadsheetml/2006/main" xmlns:r="http://schemas.openxmlformats.org/officeDocument/2006/relationships">
  <dimension ref="A1:Q65"/>
  <sheetViews>
    <sheetView showGridLines="0" zoomScale="120" zoomScaleNormal="120" zoomScalePageLayoutView="0" workbookViewId="0" topLeftCell="A29">
      <selection activeCell="L53" sqref="L53"/>
    </sheetView>
  </sheetViews>
  <sheetFormatPr defaultColWidth="11.57421875" defaultRowHeight="12.75"/>
  <cols>
    <col min="1" max="1" width="20.7109375" style="302" customWidth="1"/>
    <col min="2" max="2" width="13.57421875" style="302" customWidth="1"/>
    <col min="3" max="3" width="12.8515625" style="302" customWidth="1"/>
    <col min="4" max="8" width="4.8515625" style="302" customWidth="1"/>
    <col min="9" max="9" width="4.140625" style="302" customWidth="1"/>
    <col min="10" max="10" width="13.140625" style="302" customWidth="1"/>
    <col min="11" max="11" width="9.421875" style="302" customWidth="1"/>
    <col min="12" max="12" width="7.57421875" style="303" customWidth="1"/>
    <col min="13" max="16" width="4.421875" style="302" customWidth="1"/>
    <col min="17" max="17" width="4.8515625" style="302" customWidth="1"/>
    <col min="18" max="16384" width="11.57421875" style="302" customWidth="1"/>
  </cols>
  <sheetData>
    <row r="1" spans="1:16" ht="15.75">
      <c r="A1" s="639" t="s">
        <v>0</v>
      </c>
      <c r="B1" s="639"/>
      <c r="C1" s="639"/>
      <c r="D1" s="639"/>
      <c r="E1" s="639"/>
      <c r="F1" s="639"/>
      <c r="G1" s="639"/>
      <c r="H1" s="639"/>
      <c r="I1" s="639"/>
      <c r="J1" s="639"/>
      <c r="K1" s="639"/>
      <c r="L1" s="639"/>
      <c r="M1" s="639"/>
      <c r="N1" s="639"/>
      <c r="O1" s="639"/>
      <c r="P1" s="639"/>
    </row>
    <row r="2" spans="1:16" ht="15.75">
      <c r="A2" s="639" t="s">
        <v>587</v>
      </c>
      <c r="B2" s="639"/>
      <c r="C2" s="639"/>
      <c r="D2" s="639"/>
      <c r="E2" s="639"/>
      <c r="F2" s="639"/>
      <c r="G2" s="639"/>
      <c r="H2" s="639"/>
      <c r="I2" s="639"/>
      <c r="J2" s="639"/>
      <c r="K2" s="639"/>
      <c r="L2" s="639"/>
      <c r="M2" s="639"/>
      <c r="N2" s="639"/>
      <c r="O2" s="639"/>
      <c r="P2" s="639"/>
    </row>
    <row r="3" spans="1:16" ht="18">
      <c r="A3" s="640" t="s">
        <v>588</v>
      </c>
      <c r="B3" s="640"/>
      <c r="C3" s="640"/>
      <c r="D3" s="640"/>
      <c r="E3" s="640"/>
      <c r="F3" s="640"/>
      <c r="G3" s="640"/>
      <c r="H3" s="640"/>
      <c r="I3" s="640"/>
      <c r="J3" s="640"/>
      <c r="K3" s="640"/>
      <c r="L3" s="640"/>
      <c r="M3" s="640"/>
      <c r="N3" s="640"/>
      <c r="O3" s="640"/>
      <c r="P3" s="640"/>
    </row>
    <row r="4" spans="2:16" ht="12.75">
      <c r="B4" s="368"/>
      <c r="C4" s="368"/>
      <c r="D4" s="368"/>
      <c r="E4" s="368"/>
      <c r="F4" s="368"/>
      <c r="G4" s="368"/>
      <c r="H4" s="368"/>
      <c r="I4" s="368"/>
      <c r="J4" s="368"/>
      <c r="K4" s="368"/>
      <c r="L4" s="368"/>
      <c r="M4" s="368"/>
      <c r="N4" s="368"/>
      <c r="O4" s="368"/>
      <c r="P4" s="368"/>
    </row>
    <row r="5" spans="1:16" ht="20.25">
      <c r="A5" s="369"/>
      <c r="B5" s="368"/>
      <c r="C5" s="368"/>
      <c r="D5" s="368"/>
      <c r="E5" s="368"/>
      <c r="F5" s="368"/>
      <c r="G5" s="368"/>
      <c r="H5" s="368"/>
      <c r="I5" s="368"/>
      <c r="J5" s="368"/>
      <c r="K5" s="368"/>
      <c r="L5" s="368"/>
      <c r="M5" s="368"/>
      <c r="N5" s="368"/>
      <c r="O5" s="368"/>
      <c r="P5" s="368"/>
    </row>
    <row r="6" spans="2:17" s="368" customFormat="1" ht="13.5" thickBot="1">
      <c r="B6" s="641" t="s">
        <v>589</v>
      </c>
      <c r="C6" s="642"/>
      <c r="D6" s="370"/>
      <c r="E6" s="641" t="s">
        <v>590</v>
      </c>
      <c r="F6" s="643"/>
      <c r="G6" s="643"/>
      <c r="H6" s="642"/>
      <c r="J6" s="641" t="s">
        <v>591</v>
      </c>
      <c r="K6" s="642"/>
      <c r="L6" s="370"/>
      <c r="M6" s="370"/>
      <c r="N6" s="641" t="s">
        <v>590</v>
      </c>
      <c r="O6" s="643"/>
      <c r="P6" s="643"/>
      <c r="Q6" s="642"/>
    </row>
    <row r="7" spans="1:17" s="368" customFormat="1" ht="26.25" customHeight="1" thickBot="1">
      <c r="A7" s="650" t="s">
        <v>592</v>
      </c>
      <c r="B7" s="652" t="s">
        <v>205</v>
      </c>
      <c r="C7" s="652" t="s">
        <v>593</v>
      </c>
      <c r="D7" s="646" t="s">
        <v>594</v>
      </c>
      <c r="E7" s="648" t="s">
        <v>389</v>
      </c>
      <c r="F7" s="648" t="s">
        <v>394</v>
      </c>
      <c r="G7" s="648" t="s">
        <v>396</v>
      </c>
      <c r="H7" s="648" t="s">
        <v>595</v>
      </c>
      <c r="I7" s="371"/>
      <c r="J7" s="652" t="s">
        <v>205</v>
      </c>
      <c r="K7" s="644" t="s">
        <v>596</v>
      </c>
      <c r="L7" s="645"/>
      <c r="M7" s="646" t="s">
        <v>594</v>
      </c>
      <c r="N7" s="648" t="s">
        <v>389</v>
      </c>
      <c r="O7" s="648" t="s">
        <v>394</v>
      </c>
      <c r="P7" s="648" t="s">
        <v>396</v>
      </c>
      <c r="Q7" s="648" t="s">
        <v>595</v>
      </c>
    </row>
    <row r="8" spans="1:17" s="368" customFormat="1" ht="34.5" thickBot="1">
      <c r="A8" s="651"/>
      <c r="B8" s="653"/>
      <c r="C8" s="653"/>
      <c r="D8" s="647"/>
      <c r="E8" s="649"/>
      <c r="F8" s="649"/>
      <c r="G8" s="649"/>
      <c r="H8" s="649"/>
      <c r="I8" s="371"/>
      <c r="J8" s="653"/>
      <c r="K8" s="373" t="s">
        <v>597</v>
      </c>
      <c r="L8" s="372" t="s">
        <v>598</v>
      </c>
      <c r="M8" s="647"/>
      <c r="N8" s="649"/>
      <c r="O8" s="649"/>
      <c r="P8" s="649"/>
      <c r="Q8" s="649"/>
    </row>
    <row r="9" s="368" customFormat="1" ht="12.75"/>
    <row r="10" spans="1:17" s="368" customFormat="1" ht="12.75">
      <c r="A10" s="374" t="s">
        <v>599</v>
      </c>
      <c r="B10" s="375">
        <f>+F10+G10</f>
        <v>2</v>
      </c>
      <c r="C10" s="375"/>
      <c r="D10" s="376">
        <f>(B10+C10)-(E10+F10+G10+H10)</f>
        <v>0</v>
      </c>
      <c r="E10" s="375"/>
      <c r="F10" s="375">
        <v>1</v>
      </c>
      <c r="G10" s="375">
        <v>1</v>
      </c>
      <c r="H10" s="375"/>
      <c r="I10" s="377"/>
      <c r="J10" s="375">
        <v>2</v>
      </c>
      <c r="K10" s="375">
        <v>4</v>
      </c>
      <c r="L10" s="375"/>
      <c r="M10" s="376">
        <f>(J10+K10+L10)-(N10+O10+P10+Q10)</f>
        <v>0</v>
      </c>
      <c r="N10" s="375">
        <v>6</v>
      </c>
      <c r="O10" s="375"/>
      <c r="P10" s="375"/>
      <c r="Q10" s="375"/>
    </row>
    <row r="11" spans="1:17" s="368" customFormat="1" ht="12.75">
      <c r="A11" s="374"/>
      <c r="B11" s="377"/>
      <c r="C11" s="377"/>
      <c r="D11" s="377"/>
      <c r="E11" s="377"/>
      <c r="F11" s="377"/>
      <c r="G11" s="377"/>
      <c r="H11" s="377"/>
      <c r="I11" s="377"/>
      <c r="J11" s="377"/>
      <c r="K11" s="377"/>
      <c r="L11" s="377"/>
      <c r="M11" s="377"/>
      <c r="N11" s="377"/>
      <c r="O11" s="377"/>
      <c r="P11" s="377"/>
      <c r="Q11" s="377"/>
    </row>
    <row r="12" spans="1:17" s="368" customFormat="1" ht="12.75">
      <c r="A12" s="374" t="s">
        <v>600</v>
      </c>
      <c r="B12" s="375">
        <v>51</v>
      </c>
      <c r="C12" s="375"/>
      <c r="D12" s="376">
        <f>(B12+C12)-(E12+F12+G12+H12)</f>
        <v>0</v>
      </c>
      <c r="E12" s="375"/>
      <c r="F12" s="375">
        <v>28</v>
      </c>
      <c r="G12" s="375">
        <v>23</v>
      </c>
      <c r="H12" s="375"/>
      <c r="I12" s="377"/>
      <c r="J12" s="375">
        <v>65</v>
      </c>
      <c r="K12" s="375">
        <v>13</v>
      </c>
      <c r="L12" s="375"/>
      <c r="M12" s="376">
        <f>(J12+K12+L12)-(N12+O12+P12+Q12)</f>
        <v>0</v>
      </c>
      <c r="N12" s="375">
        <v>78</v>
      </c>
      <c r="O12" s="375"/>
      <c r="P12" s="375"/>
      <c r="Q12" s="375"/>
    </row>
    <row r="13" spans="1:17" s="368" customFormat="1" ht="12.75">
      <c r="A13" s="374"/>
      <c r="B13" s="377"/>
      <c r="C13" s="377"/>
      <c r="D13" s="377"/>
      <c r="E13" s="377"/>
      <c r="F13" s="377"/>
      <c r="G13" s="377"/>
      <c r="H13" s="377"/>
      <c r="I13" s="377"/>
      <c r="J13" s="377"/>
      <c r="K13" s="377"/>
      <c r="L13" s="377"/>
      <c r="M13" s="377"/>
      <c r="N13" s="377"/>
      <c r="O13" s="377"/>
      <c r="P13" s="377"/>
      <c r="Q13" s="377"/>
    </row>
    <row r="14" spans="1:17" s="368" customFormat="1" ht="12.75">
      <c r="A14" s="374" t="s">
        <v>601</v>
      </c>
      <c r="B14" s="375">
        <v>19</v>
      </c>
      <c r="C14" s="375"/>
      <c r="D14" s="376">
        <f>(B14+C14)-(E14+F14+G14+H14)</f>
        <v>0</v>
      </c>
      <c r="E14" s="375"/>
      <c r="F14" s="375">
        <v>15</v>
      </c>
      <c r="G14" s="375">
        <v>4</v>
      </c>
      <c r="H14" s="375"/>
      <c r="I14" s="377"/>
      <c r="J14" s="375">
        <v>43</v>
      </c>
      <c r="K14" s="375">
        <v>0</v>
      </c>
      <c r="L14" s="375"/>
      <c r="M14" s="376">
        <f>(J14+K14+L14)-(N14+O14+P14+Q14)</f>
        <v>0</v>
      </c>
      <c r="N14" s="375">
        <v>43</v>
      </c>
      <c r="O14" s="375"/>
      <c r="P14" s="375"/>
      <c r="Q14" s="375"/>
    </row>
    <row r="15" spans="1:17" s="368" customFormat="1" ht="12.75">
      <c r="A15" s="374"/>
      <c r="B15" s="377"/>
      <c r="C15" s="377"/>
      <c r="D15" s="377"/>
      <c r="E15" s="377"/>
      <c r="F15" s="377"/>
      <c r="G15" s="377"/>
      <c r="H15" s="377"/>
      <c r="I15" s="377"/>
      <c r="J15" s="377"/>
      <c r="K15" s="377"/>
      <c r="L15" s="377"/>
      <c r="M15" s="377"/>
      <c r="N15" s="377"/>
      <c r="O15" s="377"/>
      <c r="P15" s="377"/>
      <c r="Q15" s="377"/>
    </row>
    <row r="16" spans="1:17" s="368" customFormat="1" ht="12.75">
      <c r="A16" s="374" t="s">
        <v>602</v>
      </c>
      <c r="B16" s="375">
        <v>60</v>
      </c>
      <c r="C16" s="375"/>
      <c r="D16" s="376">
        <f>(B16+C16)-(E16+F16+G16+H16)</f>
        <v>0</v>
      </c>
      <c r="E16" s="375"/>
      <c r="F16" s="375">
        <v>50</v>
      </c>
      <c r="G16" s="375">
        <v>10</v>
      </c>
      <c r="H16" s="375"/>
      <c r="I16" s="377"/>
      <c r="J16" s="375">
        <v>71</v>
      </c>
      <c r="K16" s="375">
        <v>2</v>
      </c>
      <c r="L16" s="375">
        <v>4</v>
      </c>
      <c r="M16" s="376">
        <f>(J16+K16+L16)-(N16+O16+P16+Q16)</f>
        <v>0</v>
      </c>
      <c r="N16" s="375">
        <v>77</v>
      </c>
      <c r="O16" s="375"/>
      <c r="P16" s="375"/>
      <c r="Q16" s="375"/>
    </row>
    <row r="17" spans="1:17" s="368" customFormat="1" ht="12.75">
      <c r="A17" s="374"/>
      <c r="B17" s="377"/>
      <c r="C17" s="377"/>
      <c r="D17" s="377"/>
      <c r="E17" s="377"/>
      <c r="F17" s="377"/>
      <c r="G17" s="377"/>
      <c r="H17" s="377"/>
      <c r="I17" s="377"/>
      <c r="J17" s="377"/>
      <c r="K17" s="377"/>
      <c r="L17" s="377"/>
      <c r="M17" s="377"/>
      <c r="N17" s="377"/>
      <c r="O17" s="377"/>
      <c r="P17" s="377"/>
      <c r="Q17" s="377"/>
    </row>
    <row r="18" spans="1:17" s="368" customFormat="1" ht="12.75">
      <c r="A18" s="374" t="s">
        <v>603</v>
      </c>
      <c r="B18" s="375">
        <v>265</v>
      </c>
      <c r="C18" s="375"/>
      <c r="D18" s="376">
        <f>(B18+C18)-(E18+F18+G18+H18)</f>
        <v>0</v>
      </c>
      <c r="E18" s="375"/>
      <c r="F18" s="375">
        <v>194</v>
      </c>
      <c r="G18" s="375">
        <v>71</v>
      </c>
      <c r="H18" s="375"/>
      <c r="I18" s="377"/>
      <c r="J18" s="375">
        <v>23</v>
      </c>
      <c r="K18" s="375"/>
      <c r="L18" s="375"/>
      <c r="M18" s="376">
        <f>(J18+K18+L18)-(N18+O18+P18+Q18)</f>
        <v>0</v>
      </c>
      <c r="N18" s="375">
        <v>23</v>
      </c>
      <c r="O18" s="375"/>
      <c r="P18" s="375"/>
      <c r="Q18" s="375"/>
    </row>
    <row r="19" s="368" customFormat="1" ht="13.5" thickBot="1">
      <c r="A19" s="378"/>
    </row>
    <row r="20" spans="1:17" s="368" customFormat="1" ht="15.75" thickBot="1">
      <c r="A20" s="379" t="s">
        <v>604</v>
      </c>
      <c r="B20" s="380">
        <f>SUM(B10:B19)</f>
        <v>397</v>
      </c>
      <c r="C20" s="381">
        <f>SUM(C10:C18)</f>
        <v>0</v>
      </c>
      <c r="D20" s="382">
        <f>(B20+C20)-(E20+F20+G20+H20)</f>
        <v>0</v>
      </c>
      <c r="E20" s="380">
        <f>SUM(E10:E18)</f>
        <v>0</v>
      </c>
      <c r="F20" s="381">
        <f>SUM(F10:F18)</f>
        <v>288</v>
      </c>
      <c r="G20" s="381">
        <f>SUM(G10:G18)</f>
        <v>109</v>
      </c>
      <c r="H20" s="381">
        <f>SUM(H10:H18)</f>
        <v>0</v>
      </c>
      <c r="I20" s="383"/>
      <c r="J20" s="380">
        <f>SUM(J10:J18)</f>
        <v>204</v>
      </c>
      <c r="K20" s="381">
        <f>SUM(K10:K18)</f>
        <v>19</v>
      </c>
      <c r="L20" s="381">
        <f>SUM(L10:L18)</f>
        <v>4</v>
      </c>
      <c r="M20" s="384">
        <f>(J20+K20+L20)-(N20+O20+P20+Q20)</f>
        <v>0</v>
      </c>
      <c r="N20" s="380">
        <f>SUM(N10:N18)</f>
        <v>227</v>
      </c>
      <c r="O20" s="381">
        <f>SUM(O10:O18)</f>
        <v>0</v>
      </c>
      <c r="P20" s="381">
        <f>SUM(P10:P18)</f>
        <v>0</v>
      </c>
      <c r="Q20" s="381">
        <f>SUM(Q10:Q18)</f>
        <v>0</v>
      </c>
    </row>
    <row r="21" spans="1:16" ht="12.75">
      <c r="A21" s="368"/>
      <c r="B21" s="368"/>
      <c r="C21" s="368"/>
      <c r="D21" s="368"/>
      <c r="E21" s="368"/>
      <c r="F21" s="368"/>
      <c r="G21" s="368"/>
      <c r="H21" s="368"/>
      <c r="I21" s="368"/>
      <c r="J21" s="368"/>
      <c r="K21" s="368"/>
      <c r="L21" s="368"/>
      <c r="M21" s="368"/>
      <c r="N21" s="368"/>
      <c r="O21" s="368"/>
      <c r="P21" s="368"/>
    </row>
    <row r="22" spans="1:16" ht="13.5" thickBot="1">
      <c r="A22" s="368"/>
      <c r="B22" s="368"/>
      <c r="C22" s="368"/>
      <c r="D22" s="368"/>
      <c r="E22" s="368"/>
      <c r="F22" s="368"/>
      <c r="G22" s="368"/>
      <c r="H22" s="368"/>
      <c r="I22" s="368"/>
      <c r="J22" s="368"/>
      <c r="K22" s="368"/>
      <c r="L22" s="368"/>
      <c r="M22" s="368"/>
      <c r="N22" s="368"/>
      <c r="O22" s="368"/>
      <c r="P22" s="368"/>
    </row>
    <row r="23" spans="1:16" ht="13.5" thickBot="1">
      <c r="A23" s="385" t="s">
        <v>605</v>
      </c>
      <c r="B23" s="386"/>
      <c r="C23" s="387"/>
      <c r="D23" s="388"/>
      <c r="E23" s="368"/>
      <c r="F23" s="385" t="s">
        <v>606</v>
      </c>
      <c r="G23" s="386"/>
      <c r="H23" s="389"/>
      <c r="I23" s="389"/>
      <c r="J23" s="389"/>
      <c r="K23" s="389"/>
      <c r="L23" s="389"/>
      <c r="M23" s="387"/>
      <c r="N23" s="368"/>
      <c r="O23" s="368"/>
      <c r="P23" s="368"/>
    </row>
    <row r="24" spans="1:16" ht="12.75">
      <c r="A24" s="368" t="s">
        <v>607</v>
      </c>
      <c r="B24" s="368"/>
      <c r="C24" s="368">
        <f>B20+J20</f>
        <v>601</v>
      </c>
      <c r="D24" s="368"/>
      <c r="E24" s="368"/>
      <c r="F24" s="368" t="s">
        <v>608</v>
      </c>
      <c r="G24" s="368"/>
      <c r="H24" s="368"/>
      <c r="I24" s="368"/>
      <c r="J24" s="368"/>
      <c r="K24" s="368"/>
      <c r="L24" s="368"/>
      <c r="M24" s="368">
        <f>E20+N20</f>
        <v>227</v>
      </c>
      <c r="N24" s="368"/>
      <c r="O24" s="368"/>
      <c r="P24" s="368"/>
    </row>
    <row r="25" spans="1:16" ht="12.75">
      <c r="A25" s="368" t="s">
        <v>609</v>
      </c>
      <c r="B25" s="368"/>
      <c r="C25" s="368">
        <f>C20+K20+L20</f>
        <v>23</v>
      </c>
      <c r="D25" s="368"/>
      <c r="E25" s="368"/>
      <c r="F25" s="368" t="s">
        <v>610</v>
      </c>
      <c r="G25" s="368"/>
      <c r="H25" s="368"/>
      <c r="I25" s="368"/>
      <c r="J25" s="368"/>
      <c r="K25" s="368"/>
      <c r="L25" s="368"/>
      <c r="M25" s="368">
        <f>F20+O20</f>
        <v>288</v>
      </c>
      <c r="N25" s="368"/>
      <c r="O25" s="368"/>
      <c r="P25" s="368"/>
    </row>
    <row r="26" spans="1:16" ht="12.75">
      <c r="A26" s="368" t="s">
        <v>611</v>
      </c>
      <c r="B26" s="368"/>
      <c r="C26" s="368">
        <f>B20+C20</f>
        <v>397</v>
      </c>
      <c r="D26" s="368"/>
      <c r="E26" s="368"/>
      <c r="F26" s="368" t="s">
        <v>612</v>
      </c>
      <c r="G26" s="368"/>
      <c r="H26" s="368"/>
      <c r="I26" s="368"/>
      <c r="J26" s="368"/>
      <c r="K26" s="368"/>
      <c r="L26" s="368"/>
      <c r="M26" s="368">
        <f>G20+P20</f>
        <v>109</v>
      </c>
      <c r="N26" s="368"/>
      <c r="O26" s="368"/>
      <c r="P26" s="368"/>
    </row>
    <row r="27" spans="1:16" ht="13.5" thickBot="1">
      <c r="A27" s="368" t="s">
        <v>613</v>
      </c>
      <c r="B27" s="368"/>
      <c r="C27" s="368">
        <f>J20+K20+L20</f>
        <v>227</v>
      </c>
      <c r="D27" s="368"/>
      <c r="E27" s="368"/>
      <c r="F27" s="368" t="s">
        <v>614</v>
      </c>
      <c r="G27" s="368"/>
      <c r="H27" s="368"/>
      <c r="I27" s="368"/>
      <c r="J27" s="368"/>
      <c r="K27" s="368"/>
      <c r="L27" s="368"/>
      <c r="M27" s="368">
        <f>H20+Q20</f>
        <v>0</v>
      </c>
      <c r="N27" s="368"/>
      <c r="O27" s="368"/>
      <c r="P27" s="368"/>
    </row>
    <row r="28" spans="1:16" ht="13.5" thickBot="1">
      <c r="A28" s="385" t="s">
        <v>615</v>
      </c>
      <c r="B28" s="386"/>
      <c r="C28" s="387">
        <f>B20+C20+J20+K20+L20</f>
        <v>624</v>
      </c>
      <c r="D28" s="388"/>
      <c r="E28" s="368"/>
      <c r="F28" s="385" t="s">
        <v>615</v>
      </c>
      <c r="G28" s="386"/>
      <c r="H28" s="389"/>
      <c r="I28" s="389"/>
      <c r="J28" s="389"/>
      <c r="K28" s="389"/>
      <c r="L28" s="389"/>
      <c r="M28" s="387">
        <f>SUM(M24:M27)</f>
        <v>624</v>
      </c>
      <c r="N28" s="368"/>
      <c r="O28" s="368"/>
      <c r="P28" s="368"/>
    </row>
    <row r="29" spans="1:16" ht="12.75">
      <c r="A29" s="388"/>
      <c r="B29" s="388"/>
      <c r="C29" s="388"/>
      <c r="D29" s="388"/>
      <c r="E29" s="368"/>
      <c r="F29" s="368"/>
      <c r="G29" s="368"/>
      <c r="H29" s="368"/>
      <c r="I29" s="368"/>
      <c r="J29" s="368"/>
      <c r="K29" s="368"/>
      <c r="L29" s="368"/>
      <c r="M29" s="368"/>
      <c r="N29" s="368"/>
      <c r="O29" s="368"/>
      <c r="P29" s="368"/>
    </row>
    <row r="30" spans="1:16" ht="12.75">
      <c r="A30" s="388"/>
      <c r="B30" s="388"/>
      <c r="C30" s="388"/>
      <c r="D30" s="388"/>
      <c r="E30" s="368"/>
      <c r="F30" s="368"/>
      <c r="G30" s="368"/>
      <c r="H30" s="368"/>
      <c r="I30" s="368"/>
      <c r="J30" s="368"/>
      <c r="K30" s="368"/>
      <c r="L30" s="368"/>
      <c r="M30" s="368"/>
      <c r="N30" s="368"/>
      <c r="O30" s="368"/>
      <c r="P30" s="368"/>
    </row>
    <row r="31" spans="1:16" ht="12.75">
      <c r="A31" s="388"/>
      <c r="B31" s="388"/>
      <c r="C31" s="388"/>
      <c r="D31" s="388"/>
      <c r="E31" s="368"/>
      <c r="F31" s="368"/>
      <c r="G31" s="368"/>
      <c r="H31" s="368"/>
      <c r="I31" s="368"/>
      <c r="J31" s="368"/>
      <c r="K31" s="368"/>
      <c r="L31" s="368"/>
      <c r="M31" s="368"/>
      <c r="N31" s="368"/>
      <c r="O31" s="368"/>
      <c r="P31" s="368"/>
    </row>
    <row r="32" spans="1:16" ht="12.75">
      <c r="A32" s="388"/>
      <c r="B32" s="388"/>
      <c r="C32" s="388"/>
      <c r="D32" s="388"/>
      <c r="E32" s="368"/>
      <c r="F32" s="368"/>
      <c r="G32" s="368"/>
      <c r="H32" s="368"/>
      <c r="I32" s="368"/>
      <c r="J32" s="368"/>
      <c r="K32" s="368"/>
      <c r="L32" s="368"/>
      <c r="M32" s="368"/>
      <c r="N32" s="368"/>
      <c r="O32" s="368"/>
      <c r="P32" s="368"/>
    </row>
    <row r="33" spans="1:16" ht="12.75">
      <c r="A33" s="388"/>
      <c r="B33" s="388"/>
      <c r="C33" s="388"/>
      <c r="D33" s="388"/>
      <c r="E33" s="368"/>
      <c r="F33" s="368"/>
      <c r="G33" s="368"/>
      <c r="H33" s="368"/>
      <c r="I33" s="368"/>
      <c r="J33" s="368"/>
      <c r="K33" s="368"/>
      <c r="L33" s="368"/>
      <c r="M33" s="368"/>
      <c r="N33" s="368"/>
      <c r="O33" s="368"/>
      <c r="P33" s="368"/>
    </row>
    <row r="34" spans="1:16" ht="12.75">
      <c r="A34" s="368"/>
      <c r="B34" s="368"/>
      <c r="C34" s="368"/>
      <c r="D34" s="368"/>
      <c r="E34" s="368"/>
      <c r="F34" s="368"/>
      <c r="G34" s="368"/>
      <c r="H34" s="368"/>
      <c r="I34" s="368"/>
      <c r="J34" s="368"/>
      <c r="K34" s="368"/>
      <c r="L34" s="368"/>
      <c r="M34" s="368"/>
      <c r="N34" s="368"/>
      <c r="O34" s="368"/>
      <c r="P34" s="368"/>
    </row>
    <row r="35" spans="1:16" ht="12.75">
      <c r="A35" s="368"/>
      <c r="B35" s="368"/>
      <c r="C35" s="368"/>
      <c r="D35" s="368"/>
      <c r="E35" s="368"/>
      <c r="F35" s="368"/>
      <c r="G35" s="368"/>
      <c r="H35" s="368"/>
      <c r="I35" s="368"/>
      <c r="J35" s="368"/>
      <c r="K35" s="368"/>
      <c r="L35" s="368"/>
      <c r="M35" s="368"/>
      <c r="N35" s="368"/>
      <c r="O35" s="368"/>
      <c r="P35" s="368"/>
    </row>
    <row r="36" spans="1:16" ht="12.75">
      <c r="A36" s="368"/>
      <c r="B36" s="368"/>
      <c r="C36" s="368"/>
      <c r="D36" s="368"/>
      <c r="E36" s="368"/>
      <c r="F36" s="368"/>
      <c r="G36" s="368"/>
      <c r="H36" s="368"/>
      <c r="I36" s="368"/>
      <c r="J36" s="368"/>
      <c r="K36" s="368"/>
      <c r="L36" s="368"/>
      <c r="M36" s="368"/>
      <c r="N36" s="368"/>
      <c r="O36" s="368"/>
      <c r="P36" s="368"/>
    </row>
    <row r="37" spans="1:16" ht="12.75">
      <c r="A37" s="368"/>
      <c r="B37" s="368"/>
      <c r="C37" s="368"/>
      <c r="D37" s="368"/>
      <c r="E37" s="368"/>
      <c r="F37" s="368"/>
      <c r="G37" s="368"/>
      <c r="H37" s="368"/>
      <c r="I37" s="368"/>
      <c r="J37" s="368"/>
      <c r="K37" s="368"/>
      <c r="L37" s="368"/>
      <c r="M37" s="368"/>
      <c r="N37" s="368"/>
      <c r="O37" s="368"/>
      <c r="P37" s="368"/>
    </row>
    <row r="38" spans="1:16" ht="12.75">
      <c r="A38" s="368"/>
      <c r="B38" s="368"/>
      <c r="C38" s="368"/>
      <c r="D38" s="368"/>
      <c r="E38" s="368"/>
      <c r="F38" s="368"/>
      <c r="G38" s="368"/>
      <c r="H38" s="368"/>
      <c r="I38" s="368"/>
      <c r="J38" s="368"/>
      <c r="K38" s="368"/>
      <c r="L38" s="368"/>
      <c r="M38" s="368"/>
      <c r="N38" s="368"/>
      <c r="O38" s="368"/>
      <c r="P38" s="368"/>
    </row>
    <row r="39" spans="1:16" ht="12.75">
      <c r="A39" s="368"/>
      <c r="B39" s="368"/>
      <c r="C39" s="368"/>
      <c r="D39" s="368"/>
      <c r="E39" s="368"/>
      <c r="F39" s="368"/>
      <c r="G39" s="368"/>
      <c r="H39" s="368"/>
      <c r="I39" s="368"/>
      <c r="J39" s="368"/>
      <c r="K39" s="368"/>
      <c r="L39" s="368"/>
      <c r="M39" s="368"/>
      <c r="N39" s="368"/>
      <c r="O39" s="368"/>
      <c r="P39" s="368"/>
    </row>
    <row r="40" spans="1:16" ht="12.75">
      <c r="A40" s="368"/>
      <c r="B40" s="368"/>
      <c r="C40" s="368"/>
      <c r="D40" s="368"/>
      <c r="E40" s="368"/>
      <c r="F40" s="368"/>
      <c r="G40" s="368"/>
      <c r="H40" s="368"/>
      <c r="I40" s="368"/>
      <c r="J40" s="368"/>
      <c r="K40" s="368"/>
      <c r="L40" s="368"/>
      <c r="M40" s="368"/>
      <c r="N40" s="368"/>
      <c r="O40" s="368"/>
      <c r="P40" s="368"/>
    </row>
    <row r="41" spans="1:16" ht="12.75">
      <c r="A41" s="368"/>
      <c r="B41" s="368"/>
      <c r="C41" s="368"/>
      <c r="D41" s="368"/>
      <c r="E41" s="368"/>
      <c r="F41" s="368"/>
      <c r="G41" s="368"/>
      <c r="H41" s="368"/>
      <c r="I41" s="368"/>
      <c r="J41" s="368"/>
      <c r="K41" s="368"/>
      <c r="L41" s="368"/>
      <c r="M41" s="368"/>
      <c r="N41" s="368"/>
      <c r="O41" s="368"/>
      <c r="P41" s="368"/>
    </row>
    <row r="42" spans="1:16" ht="12.75">
      <c r="A42" s="368"/>
      <c r="B42" s="368"/>
      <c r="C42" s="368"/>
      <c r="D42" s="368"/>
      <c r="E42" s="368"/>
      <c r="F42" s="368"/>
      <c r="G42" s="368"/>
      <c r="H42" s="368"/>
      <c r="I42" s="368"/>
      <c r="J42" s="368"/>
      <c r="K42" s="368"/>
      <c r="L42" s="368"/>
      <c r="M42" s="368"/>
      <c r="N42" s="368"/>
      <c r="O42" s="368"/>
      <c r="P42" s="368"/>
    </row>
    <row r="43" spans="1:16" ht="12.75">
      <c r="A43" s="368"/>
      <c r="B43" s="368"/>
      <c r="C43" s="368"/>
      <c r="D43" s="368"/>
      <c r="E43" s="368"/>
      <c r="F43" s="368"/>
      <c r="G43" s="368"/>
      <c r="H43" s="368"/>
      <c r="I43" s="368"/>
      <c r="J43" s="368"/>
      <c r="K43" s="368"/>
      <c r="L43" s="368"/>
      <c r="M43" s="368"/>
      <c r="N43" s="368"/>
      <c r="O43" s="368"/>
      <c r="P43" s="368"/>
    </row>
    <row r="44" spans="1:16" ht="12.75">
      <c r="A44" s="368"/>
      <c r="B44" s="368"/>
      <c r="C44" s="368"/>
      <c r="D44" s="368"/>
      <c r="E44" s="368"/>
      <c r="F44" s="368"/>
      <c r="G44" s="368"/>
      <c r="H44" s="368"/>
      <c r="I44" s="368"/>
      <c r="J44" s="368"/>
      <c r="K44" s="368"/>
      <c r="L44" s="368"/>
      <c r="M44" s="368"/>
      <c r="N44" s="368"/>
      <c r="O44" s="368"/>
      <c r="P44" s="368"/>
    </row>
    <row r="45" spans="1:16" ht="12.75">
      <c r="A45" s="368"/>
      <c r="B45" s="368"/>
      <c r="C45" s="368"/>
      <c r="D45" s="368"/>
      <c r="E45" s="368"/>
      <c r="F45" s="368"/>
      <c r="G45" s="368"/>
      <c r="H45" s="368"/>
      <c r="I45" s="368"/>
      <c r="J45" s="368"/>
      <c r="K45" s="368"/>
      <c r="L45" s="368"/>
      <c r="M45" s="368"/>
      <c r="N45" s="368"/>
      <c r="O45" s="368"/>
      <c r="P45" s="368"/>
    </row>
    <row r="46" spans="1:16" ht="12.75">
      <c r="A46" s="368"/>
      <c r="B46" s="368"/>
      <c r="C46" s="368"/>
      <c r="D46" s="368"/>
      <c r="E46" s="368"/>
      <c r="F46" s="368"/>
      <c r="G46" s="368"/>
      <c r="H46" s="368"/>
      <c r="I46" s="368"/>
      <c r="J46" s="368"/>
      <c r="K46" s="368"/>
      <c r="L46" s="368"/>
      <c r="M46" s="368"/>
      <c r="N46" s="368"/>
      <c r="O46" s="368"/>
      <c r="P46" s="368"/>
    </row>
    <row r="47" spans="1:16" ht="12.75">
      <c r="A47" s="368"/>
      <c r="B47" s="368"/>
      <c r="C47" s="368"/>
      <c r="D47" s="368"/>
      <c r="E47" s="368"/>
      <c r="F47" s="368"/>
      <c r="G47" s="368"/>
      <c r="H47" s="368"/>
      <c r="I47" s="368"/>
      <c r="J47" s="368"/>
      <c r="K47" s="368"/>
      <c r="L47" s="368"/>
      <c r="M47" s="368"/>
      <c r="N47" s="368"/>
      <c r="O47" s="368"/>
      <c r="P47" s="368"/>
    </row>
    <row r="48" spans="1:16" ht="12.75">
      <c r="A48" s="368"/>
      <c r="B48" s="368"/>
      <c r="C48" s="368"/>
      <c r="D48" s="368"/>
      <c r="E48" s="368"/>
      <c r="F48" s="368"/>
      <c r="G48" s="368"/>
      <c r="H48" s="368"/>
      <c r="I48" s="368"/>
      <c r="J48" s="368"/>
      <c r="K48" s="368"/>
      <c r="L48" s="368"/>
      <c r="M48" s="368"/>
      <c r="N48" s="368"/>
      <c r="O48" s="368"/>
      <c r="P48" s="368"/>
    </row>
    <row r="49" spans="1:16" ht="12.75">
      <c r="A49" s="368"/>
      <c r="B49" s="368"/>
      <c r="C49" s="368"/>
      <c r="D49" s="368"/>
      <c r="E49" s="368"/>
      <c r="F49" s="368"/>
      <c r="G49" s="368"/>
      <c r="H49" s="368"/>
      <c r="I49" s="368"/>
      <c r="J49" s="368"/>
      <c r="K49" s="368"/>
      <c r="L49" s="368"/>
      <c r="M49" s="368"/>
      <c r="N49" s="368"/>
      <c r="O49" s="368"/>
      <c r="P49" s="368"/>
    </row>
    <row r="50" spans="1:16" ht="12.75">
      <c r="A50" s="368"/>
      <c r="B50" s="368"/>
      <c r="C50" s="368"/>
      <c r="D50" s="368"/>
      <c r="E50" s="368"/>
      <c r="F50" s="368"/>
      <c r="G50" s="368"/>
      <c r="H50" s="368"/>
      <c r="I50" s="368"/>
      <c r="J50" s="368"/>
      <c r="K50" s="368"/>
      <c r="L50" s="368"/>
      <c r="M50" s="368"/>
      <c r="N50" s="368"/>
      <c r="O50" s="368"/>
      <c r="P50" s="368"/>
    </row>
    <row r="51" spans="1:16" ht="12.75">
      <c r="A51" s="368"/>
      <c r="B51" s="368"/>
      <c r="C51" s="368"/>
      <c r="D51" s="368"/>
      <c r="E51" s="368"/>
      <c r="F51" s="368"/>
      <c r="G51" s="368"/>
      <c r="H51" s="368"/>
      <c r="I51" s="368"/>
      <c r="J51" s="368"/>
      <c r="K51" s="368"/>
      <c r="L51" s="368"/>
      <c r="M51" s="368"/>
      <c r="N51" s="368"/>
      <c r="O51" s="368"/>
      <c r="P51" s="368"/>
    </row>
    <row r="52" spans="1:16" ht="12.75">
      <c r="A52" s="368"/>
      <c r="B52" s="368"/>
      <c r="C52" s="368"/>
      <c r="D52" s="368"/>
      <c r="E52" s="368"/>
      <c r="F52" s="368"/>
      <c r="G52" s="368"/>
      <c r="H52" s="368"/>
      <c r="I52" s="368"/>
      <c r="J52" s="368"/>
      <c r="K52" s="368"/>
      <c r="L52" s="368"/>
      <c r="M52" s="368"/>
      <c r="N52" s="368"/>
      <c r="O52" s="368"/>
      <c r="P52" s="368"/>
    </row>
    <row r="53" spans="1:16" ht="12.75">
      <c r="A53" s="368"/>
      <c r="B53" s="368"/>
      <c r="C53" s="368"/>
      <c r="D53" s="368"/>
      <c r="E53" s="368"/>
      <c r="F53" s="368"/>
      <c r="G53" s="368"/>
      <c r="H53" s="368"/>
      <c r="I53" s="368"/>
      <c r="J53" s="368"/>
      <c r="K53" s="368"/>
      <c r="L53" s="368"/>
      <c r="M53" s="368"/>
      <c r="N53" s="368"/>
      <c r="O53" s="368"/>
      <c r="P53" s="368"/>
    </row>
    <row r="54" spans="1:16" ht="12.75">
      <c r="A54" s="368"/>
      <c r="B54" s="368"/>
      <c r="C54" s="368"/>
      <c r="D54" s="368"/>
      <c r="E54" s="368"/>
      <c r="F54" s="368"/>
      <c r="G54" s="368"/>
      <c r="H54" s="368"/>
      <c r="I54" s="368"/>
      <c r="J54" s="368"/>
      <c r="K54" s="368"/>
      <c r="L54" s="368"/>
      <c r="M54" s="368"/>
      <c r="N54" s="368"/>
      <c r="O54" s="368"/>
      <c r="P54" s="368"/>
    </row>
    <row r="55" spans="1:16" ht="12.75">
      <c r="A55" s="656" t="s">
        <v>616</v>
      </c>
      <c r="B55" s="656"/>
      <c r="C55" s="390"/>
      <c r="D55" s="390"/>
      <c r="E55" s="368"/>
      <c r="F55" s="368"/>
      <c r="G55" s="368"/>
      <c r="H55" s="368"/>
      <c r="I55" s="390"/>
      <c r="J55" s="390"/>
      <c r="K55" s="368"/>
      <c r="L55" s="368"/>
      <c r="M55" s="368"/>
      <c r="N55" s="368"/>
      <c r="O55" s="368"/>
      <c r="P55" s="368"/>
    </row>
    <row r="56" spans="1:16" ht="13.5" thickBot="1">
      <c r="A56" s="390"/>
      <c r="B56" s="390"/>
      <c r="C56" s="390"/>
      <c r="D56" s="390"/>
      <c r="E56" s="368"/>
      <c r="F56" s="368"/>
      <c r="G56" s="368"/>
      <c r="H56" s="368"/>
      <c r="I56" s="390"/>
      <c r="J56" s="390"/>
      <c r="K56" s="368"/>
      <c r="L56" s="368"/>
      <c r="M56" s="368"/>
      <c r="N56" s="368"/>
      <c r="O56" s="368"/>
      <c r="P56" s="368"/>
    </row>
    <row r="57" spans="1:16" ht="13.5" thickBot="1">
      <c r="A57" s="657"/>
      <c r="B57" s="658"/>
      <c r="C57" s="658"/>
      <c r="D57" s="658"/>
      <c r="E57" s="658"/>
      <c r="F57" s="658"/>
      <c r="G57" s="658"/>
      <c r="H57" s="658"/>
      <c r="I57" s="658"/>
      <c r="J57" s="659"/>
      <c r="K57" s="391"/>
      <c r="L57" s="391"/>
      <c r="M57" s="391"/>
      <c r="N57" s="391"/>
      <c r="O57" s="391"/>
      <c r="P57" s="368"/>
    </row>
    <row r="58" spans="1:16" ht="12.75">
      <c r="A58" s="391"/>
      <c r="B58" s="391"/>
      <c r="C58" s="391"/>
      <c r="D58" s="391"/>
      <c r="E58" s="391"/>
      <c r="F58" s="391"/>
      <c r="G58" s="391"/>
      <c r="H58" s="391"/>
      <c r="I58" s="391"/>
      <c r="J58" s="391"/>
      <c r="K58" s="391"/>
      <c r="L58" s="391"/>
      <c r="M58" s="391"/>
      <c r="N58" s="391"/>
      <c r="O58" s="391"/>
      <c r="P58" s="368"/>
    </row>
    <row r="59" spans="1:16" ht="13.5" thickBot="1">
      <c r="A59" s="391"/>
      <c r="B59" s="391"/>
      <c r="C59" s="391"/>
      <c r="D59" s="391"/>
      <c r="E59" s="391"/>
      <c r="F59" s="391"/>
      <c r="G59" s="391"/>
      <c r="H59" s="391"/>
      <c r="I59" s="391"/>
      <c r="J59" s="391"/>
      <c r="K59" s="391"/>
      <c r="L59" s="391"/>
      <c r="M59" s="391"/>
      <c r="N59" s="391"/>
      <c r="O59" s="391"/>
      <c r="P59" s="368"/>
    </row>
    <row r="60" spans="1:16" ht="13.5" thickBot="1">
      <c r="A60" s="392" t="s">
        <v>617</v>
      </c>
      <c r="B60" s="391"/>
      <c r="C60" s="660" t="s">
        <v>618</v>
      </c>
      <c r="D60" s="661"/>
      <c r="E60" s="661"/>
      <c r="F60" s="661"/>
      <c r="G60" s="661"/>
      <c r="H60" s="661"/>
      <c r="I60" s="661"/>
      <c r="J60" s="661"/>
      <c r="K60" s="655"/>
      <c r="L60" s="391"/>
      <c r="M60" s="391"/>
      <c r="N60" s="391"/>
      <c r="O60" s="391"/>
      <c r="P60" s="368"/>
    </row>
    <row r="61" spans="1:16" ht="13.5" thickBot="1">
      <c r="A61" s="392"/>
      <c r="B61" s="392"/>
      <c r="C61" s="392"/>
      <c r="D61" s="392"/>
      <c r="E61" s="391"/>
      <c r="F61" s="391"/>
      <c r="G61" s="391"/>
      <c r="H61" s="391"/>
      <c r="I61" s="392"/>
      <c r="J61" s="391"/>
      <c r="K61" s="391"/>
      <c r="L61" s="391"/>
      <c r="M61" s="391"/>
      <c r="N61" s="391"/>
      <c r="O61" s="391"/>
      <c r="P61" s="368"/>
    </row>
    <row r="62" spans="1:16" ht="13.5" thickBot="1">
      <c r="A62" s="392" t="s">
        <v>619</v>
      </c>
      <c r="B62" s="654" t="s">
        <v>662</v>
      </c>
      <c r="C62" s="655"/>
      <c r="D62" s="393"/>
      <c r="E62" s="391"/>
      <c r="F62" s="391"/>
      <c r="G62" s="391"/>
      <c r="H62" s="391"/>
      <c r="I62" s="391"/>
      <c r="J62" s="391"/>
      <c r="K62" s="391"/>
      <c r="L62" s="391"/>
      <c r="M62" s="391"/>
      <c r="N62" s="391"/>
      <c r="O62" s="391"/>
      <c r="P62" s="368"/>
    </row>
    <row r="63" spans="1:16" ht="12.75">
      <c r="A63" s="391"/>
      <c r="B63" s="391"/>
      <c r="C63" s="391"/>
      <c r="D63" s="391"/>
      <c r="E63" s="391"/>
      <c r="F63" s="391"/>
      <c r="G63" s="391"/>
      <c r="H63" s="391"/>
      <c r="I63" s="391"/>
      <c r="J63" s="391"/>
      <c r="K63" s="391"/>
      <c r="L63" s="391"/>
      <c r="M63" s="391"/>
      <c r="N63" s="391"/>
      <c r="O63" s="391"/>
      <c r="P63" s="368"/>
    </row>
    <row r="64" spans="1:16" ht="12.75">
      <c r="A64" s="391"/>
      <c r="B64" s="391"/>
      <c r="C64" s="391"/>
      <c r="D64" s="391"/>
      <c r="E64" s="391"/>
      <c r="F64" s="391"/>
      <c r="G64" s="391"/>
      <c r="H64" s="391"/>
      <c r="I64" s="391"/>
      <c r="J64" s="391"/>
      <c r="K64" s="391"/>
      <c r="L64" s="391"/>
      <c r="M64" s="391"/>
      <c r="N64" s="391"/>
      <c r="O64" s="391"/>
      <c r="P64" s="368"/>
    </row>
    <row r="65" spans="1:16" ht="12.75">
      <c r="A65" s="391"/>
      <c r="B65" s="391"/>
      <c r="C65" s="391"/>
      <c r="D65" s="391"/>
      <c r="E65" s="391"/>
      <c r="F65" s="391"/>
      <c r="G65" s="391"/>
      <c r="H65" s="391"/>
      <c r="I65" s="391"/>
      <c r="J65" s="391"/>
      <c r="K65" s="391"/>
      <c r="L65" s="391"/>
      <c r="M65" s="391"/>
      <c r="N65" s="391"/>
      <c r="O65" s="391"/>
      <c r="P65" s="368"/>
    </row>
  </sheetData>
  <sheetProtection/>
  <mergeCells count="26">
    <mergeCell ref="B62:C62"/>
    <mergeCell ref="O7:O8"/>
    <mergeCell ref="P7:P8"/>
    <mergeCell ref="Q7:Q8"/>
    <mergeCell ref="A55:B55"/>
    <mergeCell ref="A57:J57"/>
    <mergeCell ref="C60:K60"/>
    <mergeCell ref="G7:G8"/>
    <mergeCell ref="H7:H8"/>
    <mergeCell ref="J7:J8"/>
    <mergeCell ref="K7:L7"/>
    <mergeCell ref="M7:M8"/>
    <mergeCell ref="N7:N8"/>
    <mergeCell ref="A7:A8"/>
    <mergeCell ref="B7:B8"/>
    <mergeCell ref="C7:C8"/>
    <mergeCell ref="D7:D8"/>
    <mergeCell ref="E7:E8"/>
    <mergeCell ref="F7:F8"/>
    <mergeCell ref="A1:P1"/>
    <mergeCell ref="A2:P2"/>
    <mergeCell ref="A3:P3"/>
    <mergeCell ref="B6:C6"/>
    <mergeCell ref="E6:H6"/>
    <mergeCell ref="J6:K6"/>
    <mergeCell ref="N6:Q6"/>
  </mergeCells>
  <printOptions horizontalCentered="1" verticalCentered="1"/>
  <pageMargins left="0.16" right="0.22" top="0.57" bottom="1" header="0" footer="0"/>
  <pageSetup horizontalDpi="600" verticalDpi="600" orientation="portrait" scale="75" r:id="rId4"/>
  <drawing r:id="rId3"/>
  <legacyDrawing r:id="rId2"/>
</worksheet>
</file>

<file path=xl/worksheets/sheet7.xml><?xml version="1.0" encoding="utf-8"?>
<worksheet xmlns="http://schemas.openxmlformats.org/spreadsheetml/2006/main" xmlns:r="http://schemas.openxmlformats.org/officeDocument/2006/relationships">
  <dimension ref="A2:H68"/>
  <sheetViews>
    <sheetView showGridLines="0" view="pageBreakPreview" zoomScale="60" zoomScalePageLayoutView="0" workbookViewId="0" topLeftCell="A16">
      <selection activeCell="A13" sqref="A1:IV16384"/>
    </sheetView>
  </sheetViews>
  <sheetFormatPr defaultColWidth="11.421875" defaultRowHeight="12.75"/>
  <cols>
    <col min="1" max="1" width="2.28125" style="0" customWidth="1"/>
    <col min="2" max="2" width="56.00390625" style="0" customWidth="1"/>
    <col min="3" max="3" width="17.140625" style="0" customWidth="1"/>
    <col min="4" max="4" width="19.421875" style="0" customWidth="1"/>
    <col min="5" max="5" width="3.00390625" style="325" customWidth="1"/>
    <col min="6" max="6" width="17.28125" style="0" customWidth="1"/>
    <col min="7" max="7" width="11.7109375" style="0" bestFit="1" customWidth="1"/>
  </cols>
  <sheetData>
    <row r="2" spans="2:5" ht="15.75">
      <c r="B2" s="639" t="s">
        <v>0</v>
      </c>
      <c r="C2" s="639"/>
      <c r="D2" s="639"/>
      <c r="E2" s="301"/>
    </row>
    <row r="3" spans="2:5" ht="15.75">
      <c r="B3" s="639" t="s">
        <v>529</v>
      </c>
      <c r="C3" s="639"/>
      <c r="D3" s="639"/>
      <c r="E3" s="301"/>
    </row>
    <row r="4" spans="2:5" ht="15.75">
      <c r="B4" s="639" t="s">
        <v>620</v>
      </c>
      <c r="C4" s="639"/>
      <c r="D4" s="639"/>
      <c r="E4" s="301"/>
    </row>
    <row r="6" spans="2:5" ht="12.75">
      <c r="B6" s="302" t="s">
        <v>530</v>
      </c>
      <c r="C6" s="302"/>
      <c r="D6" s="302"/>
      <c r="E6" s="303"/>
    </row>
    <row r="7" spans="3:5" ht="13.5" thickBot="1">
      <c r="C7" s="302"/>
      <c r="D7" s="302"/>
      <c r="E7" s="303"/>
    </row>
    <row r="8" spans="2:5" ht="36">
      <c r="B8" s="304" t="s">
        <v>531</v>
      </c>
      <c r="C8" s="343" t="s">
        <v>532</v>
      </c>
      <c r="D8" s="662" t="s">
        <v>621</v>
      </c>
      <c r="E8" s="663"/>
    </row>
    <row r="9" spans="2:5" ht="12.75">
      <c r="B9" s="305" t="s">
        <v>533</v>
      </c>
      <c r="C9" s="2"/>
      <c r="D9" s="2"/>
      <c r="E9" s="306"/>
    </row>
    <row r="10" spans="2:5" ht="12.75">
      <c r="B10" s="1" t="s">
        <v>534</v>
      </c>
      <c r="C10" s="307" t="s">
        <v>535</v>
      </c>
      <c r="D10" s="307" t="s">
        <v>536</v>
      </c>
      <c r="E10" s="306"/>
    </row>
    <row r="11" spans="2:7" ht="12.75">
      <c r="B11" s="305" t="s">
        <v>537</v>
      </c>
      <c r="C11" s="308">
        <v>689750</v>
      </c>
      <c r="D11" s="308">
        <v>724250</v>
      </c>
      <c r="E11" s="306"/>
      <c r="F11" s="202"/>
      <c r="G11" s="202"/>
    </row>
    <row r="12" spans="2:7" ht="12.75">
      <c r="B12" s="305" t="s">
        <v>538</v>
      </c>
      <c r="C12" s="308">
        <v>931162.5</v>
      </c>
      <c r="D12" s="308">
        <v>999465</v>
      </c>
      <c r="E12" s="306"/>
      <c r="F12" s="202"/>
      <c r="G12" s="202"/>
    </row>
    <row r="13" spans="2:7" ht="12.75" customHeight="1">
      <c r="B13" s="309" t="s">
        <v>539</v>
      </c>
      <c r="C13" s="308">
        <v>448337.5</v>
      </c>
      <c r="D13" s="308">
        <v>470762.5</v>
      </c>
      <c r="E13" s="306"/>
      <c r="F13" s="202"/>
      <c r="G13" s="202"/>
    </row>
    <row r="14" spans="2:7" ht="12.75">
      <c r="B14" s="305" t="s">
        <v>540</v>
      </c>
      <c r="C14" s="308">
        <v>71162</v>
      </c>
      <c r="D14" s="308">
        <v>73359</v>
      </c>
      <c r="E14" s="306"/>
      <c r="F14" s="202"/>
      <c r="G14" s="202"/>
    </row>
    <row r="15" spans="2:5" ht="12.75">
      <c r="B15" s="305" t="s">
        <v>541</v>
      </c>
      <c r="C15" s="308">
        <v>164448</v>
      </c>
      <c r="D15" s="308">
        <v>164448</v>
      </c>
      <c r="E15" s="306"/>
    </row>
    <row r="16" spans="2:5" ht="13.5" thickBot="1">
      <c r="B16" s="305"/>
      <c r="C16" s="310"/>
      <c r="D16" s="310"/>
      <c r="E16" s="311"/>
    </row>
    <row r="17" spans="2:5" ht="13.5" thickTop="1">
      <c r="B17" s="305" t="s">
        <v>542</v>
      </c>
      <c r="C17" s="308">
        <f>SUM(C11:C16)</f>
        <v>2304860</v>
      </c>
      <c r="D17" s="308">
        <f>SUM(D11:D16)</f>
        <v>2432284.5</v>
      </c>
      <c r="E17" s="306"/>
    </row>
    <row r="18" spans="2:5" ht="12.75">
      <c r="B18" s="312" t="s">
        <v>543</v>
      </c>
      <c r="C18" s="308"/>
      <c r="D18" s="308"/>
      <c r="E18" s="306"/>
    </row>
    <row r="19" spans="2:5" ht="12.75">
      <c r="B19" s="305" t="s">
        <v>544</v>
      </c>
      <c r="C19" s="308">
        <f>C17*10%</f>
        <v>230486</v>
      </c>
      <c r="D19" s="308">
        <f>D17*10%</f>
        <v>243228.45</v>
      </c>
      <c r="E19" s="306"/>
    </row>
    <row r="20" spans="2:5" ht="13.5" thickBot="1">
      <c r="B20" s="305"/>
      <c r="C20" s="310"/>
      <c r="D20" s="310"/>
      <c r="E20" s="311"/>
    </row>
    <row r="21" spans="2:5" ht="13.5" thickTop="1">
      <c r="B21" s="305" t="s">
        <v>545</v>
      </c>
      <c r="C21" s="308">
        <f>C17+C19</f>
        <v>2535346</v>
      </c>
      <c r="D21" s="308">
        <f>D17+D19</f>
        <v>2675512.95</v>
      </c>
      <c r="E21" s="306" t="s">
        <v>546</v>
      </c>
    </row>
    <row r="22" spans="2:5" ht="12.75">
      <c r="B22" s="312" t="s">
        <v>547</v>
      </c>
      <c r="C22" s="308"/>
      <c r="D22" s="308"/>
      <c r="E22" s="306"/>
    </row>
    <row r="23" spans="2:5" ht="12.75" customHeight="1">
      <c r="B23" s="309" t="s">
        <v>548</v>
      </c>
      <c r="C23" s="308">
        <f>+C21*0.65</f>
        <v>1647974.9000000001</v>
      </c>
      <c r="D23" s="308">
        <f>+D21*0.65</f>
        <v>1739083.4175000002</v>
      </c>
      <c r="E23" s="306" t="s">
        <v>549</v>
      </c>
    </row>
    <row r="24" spans="2:5" ht="13.5" thickBot="1">
      <c r="B24" s="313" t="s">
        <v>550</v>
      </c>
      <c r="C24" s="314">
        <f>C21+C23</f>
        <v>4183320.9000000004</v>
      </c>
      <c r="D24" s="314">
        <f>D21+D23</f>
        <v>4414596.367500001</v>
      </c>
      <c r="E24" s="315"/>
    </row>
    <row r="25" ht="12.75">
      <c r="E25" s="303"/>
    </row>
    <row r="26" spans="2:5" ht="13.5" thickBot="1">
      <c r="B26" s="302"/>
      <c r="C26" s="308"/>
      <c r="D26" s="308"/>
      <c r="E26" s="303"/>
    </row>
    <row r="27" spans="2:5" ht="12.75">
      <c r="B27" s="304" t="s">
        <v>551</v>
      </c>
      <c r="C27" s="316"/>
      <c r="D27" s="316"/>
      <c r="E27" s="317"/>
    </row>
    <row r="28" spans="2:5" ht="12.75">
      <c r="B28" s="312"/>
      <c r="C28" s="307" t="s">
        <v>146</v>
      </c>
      <c r="D28" s="307" t="s">
        <v>536</v>
      </c>
      <c r="E28" s="306"/>
    </row>
    <row r="29" spans="2:5" ht="12.75">
      <c r="B29" s="305" t="s">
        <v>552</v>
      </c>
      <c r="C29" s="308" t="s">
        <v>146</v>
      </c>
      <c r="D29" s="308">
        <v>0</v>
      </c>
      <c r="E29" s="306"/>
    </row>
    <row r="30" spans="2:5" ht="12.75">
      <c r="B30" s="305"/>
      <c r="C30" s="308"/>
      <c r="D30" s="308"/>
      <c r="E30" s="306"/>
    </row>
    <row r="31" spans="2:5" ht="12.75">
      <c r="B31" s="305" t="s">
        <v>553</v>
      </c>
      <c r="C31" s="308" t="s">
        <v>146</v>
      </c>
      <c r="D31" s="308">
        <v>0</v>
      </c>
      <c r="E31" s="306" t="s">
        <v>546</v>
      </c>
    </row>
    <row r="32" spans="2:5" ht="12.75">
      <c r="B32" s="318" t="s">
        <v>562</v>
      </c>
      <c r="C32" s="308"/>
      <c r="D32" s="308"/>
      <c r="E32" s="306"/>
    </row>
    <row r="33" spans="2:5" ht="12" customHeight="1">
      <c r="B33" s="309" t="s">
        <v>548</v>
      </c>
      <c r="C33" s="308" t="s">
        <v>146</v>
      </c>
      <c r="D33" s="308">
        <v>0</v>
      </c>
      <c r="E33" s="306" t="s">
        <v>549</v>
      </c>
    </row>
    <row r="34" spans="2:5" ht="13.5" thickBot="1">
      <c r="B34" s="313" t="s">
        <v>554</v>
      </c>
      <c r="C34" s="314" t="s">
        <v>146</v>
      </c>
      <c r="D34" s="314">
        <f>D31+D33</f>
        <v>0</v>
      </c>
      <c r="E34" s="315"/>
    </row>
    <row r="35" ht="12.75">
      <c r="E35" s="303"/>
    </row>
    <row r="36" spans="2:5" ht="13.5" thickBot="1">
      <c r="B36" s="302"/>
      <c r="C36" s="302"/>
      <c r="D36" s="302"/>
      <c r="E36" s="303"/>
    </row>
    <row r="37" spans="2:5" ht="12.75">
      <c r="B37" s="304" t="s">
        <v>622</v>
      </c>
      <c r="C37" s="319"/>
      <c r="D37" s="319"/>
      <c r="E37" s="317"/>
    </row>
    <row r="38" spans="2:5" ht="12.75">
      <c r="B38" s="305"/>
      <c r="C38" s="307" t="s">
        <v>146</v>
      </c>
      <c r="D38" s="307" t="s">
        <v>536</v>
      </c>
      <c r="E38" s="306"/>
    </row>
    <row r="39" spans="2:5" ht="12.75">
      <c r="B39" s="1" t="s">
        <v>555</v>
      </c>
      <c r="C39" s="308" t="s">
        <v>146</v>
      </c>
      <c r="D39" s="308">
        <v>0</v>
      </c>
      <c r="E39" s="320"/>
    </row>
    <row r="40" spans="2:5" ht="13.5" thickBot="1">
      <c r="B40" s="1" t="s">
        <v>556</v>
      </c>
      <c r="C40" s="308" t="s">
        <v>146</v>
      </c>
      <c r="D40" s="314">
        <f>D39*50%</f>
        <v>0</v>
      </c>
      <c r="E40" s="321" t="s">
        <v>557</v>
      </c>
    </row>
    <row r="41" spans="2:5" ht="13.5" thickBot="1">
      <c r="B41" s="322"/>
      <c r="C41" s="323"/>
      <c r="D41" s="314"/>
      <c r="E41" s="321"/>
    </row>
    <row r="42" spans="2:4" ht="12.75">
      <c r="B42" s="324"/>
      <c r="C42" s="2"/>
      <c r="D42" s="308"/>
    </row>
    <row r="44" spans="2:4" ht="15.75">
      <c r="B44" s="639" t="s">
        <v>623</v>
      </c>
      <c r="C44" s="639"/>
      <c r="D44" s="639"/>
    </row>
    <row r="45" ht="13.5" thickBot="1">
      <c r="F45" s="325"/>
    </row>
    <row r="46" spans="2:6" ht="16.5" customHeight="1">
      <c r="B46" s="63" t="s">
        <v>624</v>
      </c>
      <c r="C46" s="32"/>
      <c r="D46" s="319"/>
      <c r="E46" s="33"/>
      <c r="F46" s="325"/>
    </row>
    <row r="47" spans="2:6" ht="16.5" customHeight="1">
      <c r="B47" s="10"/>
      <c r="C47" s="2"/>
      <c r="D47" s="307" t="s">
        <v>536</v>
      </c>
      <c r="E47" s="4"/>
      <c r="F47" s="325"/>
    </row>
    <row r="48" spans="2:6" ht="12.75">
      <c r="B48" s="394" t="s">
        <v>625</v>
      </c>
      <c r="C48" s="2"/>
      <c r="D48" s="202">
        <f>+D21*0.8</f>
        <v>2140410.3600000003</v>
      </c>
      <c r="E48" s="4"/>
      <c r="F48" s="325"/>
    </row>
    <row r="49" spans="2:8" ht="12.75">
      <c r="B49" s="395" t="s">
        <v>626</v>
      </c>
      <c r="C49" s="2"/>
      <c r="D49" s="396"/>
      <c r="E49" s="320"/>
      <c r="F49" s="325"/>
      <c r="G49" s="2"/>
      <c r="H49" s="2"/>
    </row>
    <row r="50" spans="2:8" ht="13.5" thickBot="1">
      <c r="B50" s="309" t="s">
        <v>627</v>
      </c>
      <c r="C50" s="2"/>
      <c r="D50" s="423">
        <v>1391266.73</v>
      </c>
      <c r="E50" s="321"/>
      <c r="F50" s="325"/>
      <c r="G50" s="2"/>
      <c r="H50" s="2"/>
    </row>
    <row r="51" spans="2:8" ht="13.5" thickBot="1">
      <c r="B51" s="313" t="s">
        <v>628</v>
      </c>
      <c r="C51" s="323"/>
      <c r="D51" s="314">
        <f>+D48+D50</f>
        <v>3531677.0900000003</v>
      </c>
      <c r="E51" s="321"/>
      <c r="F51" s="325"/>
      <c r="G51" s="2"/>
      <c r="H51" s="2"/>
    </row>
    <row r="52" ht="13.5" thickBot="1">
      <c r="F52" s="325"/>
    </row>
    <row r="53" spans="2:6" ht="12.75">
      <c r="B53" s="304" t="s">
        <v>629</v>
      </c>
      <c r="C53" s="319"/>
      <c r="D53" s="319"/>
      <c r="E53" s="317"/>
      <c r="F53" s="325"/>
    </row>
    <row r="54" spans="2:6" ht="12.75">
      <c r="B54" s="305"/>
      <c r="C54" s="307" t="s">
        <v>146</v>
      </c>
      <c r="D54" s="307" t="s">
        <v>536</v>
      </c>
      <c r="E54" s="306"/>
      <c r="F54" s="325"/>
    </row>
    <row r="55" spans="2:6" ht="12.75">
      <c r="B55" s="1" t="s">
        <v>555</v>
      </c>
      <c r="C55" s="308" t="s">
        <v>146</v>
      </c>
      <c r="D55" s="308">
        <v>0</v>
      </c>
      <c r="E55" s="320"/>
      <c r="F55" s="325"/>
    </row>
    <row r="56" spans="2:6" ht="13.5" thickBot="1">
      <c r="B56" s="1" t="s">
        <v>556</v>
      </c>
      <c r="C56" s="308" t="s">
        <v>146</v>
      </c>
      <c r="D56" s="314">
        <f>D55*50%</f>
        <v>0</v>
      </c>
      <c r="E56" s="321" t="s">
        <v>557</v>
      </c>
      <c r="F56" s="325"/>
    </row>
    <row r="57" spans="2:6" ht="13.5" thickBot="1">
      <c r="B57" s="322"/>
      <c r="C57" s="323"/>
      <c r="D57" s="314"/>
      <c r="E57" s="321"/>
      <c r="F57" s="325"/>
    </row>
    <row r="58" ht="12.75">
      <c r="F58" s="325"/>
    </row>
    <row r="59" spans="2:6" ht="12.75">
      <c r="B59" s="302" t="s">
        <v>558</v>
      </c>
      <c r="F59" s="325"/>
    </row>
    <row r="60" spans="2:6" ht="12.75">
      <c r="B60" s="302" t="s">
        <v>630</v>
      </c>
      <c r="F60" s="325"/>
    </row>
    <row r="61" spans="2:6" ht="12.75">
      <c r="B61" s="302" t="s">
        <v>559</v>
      </c>
      <c r="F61" s="325"/>
    </row>
    <row r="62" spans="2:6" ht="12.75">
      <c r="B62" t="s">
        <v>560</v>
      </c>
      <c r="F62" s="325"/>
    </row>
    <row r="63" ht="12.75">
      <c r="B63" t="s">
        <v>561</v>
      </c>
    </row>
    <row r="65" ht="12.75">
      <c r="B65" s="302" t="s">
        <v>146</v>
      </c>
    </row>
    <row r="66" s="195" customFormat="1" ht="12.75">
      <c r="A66" s="326" t="s">
        <v>656</v>
      </c>
    </row>
    <row r="67" s="195" customFormat="1" ht="18" customHeight="1">
      <c r="A67" s="326" t="s">
        <v>657</v>
      </c>
    </row>
    <row r="68" s="195" customFormat="1" ht="12.75">
      <c r="A68" s="326"/>
    </row>
  </sheetData>
  <sheetProtection/>
  <mergeCells count="5">
    <mergeCell ref="B2:D2"/>
    <mergeCell ref="B3:D3"/>
    <mergeCell ref="B4:D4"/>
    <mergeCell ref="D8:E8"/>
    <mergeCell ref="B44:D44"/>
  </mergeCells>
  <printOptions horizontalCentered="1" verticalCentered="1"/>
  <pageMargins left="0.16" right="0.45" top="1" bottom="1" header="0" footer="0"/>
  <pageSetup horizontalDpi="600" verticalDpi="600" orientation="portrait" scale="73" r:id="rId1"/>
</worksheet>
</file>

<file path=xl/worksheets/sheet8.xml><?xml version="1.0" encoding="utf-8"?>
<worksheet xmlns="http://schemas.openxmlformats.org/spreadsheetml/2006/main" xmlns:r="http://schemas.openxmlformats.org/officeDocument/2006/relationships">
  <dimension ref="A3:G32"/>
  <sheetViews>
    <sheetView showGridLines="0" view="pageBreakPreview" zoomScale="60" zoomScalePageLayoutView="0" workbookViewId="0" topLeftCell="A1">
      <selection activeCell="A33" sqref="A33"/>
    </sheetView>
  </sheetViews>
  <sheetFormatPr defaultColWidth="11.421875" defaultRowHeight="12.75"/>
  <cols>
    <col min="1" max="1" width="24.421875" style="191" customWidth="1"/>
    <col min="2" max="2" width="16.28125" style="0" customWidth="1"/>
    <col min="3" max="3" width="24.00390625" style="0" customWidth="1"/>
    <col min="4" max="4" width="20.8515625" style="0" customWidth="1"/>
    <col min="5" max="5" width="22.140625" style="0" customWidth="1"/>
    <col min="6" max="6" width="32.421875" style="0" customWidth="1"/>
    <col min="7" max="7" width="21.00390625" style="0" customWidth="1"/>
  </cols>
  <sheetData>
    <row r="1" ht="12.75"/>
    <row r="2" ht="12.75"/>
    <row r="3" spans="1:6" ht="15.75">
      <c r="A3" s="190" t="s">
        <v>0</v>
      </c>
      <c r="B3" s="190"/>
      <c r="C3" s="190"/>
      <c r="D3" s="190"/>
      <c r="E3" s="190"/>
      <c r="F3" s="190"/>
    </row>
    <row r="4" spans="1:6" ht="15.75">
      <c r="A4" s="190" t="s">
        <v>441</v>
      </c>
      <c r="B4" s="190"/>
      <c r="C4" s="190"/>
      <c r="D4" s="190"/>
      <c r="E4" s="190"/>
      <c r="F4" s="190"/>
    </row>
    <row r="5" spans="1:6" ht="15.75">
      <c r="A5" s="190" t="s">
        <v>442</v>
      </c>
      <c r="B5" s="190"/>
      <c r="C5" s="190"/>
      <c r="D5" s="190"/>
      <c r="E5" s="190"/>
      <c r="F5" s="190"/>
    </row>
    <row r="6" ht="12.75"/>
    <row r="7" ht="12.75">
      <c r="A7" s="326"/>
    </row>
    <row r="8" ht="13.5" thickBot="1"/>
    <row r="9" spans="1:7" ht="18.75" thickBot="1">
      <c r="A9" s="424"/>
      <c r="B9" s="425"/>
      <c r="C9" s="426" t="s">
        <v>631</v>
      </c>
      <c r="D9" s="426"/>
      <c r="E9" s="425"/>
      <c r="F9" s="425"/>
      <c r="G9" s="427"/>
    </row>
    <row r="10" spans="1:7" ht="12.75">
      <c r="A10" s="428" t="s">
        <v>443</v>
      </c>
      <c r="B10" s="429"/>
      <c r="C10" s="430"/>
      <c r="D10" s="429"/>
      <c r="E10" s="431"/>
      <c r="F10" s="432" t="s">
        <v>444</v>
      </c>
      <c r="G10" s="433"/>
    </row>
    <row r="11" spans="1:7" ht="12.75">
      <c r="A11" s="428" t="s">
        <v>632</v>
      </c>
      <c r="B11" s="434" t="s">
        <v>445</v>
      </c>
      <c r="C11" s="435" t="s">
        <v>446</v>
      </c>
      <c r="D11" s="436" t="s">
        <v>447</v>
      </c>
      <c r="E11" s="434" t="s">
        <v>6</v>
      </c>
      <c r="F11" s="432" t="s">
        <v>448</v>
      </c>
      <c r="G11" s="433" t="s">
        <v>633</v>
      </c>
    </row>
    <row r="12" spans="1:7" ht="12.75">
      <c r="A12" s="192" t="s">
        <v>449</v>
      </c>
      <c r="B12" s="194" t="s">
        <v>450</v>
      </c>
      <c r="C12" s="193">
        <v>5000000</v>
      </c>
      <c r="D12" s="194">
        <v>180000000</v>
      </c>
      <c r="E12" s="437">
        <v>185000000</v>
      </c>
      <c r="F12" s="438"/>
      <c r="G12" s="438"/>
    </row>
    <row r="13" spans="1:7" ht="12.75">
      <c r="A13" s="439" t="s">
        <v>526</v>
      </c>
      <c r="B13" s="440">
        <v>30658712</v>
      </c>
      <c r="C13" s="441">
        <v>270000000</v>
      </c>
      <c r="D13" s="442">
        <v>36000000</v>
      </c>
      <c r="E13" s="443">
        <v>306000000</v>
      </c>
      <c r="F13" s="445" t="s">
        <v>635</v>
      </c>
      <c r="G13" s="444"/>
    </row>
    <row r="14" spans="1:7" ht="12.75">
      <c r="A14" s="439" t="s">
        <v>526</v>
      </c>
      <c r="B14" s="440">
        <v>30658712</v>
      </c>
      <c r="C14" s="441">
        <v>150000000</v>
      </c>
      <c r="D14" s="442">
        <v>180000000</v>
      </c>
      <c r="E14" s="443">
        <v>330000000</v>
      </c>
      <c r="F14" s="445" t="s">
        <v>658</v>
      </c>
      <c r="G14" s="444"/>
    </row>
    <row r="15" spans="1:7" ht="12.75">
      <c r="A15" s="439" t="s">
        <v>526</v>
      </c>
      <c r="B15" s="440">
        <v>30658712</v>
      </c>
      <c r="C15" s="441">
        <v>21000000</v>
      </c>
      <c r="D15" s="442">
        <v>20400000</v>
      </c>
      <c r="E15" s="443">
        <v>41400000</v>
      </c>
      <c r="F15" s="444" t="s">
        <v>659</v>
      </c>
      <c r="G15" s="444"/>
    </row>
    <row r="16" spans="1:7" ht="12.75">
      <c r="A16" s="439" t="s">
        <v>526</v>
      </c>
      <c r="B16" s="446" t="s">
        <v>634</v>
      </c>
      <c r="C16" s="441"/>
      <c r="D16" s="447">
        <v>0</v>
      </c>
      <c r="E16" s="448">
        <v>0</v>
      </c>
      <c r="G16" s="449"/>
    </row>
    <row r="17" spans="1:7" ht="12.75">
      <c r="A17" s="450"/>
      <c r="B17" s="451" t="s">
        <v>527</v>
      </c>
      <c r="C17" s="452"/>
      <c r="D17" s="447">
        <v>0</v>
      </c>
      <c r="E17" s="448">
        <v>0</v>
      </c>
      <c r="F17" s="438"/>
      <c r="G17" s="444"/>
    </row>
    <row r="18" spans="1:7" ht="12.75">
      <c r="A18" s="450"/>
      <c r="B18" s="447" t="s">
        <v>527</v>
      </c>
      <c r="C18" s="451">
        <v>0</v>
      </c>
      <c r="D18" s="447">
        <v>0</v>
      </c>
      <c r="E18" s="448">
        <v>0</v>
      </c>
      <c r="F18" s="444"/>
      <c r="G18" s="444"/>
    </row>
    <row r="19" spans="1:7" ht="12.75">
      <c r="A19" s="450"/>
      <c r="B19" s="447" t="s">
        <v>527</v>
      </c>
      <c r="C19" s="447">
        <v>0</v>
      </c>
      <c r="D19" s="447">
        <v>0</v>
      </c>
      <c r="E19" s="448">
        <v>0</v>
      </c>
      <c r="F19" s="444"/>
      <c r="G19" s="444"/>
    </row>
    <row r="20" spans="1:7" ht="12.75">
      <c r="A20" s="450"/>
      <c r="B20" s="447" t="s">
        <v>527</v>
      </c>
      <c r="C20" s="447">
        <v>0</v>
      </c>
      <c r="D20" s="447">
        <v>0</v>
      </c>
      <c r="E20" s="448">
        <v>0</v>
      </c>
      <c r="F20" s="444"/>
      <c r="G20" s="444"/>
    </row>
    <row r="21" spans="1:7" ht="12.75">
      <c r="A21" s="450"/>
      <c r="B21" s="447" t="s">
        <v>527</v>
      </c>
      <c r="C21" s="447">
        <v>0</v>
      </c>
      <c r="D21" s="447">
        <v>0</v>
      </c>
      <c r="E21" s="448">
        <v>0</v>
      </c>
      <c r="F21" s="453"/>
      <c r="G21" s="453"/>
    </row>
    <row r="22" spans="1:7" ht="13.5" thickBot="1">
      <c r="A22" s="454" t="s">
        <v>451</v>
      </c>
      <c r="B22" s="455"/>
      <c r="C22" s="456">
        <v>446000000</v>
      </c>
      <c r="D22" s="456">
        <v>416400000</v>
      </c>
      <c r="E22" s="456">
        <v>862400000</v>
      </c>
      <c r="F22" s="457"/>
      <c r="G22" s="458"/>
    </row>
    <row r="23" ht="13.5" thickBot="1"/>
    <row r="24" spans="1:6" ht="13.5" thickBot="1">
      <c r="A24" s="459" t="s">
        <v>660</v>
      </c>
      <c r="B24" s="460"/>
      <c r="C24" s="461">
        <v>446000000</v>
      </c>
      <c r="D24" s="462">
        <v>416400000</v>
      </c>
      <c r="E24" s="463">
        <v>862400000</v>
      </c>
      <c r="F24" s="195"/>
    </row>
    <row r="25" ht="13.5" thickBot="1"/>
    <row r="26" spans="1:6" ht="13.5" thickBot="1">
      <c r="A26" s="459" t="s">
        <v>452</v>
      </c>
      <c r="B26" s="460"/>
      <c r="C26" s="464">
        <v>0</v>
      </c>
      <c r="D26" s="465">
        <v>0</v>
      </c>
      <c r="E26" s="466">
        <v>0</v>
      </c>
      <c r="F26" s="195"/>
    </row>
    <row r="27" ht="12.75"/>
    <row r="28" spans="1:5" ht="12.75">
      <c r="A28" s="191" t="s">
        <v>453</v>
      </c>
      <c r="B28" s="191"/>
      <c r="C28" s="191"/>
      <c r="D28" s="191"/>
      <c r="E28" s="191"/>
    </row>
    <row r="29" spans="1:5" ht="12.75">
      <c r="A29" s="191" t="s">
        <v>454</v>
      </c>
      <c r="B29" s="191"/>
      <c r="C29" s="191"/>
      <c r="D29" s="191"/>
      <c r="E29" s="191"/>
    </row>
    <row r="30" ht="18" customHeight="1"/>
    <row r="31" spans="1:4" ht="12.75">
      <c r="A31" s="191" t="s">
        <v>636</v>
      </c>
      <c r="B31" s="191"/>
      <c r="C31" s="191"/>
      <c r="D31" s="191"/>
    </row>
    <row r="32" ht="12.75">
      <c r="A32" s="191" t="s">
        <v>661</v>
      </c>
    </row>
    <row r="34" ht="12.75"/>
    <row r="35" ht="12.75"/>
    <row r="36" ht="12.75"/>
    <row r="37" ht="12.75"/>
  </sheetData>
  <sheetProtection/>
  <printOptions horizontalCentered="1" verticalCentered="1"/>
  <pageMargins left="0.75" right="0.75" top="1" bottom="1" header="0" footer="0"/>
  <pageSetup horizontalDpi="600" verticalDpi="600" orientation="landscape" scale="84" r:id="rId3"/>
  <legacyDrawing r:id="rId2"/>
</worksheet>
</file>

<file path=xl/worksheets/sheet9.xml><?xml version="1.0" encoding="utf-8"?>
<worksheet xmlns="http://schemas.openxmlformats.org/spreadsheetml/2006/main" xmlns:r="http://schemas.openxmlformats.org/officeDocument/2006/relationships">
  <dimension ref="A1:F883"/>
  <sheetViews>
    <sheetView view="pageBreakPreview" zoomScaleSheetLayoutView="100" zoomScalePageLayoutView="0" workbookViewId="0" topLeftCell="A1">
      <selection activeCell="F65" sqref="F65"/>
    </sheetView>
  </sheetViews>
  <sheetFormatPr defaultColWidth="11.421875" defaultRowHeight="12.75"/>
  <cols>
    <col min="1" max="1" width="9.28125" style="468" customWidth="1"/>
    <col min="2" max="2" width="32.28125" style="467" customWidth="1"/>
    <col min="3" max="3" width="15.28125" style="467" customWidth="1"/>
    <col min="4" max="4" width="31.421875" style="467" customWidth="1"/>
    <col min="5" max="5" width="19.140625" style="468" bestFit="1" customWidth="1"/>
    <col min="6" max="6" width="23.57421875" style="467" customWidth="1"/>
    <col min="7" max="16384" width="11.421875" style="2" customWidth="1"/>
  </cols>
  <sheetData>
    <row r="1" spans="1:6" ht="12.75">
      <c r="A1" s="670" t="s">
        <v>660</v>
      </c>
      <c r="B1" s="670"/>
      <c r="C1" s="670"/>
      <c r="D1" s="670"/>
      <c r="E1" s="670"/>
      <c r="F1" s="670"/>
    </row>
    <row r="2" spans="1:6" ht="14.25" customHeight="1">
      <c r="A2" s="664" t="s">
        <v>0</v>
      </c>
      <c r="B2" s="664"/>
      <c r="C2" s="664"/>
      <c r="D2" s="664"/>
      <c r="E2" s="664"/>
      <c r="F2" s="664"/>
    </row>
    <row r="3" spans="1:6" ht="14.25" customHeight="1">
      <c r="A3" s="664" t="s">
        <v>861</v>
      </c>
      <c r="B3" s="664"/>
      <c r="C3" s="664"/>
      <c r="D3" s="664"/>
      <c r="E3" s="664"/>
      <c r="F3" s="664"/>
    </row>
    <row r="4" spans="1:6" ht="14.25" customHeight="1">
      <c r="A4" s="664" t="s">
        <v>860</v>
      </c>
      <c r="B4" s="664"/>
      <c r="C4" s="664"/>
      <c r="D4" s="664"/>
      <c r="E4" s="664"/>
      <c r="F4" s="664"/>
    </row>
    <row r="5" ht="13.5" thickBot="1"/>
    <row r="6" spans="1:6" ht="51.75" thickBot="1">
      <c r="A6" s="503" t="s">
        <v>859</v>
      </c>
      <c r="B6" s="501" t="s">
        <v>858</v>
      </c>
      <c r="C6" s="502" t="s">
        <v>857</v>
      </c>
      <c r="D6" s="501" t="s">
        <v>856</v>
      </c>
      <c r="E6" s="500" t="s">
        <v>383</v>
      </c>
      <c r="F6" s="499" t="s">
        <v>855</v>
      </c>
    </row>
    <row r="7" spans="1:6" ht="12.75">
      <c r="A7" s="498">
        <v>7</v>
      </c>
      <c r="B7" s="497" t="s">
        <v>358</v>
      </c>
      <c r="C7" s="496"/>
      <c r="D7" s="496"/>
      <c r="E7" s="495">
        <f>SUM(E8+E75)</f>
        <v>1699692244.6</v>
      </c>
      <c r="F7" s="494"/>
    </row>
    <row r="8" spans="1:6" ht="40.5" customHeight="1">
      <c r="A8" s="493" t="s">
        <v>854</v>
      </c>
      <c r="B8" s="492" t="s">
        <v>853</v>
      </c>
      <c r="C8" s="482"/>
      <c r="D8" s="482"/>
      <c r="E8" s="483">
        <f>SUM(E9:E74)</f>
        <v>1494745956.84</v>
      </c>
      <c r="F8" s="483"/>
    </row>
    <row r="9" spans="1:6" ht="51">
      <c r="A9" s="481"/>
      <c r="B9" s="477" t="s">
        <v>852</v>
      </c>
      <c r="C9" s="479">
        <v>3002098127</v>
      </c>
      <c r="D9" s="477" t="s">
        <v>701</v>
      </c>
      <c r="E9" s="478">
        <v>15029065</v>
      </c>
      <c r="F9" s="477" t="s">
        <v>851</v>
      </c>
    </row>
    <row r="10" spans="1:6" ht="51">
      <c r="A10" s="481"/>
      <c r="B10" s="477" t="s">
        <v>850</v>
      </c>
      <c r="C10" s="479" t="s">
        <v>849</v>
      </c>
      <c r="D10" s="477" t="s">
        <v>701</v>
      </c>
      <c r="E10" s="478">
        <v>16374344</v>
      </c>
      <c r="F10" s="477" t="s">
        <v>848</v>
      </c>
    </row>
    <row r="11" spans="1:6" ht="280.5">
      <c r="A11" s="481"/>
      <c r="B11" s="477" t="s">
        <v>847</v>
      </c>
      <c r="C11" s="479">
        <v>3002051613</v>
      </c>
      <c r="D11" s="487" t="s">
        <v>846</v>
      </c>
      <c r="E11" s="478">
        <v>24000000</v>
      </c>
      <c r="F11" s="477" t="s">
        <v>845</v>
      </c>
    </row>
    <row r="12" spans="1:6" ht="51">
      <c r="A12" s="481"/>
      <c r="B12" s="477" t="s">
        <v>844</v>
      </c>
      <c r="C12" s="479">
        <v>3002078592</v>
      </c>
      <c r="D12" s="477" t="s">
        <v>701</v>
      </c>
      <c r="E12" s="478">
        <v>20000000</v>
      </c>
      <c r="F12" s="477" t="s">
        <v>843</v>
      </c>
    </row>
    <row r="13" spans="1:6" ht="369.75">
      <c r="A13" s="481"/>
      <c r="B13" s="477" t="s">
        <v>842</v>
      </c>
      <c r="C13" s="479">
        <v>3002098445</v>
      </c>
      <c r="D13" s="487" t="s">
        <v>841</v>
      </c>
      <c r="E13" s="478">
        <v>20000000</v>
      </c>
      <c r="F13" s="477" t="s">
        <v>840</v>
      </c>
    </row>
    <row r="14" spans="1:6" ht="51">
      <c r="A14" s="481"/>
      <c r="B14" s="477" t="s">
        <v>839</v>
      </c>
      <c r="C14" s="479">
        <v>3002602249</v>
      </c>
      <c r="D14" s="477" t="s">
        <v>701</v>
      </c>
      <c r="E14" s="478">
        <v>5500000</v>
      </c>
      <c r="F14" s="477" t="s">
        <v>838</v>
      </c>
    </row>
    <row r="15" spans="1:6" ht="51">
      <c r="A15" s="481"/>
      <c r="B15" s="477" t="s">
        <v>837</v>
      </c>
      <c r="C15" s="479">
        <v>3002078087</v>
      </c>
      <c r="D15" s="477" t="s">
        <v>701</v>
      </c>
      <c r="E15" s="478">
        <v>25000000</v>
      </c>
      <c r="F15" s="477" t="s">
        <v>836</v>
      </c>
    </row>
    <row r="16" spans="1:6" ht="51">
      <c r="A16" s="481"/>
      <c r="B16" s="477" t="s">
        <v>835</v>
      </c>
      <c r="C16" s="479">
        <v>3002087127</v>
      </c>
      <c r="D16" s="477" t="s">
        <v>701</v>
      </c>
      <c r="E16" s="478">
        <v>20948128.7</v>
      </c>
      <c r="F16" s="477" t="s">
        <v>834</v>
      </c>
    </row>
    <row r="17" spans="1:6" ht="51">
      <c r="A17" s="481"/>
      <c r="B17" s="477" t="s">
        <v>833</v>
      </c>
      <c r="C17" s="479">
        <v>3002354346</v>
      </c>
      <c r="D17" s="477" t="s">
        <v>701</v>
      </c>
      <c r="E17" s="478">
        <v>19148314.6</v>
      </c>
      <c r="F17" s="477" t="s">
        <v>832</v>
      </c>
    </row>
    <row r="18" spans="1:6" ht="76.5">
      <c r="A18" s="481"/>
      <c r="B18" s="477" t="s">
        <v>831</v>
      </c>
      <c r="C18" s="479">
        <v>3002694741</v>
      </c>
      <c r="D18" s="477" t="s">
        <v>701</v>
      </c>
      <c r="E18" s="478">
        <v>19659239</v>
      </c>
      <c r="F18" s="477" t="s">
        <v>830</v>
      </c>
    </row>
    <row r="19" spans="1:6" ht="51">
      <c r="A19" s="481"/>
      <c r="B19" s="477" t="s">
        <v>829</v>
      </c>
      <c r="C19" s="479">
        <v>3002618564</v>
      </c>
      <c r="D19" s="477" t="s">
        <v>701</v>
      </c>
      <c r="E19" s="478">
        <v>15000000</v>
      </c>
      <c r="F19" s="477" t="s">
        <v>828</v>
      </c>
    </row>
    <row r="20" spans="1:6" ht="51">
      <c r="A20" s="481"/>
      <c r="B20" s="477" t="s">
        <v>827</v>
      </c>
      <c r="C20" s="479" t="s">
        <v>826</v>
      </c>
      <c r="D20" s="477" t="s">
        <v>701</v>
      </c>
      <c r="E20" s="478">
        <v>15000000</v>
      </c>
      <c r="F20" s="477" t="s">
        <v>825</v>
      </c>
    </row>
    <row r="21" spans="1:6" ht="51">
      <c r="A21" s="481"/>
      <c r="B21" s="477" t="s">
        <v>824</v>
      </c>
      <c r="C21" s="479">
        <v>3002356087</v>
      </c>
      <c r="D21" s="477" t="s">
        <v>701</v>
      </c>
      <c r="E21" s="478">
        <v>14016000</v>
      </c>
      <c r="F21" s="477" t="s">
        <v>823</v>
      </c>
    </row>
    <row r="22" spans="1:6" ht="51">
      <c r="A22" s="481"/>
      <c r="B22" s="477" t="s">
        <v>822</v>
      </c>
      <c r="C22" s="479">
        <v>3002351916</v>
      </c>
      <c r="D22" s="477" t="s">
        <v>701</v>
      </c>
      <c r="E22" s="478">
        <v>10000000</v>
      </c>
      <c r="F22" s="477" t="s">
        <v>821</v>
      </c>
    </row>
    <row r="23" spans="1:6" ht="51">
      <c r="A23" s="481"/>
      <c r="B23" s="477" t="s">
        <v>820</v>
      </c>
      <c r="C23" s="479" t="s">
        <v>819</v>
      </c>
      <c r="D23" s="477" t="s">
        <v>701</v>
      </c>
      <c r="E23" s="478">
        <v>10000000</v>
      </c>
      <c r="F23" s="477" t="s">
        <v>818</v>
      </c>
    </row>
    <row r="24" spans="1:6" ht="51">
      <c r="A24" s="481"/>
      <c r="B24" s="477" t="s">
        <v>817</v>
      </c>
      <c r="C24" s="479">
        <v>3002348243</v>
      </c>
      <c r="D24" s="477" t="s">
        <v>701</v>
      </c>
      <c r="E24" s="478">
        <v>7500000</v>
      </c>
      <c r="F24" s="477" t="s">
        <v>816</v>
      </c>
    </row>
    <row r="25" spans="1:6" ht="63.75">
      <c r="A25" s="481"/>
      <c r="B25" s="477" t="s">
        <v>815</v>
      </c>
      <c r="C25" s="479">
        <v>3002147197</v>
      </c>
      <c r="D25" s="477" t="s">
        <v>701</v>
      </c>
      <c r="E25" s="478">
        <v>13000000</v>
      </c>
      <c r="F25" s="477" t="s">
        <v>814</v>
      </c>
    </row>
    <row r="26" spans="1:6" ht="51">
      <c r="A26" s="481"/>
      <c r="B26" s="477" t="s">
        <v>813</v>
      </c>
      <c r="C26" s="479">
        <v>3002173604</v>
      </c>
      <c r="D26" s="477" t="s">
        <v>701</v>
      </c>
      <c r="E26" s="478">
        <v>13000000</v>
      </c>
      <c r="F26" s="477" t="s">
        <v>812</v>
      </c>
    </row>
    <row r="27" spans="1:6" s="24" customFormat="1" ht="51">
      <c r="A27" s="481"/>
      <c r="B27" s="477" t="s">
        <v>811</v>
      </c>
      <c r="C27" s="479">
        <v>3002092445</v>
      </c>
      <c r="D27" s="477" t="s">
        <v>701</v>
      </c>
      <c r="E27" s="478">
        <v>15000000</v>
      </c>
      <c r="F27" s="477" t="s">
        <v>810</v>
      </c>
    </row>
    <row r="28" spans="1:6" ht="51">
      <c r="A28" s="481"/>
      <c r="B28" s="477" t="s">
        <v>809</v>
      </c>
      <c r="C28" s="479" t="s">
        <v>808</v>
      </c>
      <c r="D28" s="477" t="s">
        <v>701</v>
      </c>
      <c r="E28" s="478">
        <v>70000000</v>
      </c>
      <c r="F28" s="477" t="s">
        <v>807</v>
      </c>
    </row>
    <row r="29" spans="1:6" ht="51">
      <c r="A29" s="481"/>
      <c r="B29" s="477" t="s">
        <v>806</v>
      </c>
      <c r="C29" s="479">
        <v>3002126247</v>
      </c>
      <c r="D29" s="477" t="s">
        <v>701</v>
      </c>
      <c r="E29" s="478">
        <v>10474064.55</v>
      </c>
      <c r="F29" s="477" t="s">
        <v>805</v>
      </c>
    </row>
    <row r="30" spans="1:6" ht="51">
      <c r="A30" s="481"/>
      <c r="B30" s="477" t="s">
        <v>804</v>
      </c>
      <c r="C30" s="479">
        <v>3002635244</v>
      </c>
      <c r="D30" s="477" t="s">
        <v>701</v>
      </c>
      <c r="E30" s="478">
        <v>25000000</v>
      </c>
      <c r="F30" s="477" t="s">
        <v>803</v>
      </c>
    </row>
    <row r="31" spans="1:6" ht="51">
      <c r="A31" s="481"/>
      <c r="B31" s="668" t="s">
        <v>802</v>
      </c>
      <c r="C31" s="665" t="s">
        <v>801</v>
      </c>
      <c r="D31" s="477" t="s">
        <v>701</v>
      </c>
      <c r="E31" s="478">
        <v>30414089.73</v>
      </c>
      <c r="F31" s="477" t="s">
        <v>800</v>
      </c>
    </row>
    <row r="32" spans="1:6" ht="51">
      <c r="A32" s="481"/>
      <c r="B32" s="669"/>
      <c r="C32" s="667"/>
      <c r="D32" s="477" t="s">
        <v>701</v>
      </c>
      <c r="E32" s="478">
        <v>40000000</v>
      </c>
      <c r="F32" s="477" t="s">
        <v>799</v>
      </c>
    </row>
    <row r="33" spans="1:6" ht="51">
      <c r="A33" s="481"/>
      <c r="B33" s="477" t="s">
        <v>798</v>
      </c>
      <c r="C33" s="479" t="s">
        <v>797</v>
      </c>
      <c r="D33" s="477" t="s">
        <v>701</v>
      </c>
      <c r="E33" s="478">
        <v>10000000</v>
      </c>
      <c r="F33" s="477" t="s">
        <v>796</v>
      </c>
    </row>
    <row r="34" spans="1:6" ht="51">
      <c r="A34" s="481"/>
      <c r="B34" s="477" t="s">
        <v>795</v>
      </c>
      <c r="C34" s="479" t="s">
        <v>794</v>
      </c>
      <c r="D34" s="477" t="s">
        <v>701</v>
      </c>
      <c r="E34" s="478">
        <v>20000000</v>
      </c>
      <c r="F34" s="477" t="s">
        <v>793</v>
      </c>
    </row>
    <row r="35" spans="1:6" ht="51">
      <c r="A35" s="481"/>
      <c r="B35" s="477" t="s">
        <v>792</v>
      </c>
      <c r="C35" s="479" t="s">
        <v>791</v>
      </c>
      <c r="D35" s="477" t="s">
        <v>701</v>
      </c>
      <c r="E35" s="478">
        <v>29472511.3</v>
      </c>
      <c r="F35" s="477" t="s">
        <v>790</v>
      </c>
    </row>
    <row r="36" spans="1:6" ht="51">
      <c r="A36" s="489"/>
      <c r="B36" s="668" t="s">
        <v>789</v>
      </c>
      <c r="C36" s="665">
        <v>3002084004</v>
      </c>
      <c r="D36" s="477" t="s">
        <v>701</v>
      </c>
      <c r="E36" s="478">
        <v>15000000</v>
      </c>
      <c r="F36" s="477" t="s">
        <v>788</v>
      </c>
    </row>
    <row r="37" spans="1:6" ht="51">
      <c r="A37" s="489"/>
      <c r="B37" s="669"/>
      <c r="C37" s="667"/>
      <c r="D37" s="477" t="s">
        <v>701</v>
      </c>
      <c r="E37" s="478">
        <v>15000000</v>
      </c>
      <c r="F37" s="477" t="s">
        <v>787</v>
      </c>
    </row>
    <row r="38" spans="1:6" ht="51">
      <c r="A38" s="489"/>
      <c r="B38" s="477" t="s">
        <v>786</v>
      </c>
      <c r="C38" s="479">
        <v>3002631535</v>
      </c>
      <c r="D38" s="477" t="s">
        <v>701</v>
      </c>
      <c r="E38" s="478">
        <v>20000000</v>
      </c>
      <c r="F38" s="477" t="s">
        <v>785</v>
      </c>
    </row>
    <row r="39" spans="1:6" ht="51">
      <c r="A39" s="489"/>
      <c r="B39" s="477" t="s">
        <v>784</v>
      </c>
      <c r="C39" s="479">
        <v>3002078771</v>
      </c>
      <c r="D39" s="477" t="s">
        <v>701</v>
      </c>
      <c r="E39" s="478">
        <v>15000000</v>
      </c>
      <c r="F39" s="477" t="s">
        <v>783</v>
      </c>
    </row>
    <row r="40" spans="1:6" ht="51">
      <c r="A40" s="489"/>
      <c r="B40" s="477" t="s">
        <v>782</v>
      </c>
      <c r="C40" s="479">
        <v>3002680342</v>
      </c>
      <c r="D40" s="477" t="s">
        <v>701</v>
      </c>
      <c r="E40" s="478">
        <v>15000000</v>
      </c>
      <c r="F40" s="477" t="s">
        <v>781</v>
      </c>
    </row>
    <row r="41" spans="1:6" ht="51">
      <c r="A41" s="489"/>
      <c r="B41" s="477" t="s">
        <v>780</v>
      </c>
      <c r="C41" s="479" t="s">
        <v>709</v>
      </c>
      <c r="D41" s="477" t="s">
        <v>701</v>
      </c>
      <c r="E41" s="478">
        <v>22000000</v>
      </c>
      <c r="F41" s="477" t="s">
        <v>779</v>
      </c>
    </row>
    <row r="42" spans="1:6" ht="51">
      <c r="A42" s="481"/>
      <c r="B42" s="477" t="s">
        <v>778</v>
      </c>
      <c r="C42" s="479" t="s">
        <v>777</v>
      </c>
      <c r="D42" s="477" t="s">
        <v>701</v>
      </c>
      <c r="E42" s="478">
        <v>70000000</v>
      </c>
      <c r="F42" s="477" t="s">
        <v>776</v>
      </c>
    </row>
    <row r="43" spans="1:6" ht="51">
      <c r="A43" s="481"/>
      <c r="B43" s="477" t="s">
        <v>775</v>
      </c>
      <c r="C43" s="479" t="s">
        <v>774</v>
      </c>
      <c r="D43" s="477" t="s">
        <v>701</v>
      </c>
      <c r="E43" s="478">
        <v>20000000</v>
      </c>
      <c r="F43" s="477" t="s">
        <v>773</v>
      </c>
    </row>
    <row r="44" spans="1:6" ht="51">
      <c r="A44" s="481"/>
      <c r="B44" s="477" t="s">
        <v>772</v>
      </c>
      <c r="C44" s="479" t="s">
        <v>771</v>
      </c>
      <c r="D44" s="477" t="s">
        <v>701</v>
      </c>
      <c r="E44" s="478">
        <v>16675000</v>
      </c>
      <c r="F44" s="477" t="s">
        <v>770</v>
      </c>
    </row>
    <row r="45" spans="1:6" ht="51">
      <c r="A45" s="481"/>
      <c r="B45" s="491" t="s">
        <v>769</v>
      </c>
      <c r="C45" s="490" t="s">
        <v>768</v>
      </c>
      <c r="D45" s="477" t="s">
        <v>701</v>
      </c>
      <c r="E45" s="478">
        <v>19148314.6</v>
      </c>
      <c r="F45" s="477" t="s">
        <v>767</v>
      </c>
    </row>
    <row r="46" spans="1:6" ht="51">
      <c r="A46" s="481"/>
      <c r="B46" s="477" t="s">
        <v>766</v>
      </c>
      <c r="C46" s="479" t="s">
        <v>765</v>
      </c>
      <c r="D46" s="477" t="s">
        <v>701</v>
      </c>
      <c r="E46" s="478">
        <v>20948128.7</v>
      </c>
      <c r="F46" s="477" t="s">
        <v>764</v>
      </c>
    </row>
    <row r="47" spans="1:6" s="24" customFormat="1" ht="51">
      <c r="A47" s="481"/>
      <c r="B47" s="477" t="s">
        <v>763</v>
      </c>
      <c r="C47" s="479">
        <v>3002679641</v>
      </c>
      <c r="D47" s="477" t="s">
        <v>701</v>
      </c>
      <c r="E47" s="478">
        <v>13693999.25</v>
      </c>
      <c r="F47" s="477" t="s">
        <v>762</v>
      </c>
    </row>
    <row r="48" spans="1:6" ht="51">
      <c r="A48" s="481"/>
      <c r="B48" s="668" t="s">
        <v>761</v>
      </c>
      <c r="C48" s="665" t="s">
        <v>760</v>
      </c>
      <c r="D48" s="477" t="s">
        <v>701</v>
      </c>
      <c r="E48" s="478">
        <v>55000000</v>
      </c>
      <c r="F48" s="477" t="s">
        <v>759</v>
      </c>
    </row>
    <row r="49" spans="1:6" ht="51">
      <c r="A49" s="481"/>
      <c r="B49" s="669"/>
      <c r="C49" s="667"/>
      <c r="D49" s="477" t="s">
        <v>701</v>
      </c>
      <c r="E49" s="478">
        <v>6884535</v>
      </c>
      <c r="F49" s="477" t="s">
        <v>758</v>
      </c>
    </row>
    <row r="50" spans="1:6" ht="51">
      <c r="A50" s="481"/>
      <c r="B50" s="477" t="s">
        <v>757</v>
      </c>
      <c r="C50" s="479">
        <v>3002078111</v>
      </c>
      <c r="D50" s="477" t="s">
        <v>701</v>
      </c>
      <c r="E50" s="478">
        <v>20948128.7</v>
      </c>
      <c r="F50" s="477" t="s">
        <v>756</v>
      </c>
    </row>
    <row r="51" spans="1:6" ht="51">
      <c r="A51" s="481"/>
      <c r="B51" s="477" t="s">
        <v>755</v>
      </c>
      <c r="C51" s="479" t="s">
        <v>754</v>
      </c>
      <c r="D51" s="477" t="s">
        <v>701</v>
      </c>
      <c r="E51" s="478">
        <v>19148314.6</v>
      </c>
      <c r="F51" s="477" t="s">
        <v>753</v>
      </c>
    </row>
    <row r="52" spans="1:6" ht="51">
      <c r="A52" s="481"/>
      <c r="B52" s="668" t="s">
        <v>752</v>
      </c>
      <c r="C52" s="665">
        <v>3002078372</v>
      </c>
      <c r="D52" s="477" t="s">
        <v>701</v>
      </c>
      <c r="E52" s="478">
        <v>38416933.6</v>
      </c>
      <c r="F52" s="477" t="s">
        <v>751</v>
      </c>
    </row>
    <row r="53" spans="1:6" ht="51">
      <c r="A53" s="481"/>
      <c r="B53" s="674"/>
      <c r="C53" s="666"/>
      <c r="D53" s="477" t="s">
        <v>701</v>
      </c>
      <c r="E53" s="478">
        <v>10000000</v>
      </c>
      <c r="F53" s="477" t="s">
        <v>750</v>
      </c>
    </row>
    <row r="54" spans="1:6" ht="51">
      <c r="A54" s="481"/>
      <c r="B54" s="669"/>
      <c r="C54" s="667"/>
      <c r="D54" s="477" t="s">
        <v>701</v>
      </c>
      <c r="E54" s="478">
        <v>10000000</v>
      </c>
      <c r="F54" s="477" t="s">
        <v>749</v>
      </c>
    </row>
    <row r="55" spans="1:6" ht="51">
      <c r="A55" s="481"/>
      <c r="B55" s="477" t="s">
        <v>748</v>
      </c>
      <c r="C55" s="479" t="s">
        <v>747</v>
      </c>
      <c r="D55" s="477" t="s">
        <v>701</v>
      </c>
      <c r="E55" s="478">
        <v>25000000</v>
      </c>
      <c r="F55" s="477" t="s">
        <v>746</v>
      </c>
    </row>
    <row r="56" spans="1:6" ht="51">
      <c r="A56" s="481"/>
      <c r="B56" s="668" t="s">
        <v>745</v>
      </c>
      <c r="C56" s="665" t="s">
        <v>744</v>
      </c>
      <c r="D56" s="477" t="s">
        <v>701</v>
      </c>
      <c r="E56" s="478">
        <v>30000000</v>
      </c>
      <c r="F56" s="477" t="s">
        <v>743</v>
      </c>
    </row>
    <row r="57" spans="1:6" ht="51">
      <c r="A57" s="481"/>
      <c r="B57" s="669"/>
      <c r="C57" s="667"/>
      <c r="D57" s="477" t="s">
        <v>701</v>
      </c>
      <c r="E57" s="478">
        <v>40000000</v>
      </c>
      <c r="F57" s="477" t="s">
        <v>742</v>
      </c>
    </row>
    <row r="58" spans="1:6" ht="51">
      <c r="A58" s="481"/>
      <c r="B58" s="477" t="s">
        <v>741</v>
      </c>
      <c r="C58" s="479" t="s">
        <v>740</v>
      </c>
      <c r="D58" s="477" t="s">
        <v>701</v>
      </c>
      <c r="E58" s="478">
        <v>29472511.3</v>
      </c>
      <c r="F58" s="477" t="s">
        <v>739</v>
      </c>
    </row>
    <row r="59" spans="1:6" ht="51">
      <c r="A59" s="481"/>
      <c r="B59" s="477" t="s">
        <v>738</v>
      </c>
      <c r="C59" s="479">
        <v>3002051132</v>
      </c>
      <c r="D59" s="477" t="s">
        <v>701</v>
      </c>
      <c r="E59" s="478">
        <v>26000000</v>
      </c>
      <c r="F59" s="477" t="s">
        <v>737</v>
      </c>
    </row>
    <row r="60" spans="1:6" ht="51">
      <c r="A60" s="481"/>
      <c r="B60" s="477" t="s">
        <v>736</v>
      </c>
      <c r="C60" s="479" t="s">
        <v>735</v>
      </c>
      <c r="D60" s="477" t="s">
        <v>701</v>
      </c>
      <c r="E60" s="478">
        <v>19148314.6</v>
      </c>
      <c r="F60" s="477" t="s">
        <v>734</v>
      </c>
    </row>
    <row r="61" spans="1:6" ht="51">
      <c r="A61" s="481"/>
      <c r="B61" s="477" t="s">
        <v>733</v>
      </c>
      <c r="C61" s="479">
        <v>3002239716</v>
      </c>
      <c r="D61" s="477" t="s">
        <v>701</v>
      </c>
      <c r="E61" s="478">
        <v>19629390.41</v>
      </c>
      <c r="F61" s="477" t="s">
        <v>732</v>
      </c>
    </row>
    <row r="62" spans="1:6" ht="51">
      <c r="A62" s="481"/>
      <c r="B62" s="477" t="s">
        <v>731</v>
      </c>
      <c r="C62" s="479" t="s">
        <v>730</v>
      </c>
      <c r="D62" s="477" t="s">
        <v>701</v>
      </c>
      <c r="E62" s="478">
        <v>22000000</v>
      </c>
      <c r="F62" s="477" t="s">
        <v>729</v>
      </c>
    </row>
    <row r="63" spans="1:6" ht="51">
      <c r="A63" s="481"/>
      <c r="B63" s="477" t="s">
        <v>728</v>
      </c>
      <c r="C63" s="479" t="s">
        <v>727</v>
      </c>
      <c r="D63" s="477" t="s">
        <v>701</v>
      </c>
      <c r="E63" s="478">
        <v>20000000</v>
      </c>
      <c r="F63" s="477" t="s">
        <v>726</v>
      </c>
    </row>
    <row r="64" spans="1:6" ht="51">
      <c r="A64" s="489"/>
      <c r="B64" s="477" t="s">
        <v>725</v>
      </c>
      <c r="C64" s="479" t="s">
        <v>724</v>
      </c>
      <c r="D64" s="477" t="s">
        <v>701</v>
      </c>
      <c r="E64" s="478">
        <v>19148314.6</v>
      </c>
      <c r="F64" s="477" t="s">
        <v>723</v>
      </c>
    </row>
    <row r="65" spans="1:6" ht="51">
      <c r="A65" s="489"/>
      <c r="B65" s="477" t="s">
        <v>722</v>
      </c>
      <c r="C65" s="479">
        <v>3002061659</v>
      </c>
      <c r="D65" s="477" t="s">
        <v>701</v>
      </c>
      <c r="E65" s="478">
        <v>20000000</v>
      </c>
      <c r="F65" s="477" t="s">
        <v>721</v>
      </c>
    </row>
    <row r="66" spans="1:6" ht="51">
      <c r="A66" s="481"/>
      <c r="B66" s="668" t="s">
        <v>720</v>
      </c>
      <c r="C66" s="665" t="s">
        <v>719</v>
      </c>
      <c r="D66" s="477" t="s">
        <v>701</v>
      </c>
      <c r="E66" s="478">
        <v>15000000</v>
      </c>
      <c r="F66" s="477" t="s">
        <v>718</v>
      </c>
    </row>
    <row r="67" spans="1:6" ht="51">
      <c r="A67" s="481"/>
      <c r="B67" s="669"/>
      <c r="C67" s="667"/>
      <c r="D67" s="477" t="s">
        <v>701</v>
      </c>
      <c r="E67" s="478">
        <v>90000000</v>
      </c>
      <c r="F67" s="477" t="s">
        <v>717</v>
      </c>
    </row>
    <row r="68" spans="1:6" ht="51">
      <c r="A68" s="481"/>
      <c r="B68" s="477" t="s">
        <v>716</v>
      </c>
      <c r="C68" s="479" t="s">
        <v>715</v>
      </c>
      <c r="D68" s="477" t="s">
        <v>701</v>
      </c>
      <c r="E68" s="478">
        <v>70000000</v>
      </c>
      <c r="F68" s="477" t="s">
        <v>714</v>
      </c>
    </row>
    <row r="69" spans="1:6" ht="51">
      <c r="A69" s="481"/>
      <c r="B69" s="477" t="s">
        <v>713</v>
      </c>
      <c r="C69" s="479" t="s">
        <v>712</v>
      </c>
      <c r="D69" s="477" t="s">
        <v>701</v>
      </c>
      <c r="E69" s="478">
        <v>15000000</v>
      </c>
      <c r="F69" s="477" t="s">
        <v>711</v>
      </c>
    </row>
    <row r="70" spans="1:6" ht="51">
      <c r="A70" s="481"/>
      <c r="B70" s="668" t="s">
        <v>710</v>
      </c>
      <c r="C70" s="665" t="s">
        <v>709</v>
      </c>
      <c r="D70" s="477" t="s">
        <v>701</v>
      </c>
      <c r="E70" s="478">
        <v>17000000</v>
      </c>
      <c r="F70" s="477" t="s">
        <v>708</v>
      </c>
    </row>
    <row r="71" spans="1:6" ht="51">
      <c r="A71" s="481"/>
      <c r="B71" s="669"/>
      <c r="C71" s="667"/>
      <c r="D71" s="477" t="s">
        <v>701</v>
      </c>
      <c r="E71" s="478">
        <v>8000000</v>
      </c>
      <c r="F71" s="477" t="s">
        <v>707</v>
      </c>
    </row>
    <row r="72" spans="1:6" ht="51">
      <c r="A72" s="481"/>
      <c r="B72" s="477" t="s">
        <v>706</v>
      </c>
      <c r="C72" s="479" t="s">
        <v>705</v>
      </c>
      <c r="D72" s="477" t="s">
        <v>701</v>
      </c>
      <c r="E72" s="478">
        <v>19148314.6</v>
      </c>
      <c r="F72" s="477" t="s">
        <v>704</v>
      </c>
    </row>
    <row r="73" spans="1:6" ht="51">
      <c r="A73" s="481"/>
      <c r="B73" s="477" t="s">
        <v>703</v>
      </c>
      <c r="C73" s="479" t="s">
        <v>702</v>
      </c>
      <c r="D73" s="477" t="s">
        <v>701</v>
      </c>
      <c r="E73" s="478">
        <v>17000000</v>
      </c>
      <c r="F73" s="477" t="s">
        <v>700</v>
      </c>
    </row>
    <row r="74" spans="1:6" ht="318.75">
      <c r="A74" s="488"/>
      <c r="B74" s="477" t="s">
        <v>699</v>
      </c>
      <c r="C74" s="479">
        <v>3002056484</v>
      </c>
      <c r="D74" s="487" t="s">
        <v>698</v>
      </c>
      <c r="E74" s="478">
        <v>16800000</v>
      </c>
      <c r="F74" s="477" t="s">
        <v>697</v>
      </c>
    </row>
    <row r="75" spans="1:6" ht="51">
      <c r="A75" s="486" t="s">
        <v>696</v>
      </c>
      <c r="B75" s="485" t="s">
        <v>695</v>
      </c>
      <c r="C75" s="484"/>
      <c r="D75" s="482"/>
      <c r="E75" s="483">
        <f>SUM(E76:E88)</f>
        <v>204946287.76000002</v>
      </c>
      <c r="F75" s="482"/>
    </row>
    <row r="76" spans="1:6" s="51" customFormat="1" ht="51">
      <c r="A76" s="481"/>
      <c r="B76" s="480" t="s">
        <v>694</v>
      </c>
      <c r="C76" s="479">
        <v>3008262117</v>
      </c>
      <c r="D76" s="671" t="s">
        <v>693</v>
      </c>
      <c r="E76" s="478">
        <v>10000000</v>
      </c>
      <c r="F76" s="477" t="s">
        <v>692</v>
      </c>
    </row>
    <row r="77" spans="1:6" s="51" customFormat="1" ht="25.5">
      <c r="A77" s="481"/>
      <c r="B77" s="480" t="s">
        <v>691</v>
      </c>
      <c r="C77" s="479" t="s">
        <v>690</v>
      </c>
      <c r="D77" s="672"/>
      <c r="E77" s="478">
        <v>22000000</v>
      </c>
      <c r="F77" s="477" t="s">
        <v>689</v>
      </c>
    </row>
    <row r="78" spans="1:6" s="51" customFormat="1" ht="25.5">
      <c r="A78" s="481"/>
      <c r="B78" s="480" t="s">
        <v>688</v>
      </c>
      <c r="C78" s="479" t="s">
        <v>687</v>
      </c>
      <c r="D78" s="673"/>
      <c r="E78" s="478">
        <v>29472511.3</v>
      </c>
      <c r="F78" s="477" t="s">
        <v>686</v>
      </c>
    </row>
    <row r="79" spans="1:6" s="51" customFormat="1" ht="38.25">
      <c r="A79" s="481"/>
      <c r="B79" s="480" t="s">
        <v>685</v>
      </c>
      <c r="C79" s="479" t="s">
        <v>684</v>
      </c>
      <c r="D79" s="673"/>
      <c r="E79" s="478">
        <v>10000000</v>
      </c>
      <c r="F79" s="477" t="s">
        <v>683</v>
      </c>
    </row>
    <row r="80" spans="1:6" s="51" customFormat="1" ht="25.5">
      <c r="A80" s="481"/>
      <c r="B80" s="480" t="s">
        <v>682</v>
      </c>
      <c r="C80" s="479">
        <v>3008061881</v>
      </c>
      <c r="D80" s="673"/>
      <c r="E80" s="478">
        <v>16675000</v>
      </c>
      <c r="F80" s="477" t="s">
        <v>681</v>
      </c>
    </row>
    <row r="81" spans="1:6" s="51" customFormat="1" ht="38.25">
      <c r="A81" s="481"/>
      <c r="B81" s="480" t="s">
        <v>680</v>
      </c>
      <c r="C81" s="479">
        <v>3008056697</v>
      </c>
      <c r="D81" s="673"/>
      <c r="E81" s="478">
        <v>20000000</v>
      </c>
      <c r="F81" s="477" t="s">
        <v>679</v>
      </c>
    </row>
    <row r="82" spans="1:6" s="51" customFormat="1" ht="38.25">
      <c r="A82" s="481"/>
      <c r="B82" s="480" t="s">
        <v>678</v>
      </c>
      <c r="C82" s="479">
        <v>3008099168</v>
      </c>
      <c r="D82" s="673"/>
      <c r="E82" s="478">
        <v>19148314.6</v>
      </c>
      <c r="F82" s="477" t="s">
        <v>677</v>
      </c>
    </row>
    <row r="83" spans="1:6" s="51" customFormat="1" ht="38.25">
      <c r="A83" s="481"/>
      <c r="B83" s="480" t="s">
        <v>676</v>
      </c>
      <c r="C83" s="479">
        <v>3008056656</v>
      </c>
      <c r="D83" s="673"/>
      <c r="E83" s="478">
        <v>15000000</v>
      </c>
      <c r="F83" s="477" t="s">
        <v>675</v>
      </c>
    </row>
    <row r="84" spans="1:6" s="51" customFormat="1" ht="38.25">
      <c r="A84" s="481"/>
      <c r="B84" s="480" t="s">
        <v>674</v>
      </c>
      <c r="C84" s="479">
        <v>3008056935</v>
      </c>
      <c r="D84" s="673"/>
      <c r="E84" s="478">
        <v>10000000</v>
      </c>
      <c r="F84" s="477" t="s">
        <v>673</v>
      </c>
    </row>
    <row r="85" spans="1:6" s="51" customFormat="1" ht="51">
      <c r="A85" s="481"/>
      <c r="B85" s="480" t="s">
        <v>672</v>
      </c>
      <c r="C85" s="479">
        <v>3008061514</v>
      </c>
      <c r="D85" s="673"/>
      <c r="E85" s="478">
        <v>20000000</v>
      </c>
      <c r="F85" s="477" t="s">
        <v>671</v>
      </c>
    </row>
    <row r="86" spans="1:6" s="51" customFormat="1" ht="38.25">
      <c r="A86" s="481"/>
      <c r="B86" s="480" t="s">
        <v>670</v>
      </c>
      <c r="C86" s="479">
        <v>3008056861</v>
      </c>
      <c r="D86" s="673"/>
      <c r="E86" s="478">
        <v>16675000</v>
      </c>
      <c r="F86" s="477" t="s">
        <v>669</v>
      </c>
    </row>
    <row r="87" spans="1:6" s="51" customFormat="1" ht="38.25">
      <c r="A87" s="481"/>
      <c r="B87" s="480" t="s">
        <v>668</v>
      </c>
      <c r="C87" s="479">
        <v>3008056816</v>
      </c>
      <c r="D87" s="673"/>
      <c r="E87" s="478">
        <v>5975461.86</v>
      </c>
      <c r="F87" s="477" t="s">
        <v>667</v>
      </c>
    </row>
    <row r="88" spans="1:6" s="51" customFormat="1" ht="38.25">
      <c r="A88" s="481"/>
      <c r="B88" s="480" t="s">
        <v>666</v>
      </c>
      <c r="C88" s="479">
        <v>3008056670</v>
      </c>
      <c r="D88" s="673"/>
      <c r="E88" s="478">
        <v>10000000</v>
      </c>
      <c r="F88" s="477" t="s">
        <v>665</v>
      </c>
    </row>
    <row r="89" spans="1:6" s="472" customFormat="1" ht="18.75" customHeight="1">
      <c r="A89" s="476"/>
      <c r="B89" s="475" t="s">
        <v>6</v>
      </c>
      <c r="C89" s="474"/>
      <c r="D89" s="474"/>
      <c r="E89" s="473">
        <f>SUM(E8+E75)</f>
        <v>1699692244.6</v>
      </c>
      <c r="F89" s="473"/>
    </row>
    <row r="90" spans="1:6" s="13" customFormat="1" ht="12.75">
      <c r="A90" s="326" t="s">
        <v>664</v>
      </c>
      <c r="B90" s="195"/>
      <c r="C90" s="195"/>
      <c r="D90" s="195"/>
      <c r="E90" s="471"/>
      <c r="F90" s="470"/>
    </row>
    <row r="91" spans="1:6" s="13" customFormat="1" ht="18" customHeight="1">
      <c r="A91" s="326" t="s">
        <v>663</v>
      </c>
      <c r="B91" s="195"/>
      <c r="C91" s="195"/>
      <c r="D91" s="195"/>
      <c r="E91" s="471"/>
      <c r="F91" s="470"/>
    </row>
    <row r="92" spans="1:6" s="13" customFormat="1" ht="12.75">
      <c r="A92" s="326"/>
      <c r="B92" s="195"/>
      <c r="C92" s="195"/>
      <c r="D92" s="195"/>
      <c r="E92" s="469"/>
      <c r="F92" s="195"/>
    </row>
    <row r="93" ht="12.75">
      <c r="F93"/>
    </row>
    <row r="94" ht="12.75">
      <c r="F94"/>
    </row>
    <row r="95" ht="12.75">
      <c r="F95"/>
    </row>
    <row r="96" ht="12.75">
      <c r="F96"/>
    </row>
    <row r="97" s="2" customFormat="1" ht="12.75">
      <c r="F97"/>
    </row>
    <row r="98" s="2" customFormat="1" ht="12.75">
      <c r="F98"/>
    </row>
    <row r="99" s="2" customFormat="1" ht="12.75">
      <c r="F99"/>
    </row>
    <row r="100" s="2" customFormat="1" ht="12.75">
      <c r="F100"/>
    </row>
    <row r="101" s="2" customFormat="1" ht="12.75">
      <c r="F101"/>
    </row>
    <row r="102" s="2" customFormat="1" ht="12.75">
      <c r="F102"/>
    </row>
    <row r="103" s="2" customFormat="1" ht="12.75">
      <c r="F103"/>
    </row>
    <row r="104" s="2" customFormat="1" ht="12.75">
      <c r="F104"/>
    </row>
    <row r="105" s="2" customFormat="1" ht="12.75">
      <c r="F105"/>
    </row>
    <row r="106" s="2" customFormat="1" ht="12.75">
      <c r="F106"/>
    </row>
    <row r="107" s="2" customFormat="1" ht="12.75">
      <c r="F107"/>
    </row>
    <row r="108" s="2" customFormat="1" ht="12.75">
      <c r="F108"/>
    </row>
    <row r="109" s="2" customFormat="1" ht="12.75">
      <c r="F109"/>
    </row>
    <row r="110" s="2" customFormat="1" ht="12.75">
      <c r="F110"/>
    </row>
    <row r="111" s="2" customFormat="1" ht="12.75">
      <c r="F111"/>
    </row>
    <row r="112" s="2" customFormat="1" ht="12.75">
      <c r="F112"/>
    </row>
    <row r="113" s="2" customFormat="1" ht="12.75">
      <c r="F113"/>
    </row>
    <row r="114" s="2" customFormat="1" ht="12.75">
      <c r="F114"/>
    </row>
    <row r="115" s="2" customFormat="1" ht="12.75">
      <c r="F115"/>
    </row>
    <row r="116" s="2" customFormat="1" ht="12.75">
      <c r="F116"/>
    </row>
    <row r="117" s="2" customFormat="1" ht="12.75">
      <c r="F117"/>
    </row>
    <row r="118" s="2" customFormat="1" ht="12.75">
      <c r="F118"/>
    </row>
    <row r="119" s="2" customFormat="1" ht="12.75">
      <c r="F119"/>
    </row>
    <row r="120" s="2" customFormat="1" ht="12.75">
      <c r="F120"/>
    </row>
    <row r="121" s="2" customFormat="1" ht="12.75">
      <c r="F121"/>
    </row>
    <row r="122" s="2" customFormat="1" ht="12.75">
      <c r="F122"/>
    </row>
    <row r="123" s="2" customFormat="1" ht="12.75">
      <c r="F123"/>
    </row>
    <row r="124" s="2" customFormat="1" ht="12.75">
      <c r="F124"/>
    </row>
    <row r="125" s="2" customFormat="1" ht="12.75">
      <c r="F125"/>
    </row>
    <row r="126" s="2" customFormat="1" ht="12.75">
      <c r="F126"/>
    </row>
    <row r="127" s="2" customFormat="1" ht="12.75">
      <c r="F127"/>
    </row>
    <row r="128" s="2" customFormat="1" ht="12.75">
      <c r="F128"/>
    </row>
    <row r="129" s="2" customFormat="1" ht="12.75">
      <c r="F129"/>
    </row>
    <row r="130" s="2" customFormat="1" ht="12.75">
      <c r="F130"/>
    </row>
    <row r="131" s="2" customFormat="1" ht="12.75">
      <c r="F131"/>
    </row>
    <row r="132" s="2" customFormat="1" ht="12.75">
      <c r="F132"/>
    </row>
    <row r="133" s="2" customFormat="1" ht="12.75">
      <c r="F133"/>
    </row>
    <row r="134" s="2" customFormat="1" ht="12.75">
      <c r="F134"/>
    </row>
    <row r="135" s="2" customFormat="1" ht="12.75">
      <c r="F135"/>
    </row>
    <row r="136" s="2" customFormat="1" ht="12.75">
      <c r="F136"/>
    </row>
    <row r="137" s="2" customFormat="1" ht="12.75">
      <c r="F137"/>
    </row>
    <row r="138" s="2" customFormat="1" ht="12.75">
      <c r="F138"/>
    </row>
    <row r="139" s="2" customFormat="1" ht="12.75">
      <c r="F139"/>
    </row>
    <row r="140" s="2" customFormat="1" ht="12.75">
      <c r="F140"/>
    </row>
    <row r="141" s="2" customFormat="1" ht="12.75">
      <c r="F141"/>
    </row>
    <row r="142" s="2" customFormat="1" ht="12.75">
      <c r="F142"/>
    </row>
    <row r="143" s="2" customFormat="1" ht="12.75">
      <c r="F143"/>
    </row>
    <row r="144" s="2" customFormat="1" ht="12.75">
      <c r="F144"/>
    </row>
    <row r="145" s="2" customFormat="1" ht="12.75">
      <c r="F145"/>
    </row>
    <row r="146" s="2" customFormat="1" ht="12.75">
      <c r="F146"/>
    </row>
    <row r="147" s="2" customFormat="1" ht="12.75">
      <c r="F147"/>
    </row>
    <row r="148" s="2" customFormat="1" ht="12.75">
      <c r="F148"/>
    </row>
    <row r="149" s="2" customFormat="1" ht="12.75">
      <c r="F149"/>
    </row>
    <row r="150" s="2" customFormat="1" ht="12.75">
      <c r="F150"/>
    </row>
    <row r="151" s="2" customFormat="1" ht="12.75">
      <c r="F151"/>
    </row>
    <row r="152" s="2" customFormat="1" ht="12.75">
      <c r="F152"/>
    </row>
    <row r="153" s="2" customFormat="1" ht="12.75">
      <c r="F153"/>
    </row>
    <row r="154" s="2" customFormat="1" ht="12.75">
      <c r="F154"/>
    </row>
    <row r="155" s="2" customFormat="1" ht="12.75">
      <c r="F155"/>
    </row>
    <row r="156" s="2" customFormat="1" ht="12.75">
      <c r="F156"/>
    </row>
    <row r="157" s="2" customFormat="1" ht="12.75">
      <c r="F157"/>
    </row>
    <row r="158" s="2" customFormat="1" ht="12.75">
      <c r="F158"/>
    </row>
    <row r="159" s="2" customFormat="1" ht="12.75">
      <c r="F159"/>
    </row>
    <row r="160" s="2" customFormat="1" ht="12.75">
      <c r="F160"/>
    </row>
    <row r="161" s="2" customFormat="1" ht="12.75">
      <c r="F161"/>
    </row>
    <row r="162" s="2" customFormat="1" ht="12.75">
      <c r="F162"/>
    </row>
    <row r="163" s="2" customFormat="1" ht="12.75">
      <c r="F163"/>
    </row>
    <row r="164" s="2" customFormat="1" ht="12.75">
      <c r="F164"/>
    </row>
    <row r="165" s="2" customFormat="1" ht="12.75">
      <c r="F165"/>
    </row>
    <row r="166" s="2" customFormat="1" ht="12.75">
      <c r="F166"/>
    </row>
    <row r="167" s="2" customFormat="1" ht="12.75">
      <c r="F167"/>
    </row>
    <row r="168" s="2" customFormat="1" ht="12.75">
      <c r="F168"/>
    </row>
    <row r="169" s="2" customFormat="1" ht="12.75">
      <c r="F169"/>
    </row>
    <row r="170" s="2" customFormat="1" ht="12.75">
      <c r="F170"/>
    </row>
    <row r="171" s="2" customFormat="1" ht="12.75">
      <c r="F171"/>
    </row>
    <row r="172" s="2" customFormat="1" ht="12.75">
      <c r="F172"/>
    </row>
    <row r="173" s="2" customFormat="1" ht="12.75">
      <c r="F173"/>
    </row>
    <row r="174" s="2" customFormat="1" ht="12.75">
      <c r="F174"/>
    </row>
    <row r="175" s="2" customFormat="1" ht="12.75">
      <c r="F175"/>
    </row>
    <row r="176" s="2" customFormat="1" ht="12.75">
      <c r="F176"/>
    </row>
    <row r="177" s="2" customFormat="1" ht="12.75">
      <c r="F177"/>
    </row>
    <row r="178" s="2" customFormat="1" ht="12.75">
      <c r="F178"/>
    </row>
    <row r="179" s="2" customFormat="1" ht="12.75">
      <c r="F179"/>
    </row>
    <row r="180" s="2" customFormat="1" ht="12.75">
      <c r="F180"/>
    </row>
    <row r="181" s="2" customFormat="1" ht="12.75">
      <c r="F181"/>
    </row>
    <row r="182" s="2" customFormat="1" ht="12.75">
      <c r="F182"/>
    </row>
    <row r="183" s="2" customFormat="1" ht="12.75">
      <c r="F183"/>
    </row>
    <row r="184" s="2" customFormat="1" ht="12.75">
      <c r="F184"/>
    </row>
    <row r="185" s="2" customFormat="1" ht="12.75">
      <c r="F185"/>
    </row>
    <row r="186" s="2" customFormat="1" ht="12.75">
      <c r="F186"/>
    </row>
    <row r="187" s="2" customFormat="1" ht="12.75">
      <c r="F187"/>
    </row>
    <row r="188" s="2" customFormat="1" ht="12.75">
      <c r="F188"/>
    </row>
    <row r="189" s="2" customFormat="1" ht="12.75">
      <c r="F189"/>
    </row>
    <row r="190" s="2" customFormat="1" ht="12.75">
      <c r="F190"/>
    </row>
    <row r="191" s="2" customFormat="1" ht="12.75">
      <c r="F191"/>
    </row>
    <row r="192" s="2" customFormat="1" ht="12.75">
      <c r="F192"/>
    </row>
    <row r="193" s="2" customFormat="1" ht="12.75">
      <c r="F193"/>
    </row>
    <row r="194" s="2" customFormat="1" ht="12.75">
      <c r="F194"/>
    </row>
    <row r="195" s="2" customFormat="1" ht="12.75">
      <c r="F195"/>
    </row>
    <row r="196" s="2" customFormat="1" ht="12.75">
      <c r="F196"/>
    </row>
    <row r="197" s="2" customFormat="1" ht="12.75">
      <c r="F197"/>
    </row>
    <row r="198" s="2" customFormat="1" ht="12.75">
      <c r="F198"/>
    </row>
    <row r="199" s="2" customFormat="1" ht="12.75">
      <c r="F199"/>
    </row>
    <row r="200" s="2" customFormat="1" ht="12.75">
      <c r="F200"/>
    </row>
    <row r="201" s="2" customFormat="1" ht="12.75">
      <c r="F201"/>
    </row>
    <row r="202" s="2" customFormat="1" ht="12.75">
      <c r="F202"/>
    </row>
    <row r="203" s="2" customFormat="1" ht="12.75">
      <c r="F203"/>
    </row>
    <row r="204" s="2" customFormat="1" ht="12.75">
      <c r="F204"/>
    </row>
    <row r="205" s="2" customFormat="1" ht="12.75">
      <c r="F205"/>
    </row>
    <row r="206" s="2" customFormat="1" ht="12.75">
      <c r="F206"/>
    </row>
    <row r="207" s="2" customFormat="1" ht="12.75">
      <c r="F207"/>
    </row>
    <row r="208" s="2" customFormat="1" ht="12.75">
      <c r="F208"/>
    </row>
    <row r="209" s="2" customFormat="1" ht="12.75">
      <c r="F209"/>
    </row>
    <row r="210" s="2" customFormat="1" ht="12.75">
      <c r="F210"/>
    </row>
    <row r="211" s="2" customFormat="1" ht="12.75">
      <c r="F211"/>
    </row>
    <row r="212" s="2" customFormat="1" ht="12.75">
      <c r="F212"/>
    </row>
    <row r="213" s="2" customFormat="1" ht="12.75">
      <c r="F213"/>
    </row>
    <row r="214" s="2" customFormat="1" ht="12.75">
      <c r="F214"/>
    </row>
    <row r="215" s="2" customFormat="1" ht="12.75">
      <c r="F215"/>
    </row>
    <row r="216" s="2" customFormat="1" ht="12.75">
      <c r="F216"/>
    </row>
    <row r="217" s="2" customFormat="1" ht="12.75">
      <c r="F217"/>
    </row>
    <row r="218" s="2" customFormat="1" ht="12.75">
      <c r="F218"/>
    </row>
    <row r="219" s="2" customFormat="1" ht="12.75">
      <c r="F219"/>
    </row>
    <row r="220" s="2" customFormat="1" ht="12.75">
      <c r="F220"/>
    </row>
    <row r="221" s="2" customFormat="1" ht="12.75">
      <c r="F221"/>
    </row>
    <row r="222" s="2" customFormat="1" ht="12.75">
      <c r="F222"/>
    </row>
    <row r="223" s="2" customFormat="1" ht="12.75">
      <c r="F223"/>
    </row>
    <row r="224" s="2" customFormat="1" ht="12.75">
      <c r="F224"/>
    </row>
    <row r="225" s="2" customFormat="1" ht="12.75">
      <c r="F225"/>
    </row>
    <row r="226" s="2" customFormat="1" ht="12.75">
      <c r="F226"/>
    </row>
    <row r="227" s="2" customFormat="1" ht="12.75">
      <c r="F227"/>
    </row>
    <row r="228" s="2" customFormat="1" ht="12.75">
      <c r="F228"/>
    </row>
    <row r="229" s="2" customFormat="1" ht="12.75">
      <c r="F229"/>
    </row>
    <row r="230" s="2" customFormat="1" ht="12.75">
      <c r="F230"/>
    </row>
    <row r="231" s="2" customFormat="1" ht="12.75">
      <c r="F231"/>
    </row>
    <row r="232" s="2" customFormat="1" ht="12.75">
      <c r="F232"/>
    </row>
    <row r="233" s="2" customFormat="1" ht="12.75">
      <c r="F233"/>
    </row>
    <row r="234" s="2" customFormat="1" ht="12.75">
      <c r="F234"/>
    </row>
    <row r="235" s="2" customFormat="1" ht="12.75">
      <c r="F235"/>
    </row>
    <row r="236" s="2" customFormat="1" ht="12.75">
      <c r="F236"/>
    </row>
    <row r="237" s="2" customFormat="1" ht="12.75">
      <c r="F237"/>
    </row>
    <row r="238" s="2" customFormat="1" ht="12.75">
      <c r="F238"/>
    </row>
    <row r="239" s="2" customFormat="1" ht="12.75">
      <c r="F239"/>
    </row>
    <row r="240" s="2" customFormat="1" ht="12.75">
      <c r="F240"/>
    </row>
    <row r="241" s="2" customFormat="1" ht="12.75">
      <c r="F241"/>
    </row>
    <row r="242" s="2" customFormat="1" ht="12.75">
      <c r="F242"/>
    </row>
    <row r="243" s="2" customFormat="1" ht="12.75">
      <c r="F243"/>
    </row>
    <row r="244" s="2" customFormat="1" ht="12.75">
      <c r="F244"/>
    </row>
    <row r="245" s="2" customFormat="1" ht="12.75">
      <c r="F245"/>
    </row>
    <row r="246" s="2" customFormat="1" ht="12.75">
      <c r="F246"/>
    </row>
    <row r="247" s="2" customFormat="1" ht="12.75">
      <c r="F247"/>
    </row>
    <row r="248" s="2" customFormat="1" ht="12.75">
      <c r="F248"/>
    </row>
    <row r="249" s="2" customFormat="1" ht="12.75">
      <c r="F249"/>
    </row>
    <row r="250" s="2" customFormat="1" ht="12.75">
      <c r="F250"/>
    </row>
    <row r="251" s="2" customFormat="1" ht="12.75">
      <c r="F251"/>
    </row>
    <row r="252" s="2" customFormat="1" ht="12.75">
      <c r="F252"/>
    </row>
    <row r="253" s="2" customFormat="1" ht="12.75">
      <c r="F253"/>
    </row>
    <row r="254" s="2" customFormat="1" ht="12.75">
      <c r="F254"/>
    </row>
    <row r="255" s="2" customFormat="1" ht="12.75">
      <c r="F255"/>
    </row>
    <row r="256" s="2" customFormat="1" ht="12.75">
      <c r="F256"/>
    </row>
    <row r="257" s="2" customFormat="1" ht="12.75">
      <c r="F257"/>
    </row>
    <row r="258" s="2" customFormat="1" ht="12.75">
      <c r="F258"/>
    </row>
    <row r="259" s="2" customFormat="1" ht="12.75">
      <c r="F259"/>
    </row>
    <row r="260" s="2" customFormat="1" ht="12.75">
      <c r="F260"/>
    </row>
    <row r="261" s="2" customFormat="1" ht="12.75">
      <c r="F261"/>
    </row>
    <row r="262" s="2" customFormat="1" ht="12.75">
      <c r="F262"/>
    </row>
    <row r="263" s="2" customFormat="1" ht="12.75">
      <c r="F263"/>
    </row>
    <row r="264" s="2" customFormat="1" ht="12.75">
      <c r="F264"/>
    </row>
    <row r="265" s="2" customFormat="1" ht="12.75">
      <c r="F265"/>
    </row>
    <row r="266" s="2" customFormat="1" ht="12.75">
      <c r="F266"/>
    </row>
    <row r="267" s="2" customFormat="1" ht="12.75">
      <c r="F267"/>
    </row>
    <row r="268" s="2" customFormat="1" ht="12.75">
      <c r="F268"/>
    </row>
    <row r="269" s="2" customFormat="1" ht="12.75">
      <c r="F269"/>
    </row>
    <row r="270" s="2" customFormat="1" ht="12.75">
      <c r="F270"/>
    </row>
    <row r="271" s="2" customFormat="1" ht="12.75">
      <c r="F271"/>
    </row>
    <row r="272" s="2" customFormat="1" ht="12.75">
      <c r="F272"/>
    </row>
    <row r="273" s="2" customFormat="1" ht="12.75">
      <c r="F273"/>
    </row>
    <row r="274" s="2" customFormat="1" ht="12.75">
      <c r="F274"/>
    </row>
    <row r="275" s="2" customFormat="1" ht="12.75">
      <c r="F275"/>
    </row>
    <row r="276" s="2" customFormat="1" ht="12.75">
      <c r="F276"/>
    </row>
    <row r="277" s="2" customFormat="1" ht="12.75">
      <c r="F277"/>
    </row>
    <row r="278" s="2" customFormat="1" ht="12.75">
      <c r="F278"/>
    </row>
    <row r="279" s="2" customFormat="1" ht="12.75">
      <c r="F279"/>
    </row>
    <row r="280" s="2" customFormat="1" ht="12.75">
      <c r="F280"/>
    </row>
    <row r="281" s="2" customFormat="1" ht="12.75">
      <c r="F281"/>
    </row>
    <row r="282" s="2" customFormat="1" ht="12.75">
      <c r="F282"/>
    </row>
    <row r="283" s="2" customFormat="1" ht="12.75">
      <c r="F283"/>
    </row>
    <row r="284" s="2" customFormat="1" ht="12.75">
      <c r="F284"/>
    </row>
    <row r="285" s="2" customFormat="1" ht="12.75">
      <c r="F285"/>
    </row>
    <row r="286" s="2" customFormat="1" ht="12.75">
      <c r="F286"/>
    </row>
    <row r="287" s="2" customFormat="1" ht="12.75">
      <c r="F287"/>
    </row>
    <row r="288" s="2" customFormat="1" ht="12.75">
      <c r="F288"/>
    </row>
    <row r="289" s="2" customFormat="1" ht="12.75">
      <c r="F289"/>
    </row>
    <row r="290" s="2" customFormat="1" ht="12.75">
      <c r="F290"/>
    </row>
    <row r="291" s="2" customFormat="1" ht="12.75">
      <c r="F291"/>
    </row>
    <row r="292" s="2" customFormat="1" ht="12.75">
      <c r="F292"/>
    </row>
    <row r="293" s="2" customFormat="1" ht="12.75">
      <c r="F293"/>
    </row>
    <row r="294" s="2" customFormat="1" ht="12.75">
      <c r="F294"/>
    </row>
    <row r="295" s="2" customFormat="1" ht="12.75">
      <c r="F295"/>
    </row>
    <row r="296" s="2" customFormat="1" ht="12.75">
      <c r="F296"/>
    </row>
    <row r="297" s="2" customFormat="1" ht="12.75">
      <c r="F297"/>
    </row>
    <row r="298" s="2" customFormat="1" ht="12.75">
      <c r="F298"/>
    </row>
    <row r="299" s="2" customFormat="1" ht="12.75">
      <c r="F299"/>
    </row>
    <row r="300" s="2" customFormat="1" ht="12.75">
      <c r="F300"/>
    </row>
    <row r="301" s="2" customFormat="1" ht="12.75">
      <c r="F301"/>
    </row>
    <row r="302" s="2" customFormat="1" ht="12.75">
      <c r="F302"/>
    </row>
    <row r="303" s="2" customFormat="1" ht="12.75">
      <c r="F303"/>
    </row>
    <row r="304" s="2" customFormat="1" ht="12.75">
      <c r="F304"/>
    </row>
    <row r="305" s="2" customFormat="1" ht="12.75">
      <c r="F305"/>
    </row>
    <row r="306" s="2" customFormat="1" ht="12.75">
      <c r="F306"/>
    </row>
    <row r="307" s="2" customFormat="1" ht="12.75">
      <c r="F307"/>
    </row>
    <row r="308" s="2" customFormat="1" ht="12.75">
      <c r="F308"/>
    </row>
    <row r="309" s="2" customFormat="1" ht="12.75">
      <c r="F309"/>
    </row>
    <row r="310" s="2" customFormat="1" ht="12.75">
      <c r="F310"/>
    </row>
    <row r="311" s="2" customFormat="1" ht="12.75">
      <c r="F311"/>
    </row>
    <row r="312" s="2" customFormat="1" ht="12.75">
      <c r="F312"/>
    </row>
    <row r="313" s="2" customFormat="1" ht="12.75">
      <c r="F313"/>
    </row>
    <row r="314" s="2" customFormat="1" ht="12.75">
      <c r="F314"/>
    </row>
    <row r="315" s="2" customFormat="1" ht="12.75">
      <c r="F315"/>
    </row>
    <row r="316" s="2" customFormat="1" ht="12.75">
      <c r="F316"/>
    </row>
    <row r="317" s="2" customFormat="1" ht="12.75">
      <c r="F317"/>
    </row>
    <row r="318" s="2" customFormat="1" ht="12.75">
      <c r="F318"/>
    </row>
    <row r="319" s="2" customFormat="1" ht="12.75">
      <c r="F319"/>
    </row>
    <row r="320" s="2" customFormat="1" ht="12.75">
      <c r="F320"/>
    </row>
    <row r="321" s="2" customFormat="1" ht="12.75">
      <c r="F321"/>
    </row>
    <row r="322" s="2" customFormat="1" ht="12.75">
      <c r="F322"/>
    </row>
    <row r="323" s="2" customFormat="1" ht="12.75">
      <c r="F323"/>
    </row>
    <row r="324" s="2" customFormat="1" ht="12.75">
      <c r="F324"/>
    </row>
    <row r="325" s="2" customFormat="1" ht="12.75">
      <c r="F325"/>
    </row>
    <row r="326" s="2" customFormat="1" ht="12.75">
      <c r="F326"/>
    </row>
    <row r="327" s="2" customFormat="1" ht="12.75">
      <c r="F327"/>
    </row>
    <row r="328" s="2" customFormat="1" ht="12.75">
      <c r="F328"/>
    </row>
    <row r="329" s="2" customFormat="1" ht="12.75">
      <c r="F329"/>
    </row>
    <row r="330" s="2" customFormat="1" ht="12.75">
      <c r="F330"/>
    </row>
    <row r="331" s="2" customFormat="1" ht="12.75">
      <c r="F331"/>
    </row>
    <row r="332" s="2" customFormat="1" ht="12.75">
      <c r="F332"/>
    </row>
    <row r="333" s="2" customFormat="1" ht="12.75">
      <c r="F333"/>
    </row>
    <row r="334" s="2" customFormat="1" ht="12.75">
      <c r="F334"/>
    </row>
    <row r="335" s="2" customFormat="1" ht="12.75">
      <c r="F335"/>
    </row>
    <row r="336" s="2" customFormat="1" ht="12.75">
      <c r="F336"/>
    </row>
    <row r="337" s="2" customFormat="1" ht="12.75">
      <c r="F337"/>
    </row>
    <row r="338" s="2" customFormat="1" ht="12.75">
      <c r="F338"/>
    </row>
    <row r="339" s="2" customFormat="1" ht="12.75">
      <c r="F339"/>
    </row>
    <row r="340" s="2" customFormat="1" ht="12.75">
      <c r="F340"/>
    </row>
    <row r="341" s="2" customFormat="1" ht="12.75">
      <c r="F341"/>
    </row>
    <row r="342" s="2" customFormat="1" ht="12.75">
      <c r="F342"/>
    </row>
    <row r="343" s="2" customFormat="1" ht="12.75">
      <c r="F343"/>
    </row>
    <row r="344" s="2" customFormat="1" ht="12.75">
      <c r="F344"/>
    </row>
    <row r="345" s="2" customFormat="1" ht="12.75">
      <c r="F345"/>
    </row>
    <row r="346" s="2" customFormat="1" ht="12.75">
      <c r="F346"/>
    </row>
    <row r="347" s="2" customFormat="1" ht="12.75">
      <c r="F347"/>
    </row>
    <row r="348" s="2" customFormat="1" ht="12.75">
      <c r="F348"/>
    </row>
    <row r="349" s="2" customFormat="1" ht="12.75">
      <c r="F349"/>
    </row>
    <row r="350" s="2" customFormat="1" ht="12.75">
      <c r="F350"/>
    </row>
    <row r="351" s="2" customFormat="1" ht="12.75">
      <c r="F351"/>
    </row>
    <row r="352" s="2" customFormat="1" ht="12.75">
      <c r="F352"/>
    </row>
    <row r="353" s="2" customFormat="1" ht="12.75">
      <c r="F353"/>
    </row>
    <row r="354" s="2" customFormat="1" ht="12.75">
      <c r="F354"/>
    </row>
    <row r="355" s="2" customFormat="1" ht="12.75">
      <c r="F355"/>
    </row>
    <row r="356" s="2" customFormat="1" ht="12.75">
      <c r="F356"/>
    </row>
    <row r="357" s="2" customFormat="1" ht="12.75">
      <c r="F357"/>
    </row>
    <row r="358" s="2" customFormat="1" ht="12.75">
      <c r="F358"/>
    </row>
    <row r="359" s="2" customFormat="1" ht="12.75">
      <c r="F359"/>
    </row>
    <row r="360" s="2" customFormat="1" ht="12.75">
      <c r="F360"/>
    </row>
    <row r="361" s="2" customFormat="1" ht="12.75">
      <c r="F361"/>
    </row>
    <row r="362" s="2" customFormat="1" ht="12.75">
      <c r="F362"/>
    </row>
    <row r="363" s="2" customFormat="1" ht="12.75">
      <c r="F363"/>
    </row>
    <row r="364" s="2" customFormat="1" ht="12.75">
      <c r="F364"/>
    </row>
    <row r="365" s="2" customFormat="1" ht="12.75">
      <c r="F365"/>
    </row>
    <row r="366" s="2" customFormat="1" ht="12.75">
      <c r="F366"/>
    </row>
    <row r="367" s="2" customFormat="1" ht="12.75">
      <c r="F367"/>
    </row>
    <row r="368" s="2" customFormat="1" ht="12.75">
      <c r="F368"/>
    </row>
    <row r="369" s="2" customFormat="1" ht="12.75">
      <c r="F369"/>
    </row>
    <row r="370" s="2" customFormat="1" ht="12.75">
      <c r="F370"/>
    </row>
    <row r="371" s="2" customFormat="1" ht="12.75">
      <c r="F371"/>
    </row>
    <row r="372" s="2" customFormat="1" ht="12.75">
      <c r="F372"/>
    </row>
    <row r="373" s="2" customFormat="1" ht="12.75">
      <c r="F373"/>
    </row>
    <row r="374" s="2" customFormat="1" ht="12.75">
      <c r="F374"/>
    </row>
    <row r="375" s="2" customFormat="1" ht="12.75">
      <c r="F375"/>
    </row>
    <row r="376" s="2" customFormat="1" ht="12.75">
      <c r="F376"/>
    </row>
    <row r="377" s="2" customFormat="1" ht="12.75">
      <c r="F377"/>
    </row>
    <row r="378" s="2" customFormat="1" ht="12.75">
      <c r="F378"/>
    </row>
    <row r="379" s="2" customFormat="1" ht="12.75">
      <c r="F379"/>
    </row>
    <row r="380" s="2" customFormat="1" ht="12.75">
      <c r="F380"/>
    </row>
    <row r="381" s="2" customFormat="1" ht="12.75">
      <c r="F381"/>
    </row>
    <row r="382" s="2" customFormat="1" ht="12.75">
      <c r="F382"/>
    </row>
    <row r="383" s="2" customFormat="1" ht="12.75">
      <c r="F383"/>
    </row>
    <row r="384" s="2" customFormat="1" ht="12.75">
      <c r="F384"/>
    </row>
    <row r="385" s="2" customFormat="1" ht="12.75">
      <c r="F385"/>
    </row>
    <row r="386" s="2" customFormat="1" ht="12.75">
      <c r="F386"/>
    </row>
    <row r="387" s="2" customFormat="1" ht="12.75">
      <c r="F387"/>
    </row>
    <row r="388" s="2" customFormat="1" ht="12.75">
      <c r="F388"/>
    </row>
    <row r="389" s="2" customFormat="1" ht="12.75">
      <c r="F389"/>
    </row>
    <row r="390" s="2" customFormat="1" ht="12.75">
      <c r="F390"/>
    </row>
    <row r="391" s="2" customFormat="1" ht="12.75">
      <c r="F391"/>
    </row>
    <row r="392" s="2" customFormat="1" ht="12.75">
      <c r="F392"/>
    </row>
    <row r="393" s="2" customFormat="1" ht="12.75">
      <c r="F393"/>
    </row>
    <row r="394" s="2" customFormat="1" ht="12.75">
      <c r="F394"/>
    </row>
    <row r="395" s="2" customFormat="1" ht="12.75">
      <c r="F395"/>
    </row>
    <row r="396" s="2" customFormat="1" ht="12.75">
      <c r="F396"/>
    </row>
    <row r="397" s="2" customFormat="1" ht="12.75">
      <c r="F397"/>
    </row>
    <row r="398" s="2" customFormat="1" ht="12.75">
      <c r="F398"/>
    </row>
    <row r="399" s="2" customFormat="1" ht="12.75">
      <c r="F399"/>
    </row>
    <row r="400" s="2" customFormat="1" ht="12.75">
      <c r="F400"/>
    </row>
    <row r="401" s="2" customFormat="1" ht="12.75">
      <c r="F401"/>
    </row>
    <row r="402" s="2" customFormat="1" ht="12.75">
      <c r="F402"/>
    </row>
    <row r="403" s="2" customFormat="1" ht="12.75">
      <c r="F403"/>
    </row>
    <row r="404" s="2" customFormat="1" ht="12.75">
      <c r="F404"/>
    </row>
    <row r="405" s="2" customFormat="1" ht="12.75">
      <c r="F405"/>
    </row>
    <row r="406" s="2" customFormat="1" ht="12.75">
      <c r="F406"/>
    </row>
    <row r="407" s="2" customFormat="1" ht="12.75">
      <c r="F407"/>
    </row>
    <row r="408" s="2" customFormat="1" ht="12.75">
      <c r="F408"/>
    </row>
    <row r="409" s="2" customFormat="1" ht="12.75">
      <c r="F409"/>
    </row>
    <row r="410" s="2" customFormat="1" ht="12.75">
      <c r="F410"/>
    </row>
    <row r="411" s="2" customFormat="1" ht="12.75">
      <c r="F411"/>
    </row>
    <row r="412" s="2" customFormat="1" ht="12.75">
      <c r="F412"/>
    </row>
    <row r="413" s="2" customFormat="1" ht="12.75">
      <c r="F413"/>
    </row>
    <row r="414" s="2" customFormat="1" ht="12.75">
      <c r="F414"/>
    </row>
    <row r="415" s="2" customFormat="1" ht="12.75">
      <c r="F415"/>
    </row>
    <row r="416" s="2" customFormat="1" ht="12.75">
      <c r="F416"/>
    </row>
    <row r="417" s="2" customFormat="1" ht="12.75">
      <c r="F417"/>
    </row>
    <row r="418" s="2" customFormat="1" ht="12.75">
      <c r="F418"/>
    </row>
    <row r="419" s="2" customFormat="1" ht="12.75">
      <c r="F419"/>
    </row>
    <row r="420" s="2" customFormat="1" ht="12.75">
      <c r="F420"/>
    </row>
    <row r="421" s="2" customFormat="1" ht="12.75">
      <c r="F421"/>
    </row>
    <row r="422" s="2" customFormat="1" ht="12.75">
      <c r="F422"/>
    </row>
    <row r="423" s="2" customFormat="1" ht="12.75">
      <c r="F423"/>
    </row>
    <row r="424" s="2" customFormat="1" ht="12.75">
      <c r="F424"/>
    </row>
    <row r="425" s="2" customFormat="1" ht="12.75">
      <c r="F425"/>
    </row>
    <row r="426" s="2" customFormat="1" ht="12.75">
      <c r="F426"/>
    </row>
    <row r="427" s="2" customFormat="1" ht="12.75">
      <c r="F427"/>
    </row>
    <row r="428" s="2" customFormat="1" ht="12.75">
      <c r="F428"/>
    </row>
    <row r="429" s="2" customFormat="1" ht="12.75">
      <c r="F429"/>
    </row>
    <row r="430" s="2" customFormat="1" ht="12.75">
      <c r="F430"/>
    </row>
    <row r="431" s="2" customFormat="1" ht="12.75">
      <c r="F431"/>
    </row>
    <row r="432" s="2" customFormat="1" ht="12.75">
      <c r="F432"/>
    </row>
    <row r="433" s="2" customFormat="1" ht="12.75">
      <c r="F433"/>
    </row>
    <row r="434" s="2" customFormat="1" ht="12.75">
      <c r="F434"/>
    </row>
    <row r="435" s="2" customFormat="1" ht="12.75">
      <c r="F435"/>
    </row>
    <row r="436" s="2" customFormat="1" ht="12.75">
      <c r="F436"/>
    </row>
    <row r="437" s="2" customFormat="1" ht="12.75">
      <c r="F437"/>
    </row>
    <row r="438" s="2" customFormat="1" ht="12.75">
      <c r="F438"/>
    </row>
    <row r="439" s="2" customFormat="1" ht="12.75">
      <c r="F439"/>
    </row>
    <row r="440" s="2" customFormat="1" ht="12.75">
      <c r="F440"/>
    </row>
    <row r="441" s="2" customFormat="1" ht="12.75">
      <c r="F441"/>
    </row>
    <row r="442" s="2" customFormat="1" ht="12.75">
      <c r="F442"/>
    </row>
    <row r="443" s="2" customFormat="1" ht="12.75">
      <c r="F443"/>
    </row>
    <row r="444" s="2" customFormat="1" ht="12.75">
      <c r="F444"/>
    </row>
    <row r="445" s="2" customFormat="1" ht="12.75">
      <c r="F445"/>
    </row>
    <row r="446" s="2" customFormat="1" ht="12.75">
      <c r="F446"/>
    </row>
    <row r="447" s="2" customFormat="1" ht="12.75">
      <c r="F447"/>
    </row>
    <row r="448" s="2" customFormat="1" ht="12.75">
      <c r="F448"/>
    </row>
    <row r="449" s="2" customFormat="1" ht="12.75">
      <c r="F449"/>
    </row>
    <row r="450" s="2" customFormat="1" ht="12.75">
      <c r="F450"/>
    </row>
    <row r="451" s="2" customFormat="1" ht="12.75">
      <c r="F451"/>
    </row>
    <row r="452" s="2" customFormat="1" ht="12.75">
      <c r="F452"/>
    </row>
    <row r="453" s="2" customFormat="1" ht="12.75">
      <c r="F453"/>
    </row>
    <row r="454" s="2" customFormat="1" ht="12.75">
      <c r="F454"/>
    </row>
    <row r="455" s="2" customFormat="1" ht="12.75">
      <c r="F455"/>
    </row>
    <row r="456" s="2" customFormat="1" ht="12.75">
      <c r="F456"/>
    </row>
    <row r="457" s="2" customFormat="1" ht="12.75">
      <c r="F457"/>
    </row>
    <row r="458" s="2" customFormat="1" ht="12.75">
      <c r="F458"/>
    </row>
    <row r="459" s="2" customFormat="1" ht="12.75">
      <c r="F459"/>
    </row>
    <row r="460" s="2" customFormat="1" ht="12.75">
      <c r="F460"/>
    </row>
    <row r="461" s="2" customFormat="1" ht="12.75">
      <c r="F461"/>
    </row>
    <row r="462" s="2" customFormat="1" ht="12.75">
      <c r="F462"/>
    </row>
    <row r="463" s="2" customFormat="1" ht="12.75">
      <c r="F463"/>
    </row>
    <row r="464" s="2" customFormat="1" ht="12.75">
      <c r="F464"/>
    </row>
    <row r="465" s="2" customFormat="1" ht="12.75">
      <c r="F465"/>
    </row>
    <row r="466" s="2" customFormat="1" ht="12.75">
      <c r="F466"/>
    </row>
    <row r="467" s="2" customFormat="1" ht="12.75">
      <c r="F467"/>
    </row>
    <row r="468" s="2" customFormat="1" ht="12.75">
      <c r="F468"/>
    </row>
    <row r="469" s="2" customFormat="1" ht="12.75">
      <c r="F469"/>
    </row>
    <row r="470" s="2" customFormat="1" ht="12.75">
      <c r="F470"/>
    </row>
    <row r="471" s="2" customFormat="1" ht="12.75">
      <c r="F471"/>
    </row>
    <row r="472" s="2" customFormat="1" ht="12.75">
      <c r="F472"/>
    </row>
    <row r="473" s="2" customFormat="1" ht="12.75">
      <c r="F473"/>
    </row>
    <row r="474" s="2" customFormat="1" ht="12.75">
      <c r="F474"/>
    </row>
    <row r="475" s="2" customFormat="1" ht="12.75">
      <c r="F475"/>
    </row>
    <row r="476" s="2" customFormat="1" ht="12.75">
      <c r="F476"/>
    </row>
    <row r="477" s="2" customFormat="1" ht="12.75">
      <c r="F477"/>
    </row>
    <row r="478" s="2" customFormat="1" ht="12.75">
      <c r="F478"/>
    </row>
    <row r="479" s="2" customFormat="1" ht="12.75">
      <c r="F479"/>
    </row>
    <row r="480" s="2" customFormat="1" ht="12.75">
      <c r="F480"/>
    </row>
    <row r="481" s="2" customFormat="1" ht="12.75">
      <c r="F481"/>
    </row>
    <row r="482" s="2" customFormat="1" ht="12.75">
      <c r="F482"/>
    </row>
    <row r="483" s="2" customFormat="1" ht="12.75">
      <c r="F483"/>
    </row>
    <row r="484" s="2" customFormat="1" ht="12.75">
      <c r="F484"/>
    </row>
    <row r="485" s="2" customFormat="1" ht="12.75">
      <c r="F485"/>
    </row>
    <row r="486" s="2" customFormat="1" ht="12.75">
      <c r="F486"/>
    </row>
    <row r="487" s="2" customFormat="1" ht="12.75">
      <c r="F487"/>
    </row>
    <row r="488" s="2" customFormat="1" ht="12.75">
      <c r="F488"/>
    </row>
    <row r="489" s="2" customFormat="1" ht="12.75">
      <c r="F489"/>
    </row>
    <row r="490" s="2" customFormat="1" ht="12.75">
      <c r="F490"/>
    </row>
    <row r="491" s="2" customFormat="1" ht="12.75">
      <c r="F491"/>
    </row>
    <row r="492" s="2" customFormat="1" ht="12.75">
      <c r="F492"/>
    </row>
    <row r="493" s="2" customFormat="1" ht="12.75">
      <c r="F493"/>
    </row>
    <row r="494" s="2" customFormat="1" ht="12.75">
      <c r="F494"/>
    </row>
    <row r="495" s="2" customFormat="1" ht="12.75">
      <c r="F495"/>
    </row>
    <row r="496" s="2" customFormat="1" ht="12.75">
      <c r="F496"/>
    </row>
    <row r="497" s="2" customFormat="1" ht="12.75">
      <c r="F497"/>
    </row>
    <row r="498" s="2" customFormat="1" ht="12.75">
      <c r="F498"/>
    </row>
    <row r="499" s="2" customFormat="1" ht="12.75">
      <c r="F499"/>
    </row>
    <row r="500" s="2" customFormat="1" ht="12.75">
      <c r="F500"/>
    </row>
    <row r="501" s="2" customFormat="1" ht="12.75">
      <c r="F501"/>
    </row>
    <row r="502" s="2" customFormat="1" ht="12.75">
      <c r="F502"/>
    </row>
    <row r="503" s="2" customFormat="1" ht="12.75">
      <c r="F503"/>
    </row>
    <row r="504" s="2" customFormat="1" ht="12.75">
      <c r="F504"/>
    </row>
    <row r="505" s="2" customFormat="1" ht="12.75">
      <c r="F505"/>
    </row>
    <row r="506" s="2" customFormat="1" ht="12.75">
      <c r="F506"/>
    </row>
    <row r="507" s="2" customFormat="1" ht="12.75">
      <c r="F507"/>
    </row>
    <row r="508" s="2" customFormat="1" ht="12.75">
      <c r="F508"/>
    </row>
    <row r="509" s="2" customFormat="1" ht="12.75">
      <c r="F509"/>
    </row>
    <row r="510" s="2" customFormat="1" ht="12.75">
      <c r="F510"/>
    </row>
    <row r="511" s="2" customFormat="1" ht="12.75">
      <c r="F511"/>
    </row>
    <row r="512" s="2" customFormat="1" ht="12.75">
      <c r="F512"/>
    </row>
    <row r="513" s="2" customFormat="1" ht="12.75">
      <c r="F513"/>
    </row>
    <row r="514" s="2" customFormat="1" ht="12.75">
      <c r="F514"/>
    </row>
    <row r="515" s="2" customFormat="1" ht="12.75">
      <c r="F515"/>
    </row>
    <row r="516" s="2" customFormat="1" ht="12.75">
      <c r="F516"/>
    </row>
    <row r="517" s="2" customFormat="1" ht="12.75">
      <c r="F517"/>
    </row>
    <row r="518" s="2" customFormat="1" ht="12.75">
      <c r="F518"/>
    </row>
    <row r="519" s="2" customFormat="1" ht="12.75">
      <c r="F519"/>
    </row>
    <row r="520" s="2" customFormat="1" ht="12.75">
      <c r="F520"/>
    </row>
    <row r="521" s="2" customFormat="1" ht="12.75">
      <c r="F521"/>
    </row>
    <row r="522" s="2" customFormat="1" ht="12.75">
      <c r="F522"/>
    </row>
    <row r="523" s="2" customFormat="1" ht="12.75">
      <c r="F523"/>
    </row>
    <row r="524" s="2" customFormat="1" ht="12.75">
      <c r="F524"/>
    </row>
    <row r="525" s="2" customFormat="1" ht="12.75">
      <c r="F525"/>
    </row>
    <row r="526" s="2" customFormat="1" ht="12.75">
      <c r="F526"/>
    </row>
    <row r="527" s="2" customFormat="1" ht="12.75">
      <c r="F527"/>
    </row>
    <row r="528" s="2" customFormat="1" ht="12.75">
      <c r="F528"/>
    </row>
    <row r="529" s="2" customFormat="1" ht="12.75">
      <c r="F529"/>
    </row>
    <row r="530" s="2" customFormat="1" ht="12.75">
      <c r="F530"/>
    </row>
    <row r="531" s="2" customFormat="1" ht="12.75">
      <c r="F531"/>
    </row>
    <row r="532" s="2" customFormat="1" ht="12.75">
      <c r="F532"/>
    </row>
    <row r="533" s="2" customFormat="1" ht="12.75">
      <c r="F533"/>
    </row>
    <row r="534" s="2" customFormat="1" ht="12.75">
      <c r="F534"/>
    </row>
    <row r="535" s="2" customFormat="1" ht="12.75">
      <c r="F535"/>
    </row>
    <row r="536" s="2" customFormat="1" ht="12.75">
      <c r="F536"/>
    </row>
    <row r="537" s="2" customFormat="1" ht="12.75">
      <c r="F537"/>
    </row>
    <row r="538" s="2" customFormat="1" ht="12.75">
      <c r="F538"/>
    </row>
    <row r="539" s="2" customFormat="1" ht="12.75">
      <c r="F539"/>
    </row>
    <row r="540" s="2" customFormat="1" ht="12.75">
      <c r="F540"/>
    </row>
    <row r="541" s="2" customFormat="1" ht="12.75">
      <c r="F541"/>
    </row>
    <row r="542" s="2" customFormat="1" ht="12.75">
      <c r="F542"/>
    </row>
    <row r="543" s="2" customFormat="1" ht="12.75">
      <c r="F543"/>
    </row>
    <row r="544" s="2" customFormat="1" ht="12.75">
      <c r="F544"/>
    </row>
    <row r="545" s="2" customFormat="1" ht="12.75">
      <c r="F545"/>
    </row>
    <row r="546" s="2" customFormat="1" ht="12.75">
      <c r="F546"/>
    </row>
    <row r="547" s="2" customFormat="1" ht="12.75">
      <c r="F547"/>
    </row>
    <row r="548" s="2" customFormat="1" ht="12.75">
      <c r="F548"/>
    </row>
    <row r="549" s="2" customFormat="1" ht="12.75">
      <c r="F549"/>
    </row>
    <row r="550" s="2" customFormat="1" ht="12.75">
      <c r="F550"/>
    </row>
    <row r="551" s="2" customFormat="1" ht="12.75">
      <c r="F551"/>
    </row>
    <row r="552" s="2" customFormat="1" ht="12.75">
      <c r="F552"/>
    </row>
    <row r="553" s="2" customFormat="1" ht="12.75">
      <c r="F553"/>
    </row>
    <row r="554" s="2" customFormat="1" ht="12.75">
      <c r="F554"/>
    </row>
    <row r="555" s="2" customFormat="1" ht="12.75">
      <c r="F555"/>
    </row>
    <row r="556" s="2" customFormat="1" ht="12.75">
      <c r="F556"/>
    </row>
    <row r="557" s="2" customFormat="1" ht="12.75">
      <c r="F557"/>
    </row>
    <row r="558" s="2" customFormat="1" ht="12.75">
      <c r="F558"/>
    </row>
    <row r="559" s="2" customFormat="1" ht="12.75">
      <c r="F559"/>
    </row>
    <row r="560" s="2" customFormat="1" ht="12.75">
      <c r="F560"/>
    </row>
    <row r="561" s="2" customFormat="1" ht="12.75">
      <c r="F561"/>
    </row>
    <row r="562" s="2" customFormat="1" ht="12.75">
      <c r="F562"/>
    </row>
    <row r="563" s="2" customFormat="1" ht="12.75">
      <c r="F563"/>
    </row>
    <row r="564" s="2" customFormat="1" ht="12.75">
      <c r="F564"/>
    </row>
    <row r="565" s="2" customFormat="1" ht="12.75">
      <c r="F565"/>
    </row>
    <row r="566" s="2" customFormat="1" ht="12.75">
      <c r="F566"/>
    </row>
    <row r="567" s="2" customFormat="1" ht="12.75">
      <c r="F567"/>
    </row>
    <row r="568" s="2" customFormat="1" ht="12.75">
      <c r="F568"/>
    </row>
    <row r="569" s="2" customFormat="1" ht="12.75">
      <c r="F569"/>
    </row>
    <row r="570" s="2" customFormat="1" ht="12.75">
      <c r="F570"/>
    </row>
    <row r="571" s="2" customFormat="1" ht="12.75">
      <c r="F571"/>
    </row>
    <row r="572" s="2" customFormat="1" ht="12.75">
      <c r="F572"/>
    </row>
    <row r="573" s="2" customFormat="1" ht="12.75">
      <c r="F573"/>
    </row>
    <row r="574" s="2" customFormat="1" ht="12.75">
      <c r="F574"/>
    </row>
    <row r="575" s="2" customFormat="1" ht="12.75">
      <c r="F575"/>
    </row>
    <row r="576" s="2" customFormat="1" ht="12.75">
      <c r="F576"/>
    </row>
    <row r="577" s="2" customFormat="1" ht="12.75">
      <c r="F577"/>
    </row>
    <row r="578" s="2" customFormat="1" ht="12.75">
      <c r="F578"/>
    </row>
    <row r="579" s="2" customFormat="1" ht="12.75">
      <c r="F579"/>
    </row>
    <row r="580" s="2" customFormat="1" ht="12.75">
      <c r="F580"/>
    </row>
    <row r="581" s="2" customFormat="1" ht="12.75">
      <c r="F581"/>
    </row>
    <row r="582" s="2" customFormat="1" ht="12.75">
      <c r="F582"/>
    </row>
    <row r="583" s="2" customFormat="1" ht="12.75">
      <c r="F583"/>
    </row>
    <row r="584" s="2" customFormat="1" ht="12.75">
      <c r="F584"/>
    </row>
    <row r="585" s="2" customFormat="1" ht="12.75">
      <c r="F585"/>
    </row>
    <row r="586" s="2" customFormat="1" ht="12.75">
      <c r="F586"/>
    </row>
    <row r="587" s="2" customFormat="1" ht="12.75">
      <c r="F587"/>
    </row>
    <row r="588" s="2" customFormat="1" ht="12.75">
      <c r="F588"/>
    </row>
    <row r="589" s="2" customFormat="1" ht="12.75">
      <c r="F589"/>
    </row>
    <row r="590" s="2" customFormat="1" ht="12.75">
      <c r="F590"/>
    </row>
    <row r="591" s="2" customFormat="1" ht="12.75">
      <c r="F591"/>
    </row>
    <row r="592" s="2" customFormat="1" ht="12.75">
      <c r="F592"/>
    </row>
    <row r="593" s="2" customFormat="1" ht="12.75">
      <c r="F593"/>
    </row>
    <row r="594" s="2" customFormat="1" ht="12.75">
      <c r="F594"/>
    </row>
    <row r="595" s="2" customFormat="1" ht="12.75">
      <c r="F595"/>
    </row>
    <row r="596" s="2" customFormat="1" ht="12.75">
      <c r="F596"/>
    </row>
    <row r="597" s="2" customFormat="1" ht="12.75">
      <c r="F597"/>
    </row>
    <row r="598" s="2" customFormat="1" ht="12.75">
      <c r="F598"/>
    </row>
    <row r="599" s="2" customFormat="1" ht="12.75">
      <c r="F599"/>
    </row>
    <row r="600" s="2" customFormat="1" ht="12.75">
      <c r="F600"/>
    </row>
    <row r="601" s="2" customFormat="1" ht="12.75">
      <c r="F601"/>
    </row>
    <row r="602" s="2" customFormat="1" ht="12.75">
      <c r="F602"/>
    </row>
    <row r="603" s="2" customFormat="1" ht="12.75">
      <c r="F603"/>
    </row>
    <row r="604" s="2" customFormat="1" ht="12.75">
      <c r="F604"/>
    </row>
    <row r="605" s="2" customFormat="1" ht="12.75">
      <c r="F605"/>
    </row>
    <row r="606" s="2" customFormat="1" ht="12.75">
      <c r="F606"/>
    </row>
    <row r="607" s="2" customFormat="1" ht="12.75">
      <c r="F607"/>
    </row>
    <row r="608" s="2" customFormat="1" ht="12.75">
      <c r="F608"/>
    </row>
    <row r="609" s="2" customFormat="1" ht="12.75">
      <c r="F609"/>
    </row>
    <row r="610" s="2" customFormat="1" ht="12.75">
      <c r="F610"/>
    </row>
    <row r="611" s="2" customFormat="1" ht="12.75">
      <c r="F611"/>
    </row>
    <row r="612" s="2" customFormat="1" ht="12.75">
      <c r="F612"/>
    </row>
    <row r="613" s="2" customFormat="1" ht="12.75">
      <c r="F613"/>
    </row>
    <row r="614" s="2" customFormat="1" ht="12.75">
      <c r="F614"/>
    </row>
    <row r="615" s="2" customFormat="1" ht="12.75">
      <c r="F615"/>
    </row>
    <row r="616" s="2" customFormat="1" ht="12.75">
      <c r="F616"/>
    </row>
    <row r="617" s="2" customFormat="1" ht="12.75">
      <c r="F617"/>
    </row>
    <row r="618" s="2" customFormat="1" ht="12.75">
      <c r="F618"/>
    </row>
    <row r="619" s="2" customFormat="1" ht="12.75">
      <c r="F619"/>
    </row>
    <row r="620" s="2" customFormat="1" ht="12.75">
      <c r="F620"/>
    </row>
    <row r="621" s="2" customFormat="1" ht="12.75">
      <c r="F621"/>
    </row>
    <row r="622" s="2" customFormat="1" ht="12.75">
      <c r="F622"/>
    </row>
    <row r="623" s="2" customFormat="1" ht="12.75">
      <c r="F623"/>
    </row>
    <row r="624" s="2" customFormat="1" ht="12.75">
      <c r="F624"/>
    </row>
    <row r="625" s="2" customFormat="1" ht="12.75">
      <c r="F625"/>
    </row>
    <row r="626" s="2" customFormat="1" ht="12.75">
      <c r="F626"/>
    </row>
    <row r="627" s="2" customFormat="1" ht="12.75">
      <c r="F627"/>
    </row>
    <row r="628" s="2" customFormat="1" ht="12.75">
      <c r="F628"/>
    </row>
    <row r="629" s="2" customFormat="1" ht="12.75">
      <c r="F629"/>
    </row>
    <row r="630" s="2" customFormat="1" ht="12.75">
      <c r="F630"/>
    </row>
    <row r="631" s="2" customFormat="1" ht="12.75">
      <c r="F631"/>
    </row>
    <row r="632" s="2" customFormat="1" ht="12.75">
      <c r="F632"/>
    </row>
    <row r="633" s="2" customFormat="1" ht="12.75">
      <c r="F633"/>
    </row>
    <row r="634" s="2" customFormat="1" ht="12.75">
      <c r="F634"/>
    </row>
    <row r="635" s="2" customFormat="1" ht="12.75">
      <c r="F635"/>
    </row>
    <row r="636" s="2" customFormat="1" ht="12.75">
      <c r="F636"/>
    </row>
    <row r="637" s="2" customFormat="1" ht="12.75">
      <c r="F637"/>
    </row>
    <row r="638" s="2" customFormat="1" ht="12.75">
      <c r="F638"/>
    </row>
    <row r="639" s="2" customFormat="1" ht="12.75">
      <c r="F639"/>
    </row>
    <row r="640" s="2" customFormat="1" ht="12.75">
      <c r="F640"/>
    </row>
    <row r="641" s="2" customFormat="1" ht="12.75">
      <c r="F641"/>
    </row>
    <row r="642" s="2" customFormat="1" ht="12.75">
      <c r="F642"/>
    </row>
    <row r="643" s="2" customFormat="1" ht="12.75">
      <c r="F643"/>
    </row>
    <row r="644" s="2" customFormat="1" ht="12.75">
      <c r="F644"/>
    </row>
    <row r="645" s="2" customFormat="1" ht="12.75">
      <c r="F645"/>
    </row>
    <row r="646" s="2" customFormat="1" ht="12.75">
      <c r="F646"/>
    </row>
    <row r="647" s="2" customFormat="1" ht="12.75">
      <c r="F647"/>
    </row>
    <row r="648" s="2" customFormat="1" ht="12.75">
      <c r="F648"/>
    </row>
    <row r="649" s="2" customFormat="1" ht="12.75">
      <c r="F649"/>
    </row>
    <row r="650" s="2" customFormat="1" ht="12.75">
      <c r="F650"/>
    </row>
    <row r="651" s="2" customFormat="1" ht="12.75">
      <c r="F651"/>
    </row>
    <row r="652" s="2" customFormat="1" ht="12.75">
      <c r="F652"/>
    </row>
    <row r="653" s="2" customFormat="1" ht="12.75">
      <c r="F653"/>
    </row>
    <row r="654" s="2" customFormat="1" ht="12.75">
      <c r="F654"/>
    </row>
    <row r="655" s="2" customFormat="1" ht="12.75">
      <c r="F655"/>
    </row>
    <row r="656" s="2" customFormat="1" ht="12.75">
      <c r="F656"/>
    </row>
    <row r="657" s="2" customFormat="1" ht="12.75">
      <c r="F657"/>
    </row>
    <row r="658" s="2" customFormat="1" ht="12.75">
      <c r="F658"/>
    </row>
    <row r="659" s="2" customFormat="1" ht="12.75">
      <c r="F659"/>
    </row>
    <row r="660" s="2" customFormat="1" ht="12.75">
      <c r="F660"/>
    </row>
    <row r="661" s="2" customFormat="1" ht="12.75">
      <c r="F661"/>
    </row>
    <row r="662" s="2" customFormat="1" ht="12.75">
      <c r="F662"/>
    </row>
    <row r="663" s="2" customFormat="1" ht="12.75">
      <c r="F663"/>
    </row>
    <row r="664" s="2" customFormat="1" ht="12.75">
      <c r="F664"/>
    </row>
    <row r="665" s="2" customFormat="1" ht="12.75">
      <c r="F665"/>
    </row>
    <row r="666" s="2" customFormat="1" ht="12.75">
      <c r="F666"/>
    </row>
    <row r="667" s="2" customFormat="1" ht="12.75">
      <c r="F667"/>
    </row>
    <row r="668" s="2" customFormat="1" ht="12.75">
      <c r="F668"/>
    </row>
    <row r="669" s="2" customFormat="1" ht="12.75">
      <c r="F669"/>
    </row>
    <row r="670" s="2" customFormat="1" ht="12.75">
      <c r="F670"/>
    </row>
    <row r="671" s="2" customFormat="1" ht="12.75">
      <c r="F671"/>
    </row>
    <row r="672" s="2" customFormat="1" ht="12.75">
      <c r="F672"/>
    </row>
    <row r="673" s="2" customFormat="1" ht="12.75">
      <c r="F673"/>
    </row>
    <row r="674" s="2" customFormat="1" ht="12.75">
      <c r="F674"/>
    </row>
    <row r="675" s="2" customFormat="1" ht="12.75">
      <c r="F675"/>
    </row>
    <row r="676" s="2" customFormat="1" ht="12.75">
      <c r="F676"/>
    </row>
    <row r="677" s="2" customFormat="1" ht="12.75">
      <c r="F677"/>
    </row>
    <row r="678" s="2" customFormat="1" ht="12.75">
      <c r="F678"/>
    </row>
    <row r="679" s="2" customFormat="1" ht="12.75">
      <c r="F679"/>
    </row>
    <row r="680" s="2" customFormat="1" ht="12.75">
      <c r="F680"/>
    </row>
    <row r="681" s="2" customFormat="1" ht="12.75">
      <c r="F681"/>
    </row>
    <row r="682" s="2" customFormat="1" ht="12.75">
      <c r="F682"/>
    </row>
    <row r="683" s="2" customFormat="1" ht="12.75">
      <c r="F683"/>
    </row>
    <row r="684" s="2" customFormat="1" ht="12.75">
      <c r="F684"/>
    </row>
    <row r="685" s="2" customFormat="1" ht="12.75">
      <c r="F685"/>
    </row>
    <row r="686" s="2" customFormat="1" ht="12.75">
      <c r="F686"/>
    </row>
    <row r="687" s="2" customFormat="1" ht="12.75">
      <c r="F687"/>
    </row>
    <row r="688" s="2" customFormat="1" ht="12.75">
      <c r="F688"/>
    </row>
    <row r="689" s="2" customFormat="1" ht="12.75">
      <c r="F689"/>
    </row>
    <row r="690" s="2" customFormat="1" ht="12.75">
      <c r="F690"/>
    </row>
    <row r="691" s="2" customFormat="1" ht="12.75">
      <c r="F691"/>
    </row>
    <row r="692" s="2" customFormat="1" ht="12.75">
      <c r="F692"/>
    </row>
    <row r="693" s="2" customFormat="1" ht="12.75">
      <c r="F693"/>
    </row>
    <row r="694" s="2" customFormat="1" ht="12.75">
      <c r="F694"/>
    </row>
    <row r="695" s="2" customFormat="1" ht="12.75">
      <c r="F695"/>
    </row>
    <row r="696" s="2" customFormat="1" ht="12.75">
      <c r="F696"/>
    </row>
    <row r="697" s="2" customFormat="1" ht="12.75">
      <c r="F697"/>
    </row>
    <row r="698" s="2" customFormat="1" ht="12.75">
      <c r="F698"/>
    </row>
    <row r="699" s="2" customFormat="1" ht="12.75">
      <c r="F699"/>
    </row>
    <row r="700" s="2" customFormat="1" ht="12.75">
      <c r="F700"/>
    </row>
    <row r="701" s="2" customFormat="1" ht="12.75">
      <c r="F701"/>
    </row>
    <row r="702" s="2" customFormat="1" ht="12.75">
      <c r="F702"/>
    </row>
    <row r="703" s="2" customFormat="1" ht="12.75">
      <c r="F703"/>
    </row>
    <row r="704" s="2" customFormat="1" ht="12.75">
      <c r="F704"/>
    </row>
    <row r="705" s="2" customFormat="1" ht="12.75">
      <c r="F705"/>
    </row>
    <row r="706" s="2" customFormat="1" ht="12.75">
      <c r="F706"/>
    </row>
    <row r="707" s="2" customFormat="1" ht="12.75">
      <c r="F707"/>
    </row>
    <row r="708" s="2" customFormat="1" ht="12.75">
      <c r="F708"/>
    </row>
    <row r="709" s="2" customFormat="1" ht="12.75">
      <c r="F709"/>
    </row>
    <row r="710" s="2" customFormat="1" ht="12.75">
      <c r="F710"/>
    </row>
    <row r="711" s="2" customFormat="1" ht="12.75">
      <c r="F711"/>
    </row>
    <row r="712" s="2" customFormat="1" ht="12.75">
      <c r="F712"/>
    </row>
    <row r="713" s="2" customFormat="1" ht="12.75">
      <c r="F713"/>
    </row>
    <row r="714" s="2" customFormat="1" ht="12.75">
      <c r="F714"/>
    </row>
    <row r="715" s="2" customFormat="1" ht="12.75">
      <c r="F715"/>
    </row>
    <row r="716" s="2" customFormat="1" ht="12.75">
      <c r="F716"/>
    </row>
    <row r="717" s="2" customFormat="1" ht="12.75">
      <c r="F717"/>
    </row>
    <row r="718" s="2" customFormat="1" ht="12.75">
      <c r="F718"/>
    </row>
    <row r="719" s="2" customFormat="1" ht="12.75">
      <c r="F719"/>
    </row>
    <row r="720" s="2" customFormat="1" ht="12.75">
      <c r="F720"/>
    </row>
    <row r="721" s="2" customFormat="1" ht="12.75">
      <c r="F721"/>
    </row>
    <row r="722" s="2" customFormat="1" ht="12.75">
      <c r="F722"/>
    </row>
    <row r="723" s="2" customFormat="1" ht="12.75">
      <c r="F723"/>
    </row>
    <row r="724" s="2" customFormat="1" ht="12.75">
      <c r="F724"/>
    </row>
    <row r="725" s="2" customFormat="1" ht="12.75">
      <c r="F725"/>
    </row>
    <row r="726" s="2" customFormat="1" ht="12.75">
      <c r="F726"/>
    </row>
    <row r="727" s="2" customFormat="1" ht="12.75">
      <c r="F727"/>
    </row>
    <row r="728" s="2" customFormat="1" ht="12.75">
      <c r="F728"/>
    </row>
    <row r="729" s="2" customFormat="1" ht="12.75">
      <c r="F729"/>
    </row>
    <row r="730" s="2" customFormat="1" ht="12.75">
      <c r="F730"/>
    </row>
    <row r="731" s="2" customFormat="1" ht="12.75">
      <c r="F731"/>
    </row>
    <row r="732" s="2" customFormat="1" ht="12.75">
      <c r="F732"/>
    </row>
    <row r="733" s="2" customFormat="1" ht="12.75">
      <c r="F733"/>
    </row>
    <row r="734" s="2" customFormat="1" ht="12.75">
      <c r="F734"/>
    </row>
    <row r="735" s="2" customFormat="1" ht="12.75">
      <c r="F735"/>
    </row>
    <row r="736" s="2" customFormat="1" ht="12.75">
      <c r="F736"/>
    </row>
    <row r="737" s="2" customFormat="1" ht="12.75">
      <c r="F737"/>
    </row>
    <row r="738" s="2" customFormat="1" ht="12.75">
      <c r="F738"/>
    </row>
    <row r="739" s="2" customFormat="1" ht="12.75">
      <c r="F739"/>
    </row>
    <row r="740" s="2" customFormat="1" ht="12.75">
      <c r="F740"/>
    </row>
    <row r="741" s="2" customFormat="1" ht="12.75">
      <c r="F741"/>
    </row>
    <row r="742" s="2" customFormat="1" ht="12.75">
      <c r="F742"/>
    </row>
    <row r="743" s="2" customFormat="1" ht="12.75">
      <c r="F743"/>
    </row>
    <row r="744" s="2" customFormat="1" ht="12.75">
      <c r="F744"/>
    </row>
    <row r="745" s="2" customFormat="1" ht="12.75">
      <c r="F745"/>
    </row>
    <row r="746" s="2" customFormat="1" ht="12.75">
      <c r="F746"/>
    </row>
    <row r="747" s="2" customFormat="1" ht="12.75">
      <c r="F747"/>
    </row>
    <row r="748" s="2" customFormat="1" ht="12.75">
      <c r="F748"/>
    </row>
    <row r="749" s="2" customFormat="1" ht="12.75">
      <c r="F749"/>
    </row>
    <row r="750" s="2" customFormat="1" ht="12.75">
      <c r="F750"/>
    </row>
    <row r="751" s="2" customFormat="1" ht="12.75">
      <c r="F751"/>
    </row>
    <row r="752" s="2" customFormat="1" ht="12.75">
      <c r="F752"/>
    </row>
    <row r="753" s="2" customFormat="1" ht="12.75">
      <c r="F753"/>
    </row>
    <row r="754" s="2" customFormat="1" ht="12.75">
      <c r="F754"/>
    </row>
    <row r="755" s="2" customFormat="1" ht="12.75">
      <c r="F755"/>
    </row>
    <row r="756" s="2" customFormat="1" ht="12.75">
      <c r="F756"/>
    </row>
    <row r="757" s="2" customFormat="1" ht="12.75">
      <c r="F757"/>
    </row>
    <row r="758" s="2" customFormat="1" ht="12.75">
      <c r="F758"/>
    </row>
    <row r="759" s="2" customFormat="1" ht="12.75">
      <c r="F759"/>
    </row>
    <row r="760" s="2" customFormat="1" ht="12.75">
      <c r="F760"/>
    </row>
    <row r="761" s="2" customFormat="1" ht="12.75">
      <c r="F761"/>
    </row>
    <row r="762" s="2" customFormat="1" ht="12.75">
      <c r="F762"/>
    </row>
    <row r="763" s="2" customFormat="1" ht="12.75">
      <c r="F763"/>
    </row>
    <row r="764" s="2" customFormat="1" ht="12.75">
      <c r="F764"/>
    </row>
    <row r="765" s="2" customFormat="1" ht="12.75">
      <c r="F765"/>
    </row>
    <row r="766" s="2" customFormat="1" ht="12.75">
      <c r="F766"/>
    </row>
    <row r="767" s="2" customFormat="1" ht="12.75">
      <c r="F767"/>
    </row>
    <row r="768" s="2" customFormat="1" ht="12.75">
      <c r="F768"/>
    </row>
    <row r="769" s="2" customFormat="1" ht="12.75">
      <c r="F769"/>
    </row>
    <row r="770" s="2" customFormat="1" ht="12.75">
      <c r="F770"/>
    </row>
    <row r="771" s="2" customFormat="1" ht="12.75">
      <c r="F771"/>
    </row>
    <row r="772" s="2" customFormat="1" ht="12.75">
      <c r="F772"/>
    </row>
    <row r="773" s="2" customFormat="1" ht="12.75">
      <c r="F773"/>
    </row>
    <row r="774" s="2" customFormat="1" ht="12.75">
      <c r="F774"/>
    </row>
    <row r="775" s="2" customFormat="1" ht="12.75">
      <c r="F775"/>
    </row>
    <row r="776" s="2" customFormat="1" ht="12.75">
      <c r="F776"/>
    </row>
    <row r="777" s="2" customFormat="1" ht="12.75">
      <c r="F777"/>
    </row>
    <row r="778" s="2" customFormat="1" ht="12.75">
      <c r="F778"/>
    </row>
    <row r="779" s="2" customFormat="1" ht="12.75">
      <c r="F779"/>
    </row>
    <row r="780" s="2" customFormat="1" ht="12.75">
      <c r="F780"/>
    </row>
    <row r="781" s="2" customFormat="1" ht="12.75">
      <c r="F781"/>
    </row>
    <row r="782" s="2" customFormat="1" ht="12.75">
      <c r="F782"/>
    </row>
    <row r="783" s="2" customFormat="1" ht="12.75">
      <c r="F783"/>
    </row>
    <row r="784" s="2" customFormat="1" ht="12.75">
      <c r="F784"/>
    </row>
    <row r="785" s="2" customFormat="1" ht="12.75">
      <c r="F785"/>
    </row>
    <row r="786" s="2" customFormat="1" ht="12.75">
      <c r="F786"/>
    </row>
    <row r="787" s="2" customFormat="1" ht="12.75">
      <c r="F787"/>
    </row>
    <row r="788" s="2" customFormat="1" ht="12.75">
      <c r="F788"/>
    </row>
    <row r="789" s="2" customFormat="1" ht="12.75">
      <c r="F789"/>
    </row>
    <row r="790" s="2" customFormat="1" ht="12.75">
      <c r="F790"/>
    </row>
    <row r="791" s="2" customFormat="1" ht="12.75">
      <c r="F791"/>
    </row>
    <row r="792" s="2" customFormat="1" ht="12.75">
      <c r="F792"/>
    </row>
    <row r="793" s="2" customFormat="1" ht="12.75">
      <c r="F793"/>
    </row>
    <row r="794" s="2" customFormat="1" ht="12.75">
      <c r="F794"/>
    </row>
    <row r="795" s="2" customFormat="1" ht="12.75">
      <c r="F795"/>
    </row>
    <row r="796" s="2" customFormat="1" ht="12.75">
      <c r="F796"/>
    </row>
    <row r="797" s="2" customFormat="1" ht="12.75">
      <c r="F797"/>
    </row>
    <row r="798" s="2" customFormat="1" ht="12.75">
      <c r="F798"/>
    </row>
    <row r="799" s="2" customFormat="1" ht="12.75">
      <c r="F799"/>
    </row>
    <row r="800" s="2" customFormat="1" ht="12.75">
      <c r="F800"/>
    </row>
    <row r="801" s="2" customFormat="1" ht="12.75">
      <c r="F801"/>
    </row>
    <row r="802" s="2" customFormat="1" ht="12.75">
      <c r="F802"/>
    </row>
    <row r="803" s="2" customFormat="1" ht="12.75">
      <c r="F803"/>
    </row>
    <row r="804" s="2" customFormat="1" ht="12.75">
      <c r="F804"/>
    </row>
    <row r="805" s="2" customFormat="1" ht="12.75">
      <c r="F805"/>
    </row>
    <row r="806" s="2" customFormat="1" ht="12.75">
      <c r="F806"/>
    </row>
    <row r="807" s="2" customFormat="1" ht="12.75">
      <c r="F807"/>
    </row>
    <row r="808" s="2" customFormat="1" ht="12.75">
      <c r="F808"/>
    </row>
    <row r="809" s="2" customFormat="1" ht="12.75">
      <c r="F809"/>
    </row>
    <row r="810" s="2" customFormat="1" ht="12.75">
      <c r="F810"/>
    </row>
    <row r="811" s="2" customFormat="1" ht="12.75">
      <c r="F811"/>
    </row>
    <row r="812" s="2" customFormat="1" ht="12.75">
      <c r="F812"/>
    </row>
    <row r="813" s="2" customFormat="1" ht="12.75">
      <c r="F813"/>
    </row>
    <row r="814" s="2" customFormat="1" ht="12.75">
      <c r="F814"/>
    </row>
    <row r="815" s="2" customFormat="1" ht="12.75">
      <c r="F815"/>
    </row>
    <row r="816" s="2" customFormat="1" ht="12.75">
      <c r="F816"/>
    </row>
    <row r="817" s="2" customFormat="1" ht="12.75">
      <c r="F817"/>
    </row>
    <row r="818" s="2" customFormat="1" ht="12.75">
      <c r="F818"/>
    </row>
    <row r="819" s="2" customFormat="1" ht="12.75">
      <c r="F819"/>
    </row>
    <row r="820" s="2" customFormat="1" ht="12.75">
      <c r="F820"/>
    </row>
    <row r="821" s="2" customFormat="1" ht="12.75">
      <c r="F821"/>
    </row>
    <row r="822" s="2" customFormat="1" ht="12.75">
      <c r="F822"/>
    </row>
    <row r="823" s="2" customFormat="1" ht="12.75">
      <c r="F823"/>
    </row>
    <row r="824" s="2" customFormat="1" ht="12.75">
      <c r="F824"/>
    </row>
    <row r="825" s="2" customFormat="1" ht="12.75">
      <c r="F825"/>
    </row>
    <row r="826" s="2" customFormat="1" ht="12.75">
      <c r="F826"/>
    </row>
    <row r="827" s="2" customFormat="1" ht="12.75">
      <c r="F827"/>
    </row>
    <row r="828" s="2" customFormat="1" ht="12.75">
      <c r="F828"/>
    </row>
    <row r="829" s="2" customFormat="1" ht="12.75">
      <c r="F829"/>
    </row>
    <row r="830" s="2" customFormat="1" ht="12.75">
      <c r="F830"/>
    </row>
    <row r="831" s="2" customFormat="1" ht="12.75">
      <c r="F831"/>
    </row>
    <row r="832" s="2" customFormat="1" ht="12.75">
      <c r="F832"/>
    </row>
    <row r="833" s="2" customFormat="1" ht="12.75">
      <c r="F833"/>
    </row>
    <row r="834" s="2" customFormat="1" ht="12.75">
      <c r="F834"/>
    </row>
    <row r="835" s="2" customFormat="1" ht="12.75">
      <c r="F835"/>
    </row>
    <row r="836" s="2" customFormat="1" ht="12.75">
      <c r="F836"/>
    </row>
    <row r="837" s="2" customFormat="1" ht="12.75">
      <c r="F837"/>
    </row>
    <row r="838" s="2" customFormat="1" ht="12.75">
      <c r="F838"/>
    </row>
    <row r="839" s="2" customFormat="1" ht="12.75">
      <c r="F839"/>
    </row>
    <row r="840" s="2" customFormat="1" ht="12.75">
      <c r="F840"/>
    </row>
    <row r="841" s="2" customFormat="1" ht="12.75">
      <c r="F841"/>
    </row>
    <row r="842" s="2" customFormat="1" ht="12.75">
      <c r="F842"/>
    </row>
    <row r="843" s="2" customFormat="1" ht="12.75">
      <c r="F843"/>
    </row>
    <row r="844" s="2" customFormat="1" ht="12.75">
      <c r="F844"/>
    </row>
    <row r="845" s="2" customFormat="1" ht="12.75">
      <c r="F845"/>
    </row>
    <row r="846" s="2" customFormat="1" ht="12.75">
      <c r="F846"/>
    </row>
    <row r="847" s="2" customFormat="1" ht="12.75">
      <c r="F847"/>
    </row>
    <row r="848" s="2" customFormat="1" ht="12.75">
      <c r="F848"/>
    </row>
    <row r="849" s="2" customFormat="1" ht="12.75">
      <c r="F849"/>
    </row>
    <row r="850" s="2" customFormat="1" ht="12.75">
      <c r="F850"/>
    </row>
    <row r="851" s="2" customFormat="1" ht="12.75">
      <c r="F851"/>
    </row>
    <row r="852" s="2" customFormat="1" ht="12.75">
      <c r="F852"/>
    </row>
    <row r="853" s="2" customFormat="1" ht="12.75">
      <c r="F853"/>
    </row>
    <row r="854" s="2" customFormat="1" ht="12.75">
      <c r="F854"/>
    </row>
    <row r="855" s="2" customFormat="1" ht="12.75">
      <c r="F855"/>
    </row>
    <row r="856" s="2" customFormat="1" ht="12.75">
      <c r="F856"/>
    </row>
    <row r="857" s="2" customFormat="1" ht="12.75">
      <c r="F857"/>
    </row>
    <row r="858" s="2" customFormat="1" ht="12.75">
      <c r="F858"/>
    </row>
    <row r="859" s="2" customFormat="1" ht="12.75">
      <c r="F859"/>
    </row>
    <row r="860" s="2" customFormat="1" ht="12.75">
      <c r="F860"/>
    </row>
    <row r="861" s="2" customFormat="1" ht="12.75">
      <c r="F861"/>
    </row>
    <row r="862" s="2" customFormat="1" ht="12.75">
      <c r="F862"/>
    </row>
    <row r="863" s="2" customFormat="1" ht="12.75">
      <c r="F863"/>
    </row>
    <row r="864" s="2" customFormat="1" ht="12.75">
      <c r="F864"/>
    </row>
    <row r="865" s="2" customFormat="1" ht="12.75">
      <c r="F865"/>
    </row>
    <row r="866" s="2" customFormat="1" ht="12.75">
      <c r="F866"/>
    </row>
    <row r="867" s="2" customFormat="1" ht="12.75">
      <c r="F867"/>
    </row>
    <row r="868" s="2" customFormat="1" ht="12.75">
      <c r="F868"/>
    </row>
    <row r="869" s="2" customFormat="1" ht="12.75">
      <c r="F869"/>
    </row>
    <row r="870" s="2" customFormat="1" ht="12.75">
      <c r="F870"/>
    </row>
    <row r="871" s="2" customFormat="1" ht="12.75">
      <c r="F871"/>
    </row>
    <row r="872" s="2" customFormat="1" ht="12.75">
      <c r="F872"/>
    </row>
    <row r="873" s="2" customFormat="1" ht="12.75">
      <c r="F873"/>
    </row>
    <row r="874" s="2" customFormat="1" ht="12.75">
      <c r="F874"/>
    </row>
    <row r="875" s="2" customFormat="1" ht="12.75">
      <c r="F875"/>
    </row>
    <row r="876" s="2" customFormat="1" ht="12.75">
      <c r="F876"/>
    </row>
    <row r="877" s="2" customFormat="1" ht="12.75">
      <c r="F877"/>
    </row>
    <row r="878" s="2" customFormat="1" ht="12.75">
      <c r="F878"/>
    </row>
    <row r="879" s="2" customFormat="1" ht="12.75">
      <c r="F879"/>
    </row>
    <row r="880" s="2" customFormat="1" ht="12.75">
      <c r="F880"/>
    </row>
    <row r="881" s="2" customFormat="1" ht="12.75">
      <c r="F881"/>
    </row>
    <row r="882" s="2" customFormat="1" ht="12.75">
      <c r="F882"/>
    </row>
    <row r="883" s="2" customFormat="1" ht="12.75">
      <c r="F883"/>
    </row>
  </sheetData>
  <sheetProtection/>
  <mergeCells count="19">
    <mergeCell ref="C36:C37"/>
    <mergeCell ref="B66:B67"/>
    <mergeCell ref="C66:C67"/>
    <mergeCell ref="B70:B71"/>
    <mergeCell ref="C70:C71"/>
    <mergeCell ref="D76:D88"/>
    <mergeCell ref="B48:B49"/>
    <mergeCell ref="C48:C49"/>
    <mergeCell ref="B52:B54"/>
    <mergeCell ref="A2:F2"/>
    <mergeCell ref="C52:C54"/>
    <mergeCell ref="B56:B57"/>
    <mergeCell ref="C56:C57"/>
    <mergeCell ref="A1:F1"/>
    <mergeCell ref="A4:F4"/>
    <mergeCell ref="A3:F3"/>
    <mergeCell ref="B31:B32"/>
    <mergeCell ref="C31:C32"/>
    <mergeCell ref="B36:B37"/>
  </mergeCells>
  <printOptions horizontalCentered="1" verticalCentered="1"/>
  <pageMargins left="0.7" right="0.7" top="0.75" bottom="0.75" header="0.3" footer="0.3"/>
  <pageSetup horizontalDpi="300" verticalDpi="300" orientation="portrait" scale="68" r:id="rId3"/>
  <rowBreaks count="2" manualBreakCount="2">
    <brk id="64" max="5" man="1"/>
    <brk id="76"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MUNICIPALIDAD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dc:creator>
  <cp:keywords/>
  <dc:description/>
  <cp:lastModifiedBy>ana.alvarado</cp:lastModifiedBy>
  <cp:lastPrinted>2011-02-16T20:19:23Z</cp:lastPrinted>
  <dcterms:created xsi:type="dcterms:W3CDTF">2005-09-19T16:57:18Z</dcterms:created>
  <dcterms:modified xsi:type="dcterms:W3CDTF">2017-06-12T22:13:36Z</dcterms:modified>
  <cp:category/>
  <cp:version/>
  <cp:contentType/>
  <cp:contentStatus/>
</cp:coreProperties>
</file>