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ANA MARIA\2023\lquidación 2023\ANEXOS\"/>
    </mc:Choice>
  </mc:AlternateContent>
  <xr:revisionPtr revIDLastSave="0" documentId="13_ncr:1_{C151A1DE-1258-406D-9FEE-5D396F3EF4C4}" xr6:coauthVersionLast="47" xr6:coauthVersionMax="47" xr10:uidLastSave="{00000000-0000-0000-0000-000000000000}"/>
  <bookViews>
    <workbookView xWindow="-28920" yWindow="-120" windowWidth="29040" windowHeight="15840" firstSheet="1" activeTab="4" xr2:uid="{00000000-000D-0000-FFFF-FFFF00000000}"/>
  </bookViews>
  <sheets>
    <sheet name="1_Liquidación" sheetId="1" r:id="rId1"/>
    <sheet name="2_Morosidad" sheetId="2" r:id="rId2"/>
    <sheet name="3_Detalle Origen y Aplicación" sheetId="10" r:id="rId3"/>
    <sheet name="4_OyA Transferencias Gob Cent" sheetId="4" r:id="rId4"/>
    <sheet name="Formulario 4-Compromisos" sheetId="11" r:id="rId5"/>
    <sheet name="Formulario 5-Compromisos" sheetId="12" r:id="rId6"/>
  </sheets>
  <externalReferences>
    <externalReference r:id="rId7"/>
    <externalReference r:id="rId8"/>
    <externalReference r:id="rId9"/>
    <externalReference r:id="rId10"/>
    <externalReference r:id="rId11"/>
    <externalReference r:id="rId12"/>
  </externalReferences>
  <definedNames>
    <definedName name="_Hlt506202662" localSheetId="2">'3_Detalle Origen y Aplicación'!$G$206</definedName>
    <definedName name="_Hlt57099193" localSheetId="2">'3_Detalle Origen y Aplicación'!$G$207</definedName>
    <definedName name="_Hlt57099201" localSheetId="2">'3_Detalle Origen y Aplicación'!$G$219</definedName>
    <definedName name="_Hlt57099211" localSheetId="2">'3_Detalle Origen y Aplicación'!$G$224</definedName>
    <definedName name="_Hlt57100460" localSheetId="2">'3_Detalle Origen y Aplicación'!$G$208</definedName>
    <definedName name="_Hlt57100462" localSheetId="2">'3_Detalle Origen y Aplicación'!$G$212</definedName>
    <definedName name="_Hlt57100464" localSheetId="2">'3_Detalle Origen y Aplicación'!$G$218</definedName>
    <definedName name="_Hlt57100472" localSheetId="2">'3_Detalle Origen y Aplicación'!$G$220</definedName>
    <definedName name="_Hlt57100476" localSheetId="2">'3_Detalle Origen y Aplicación'!$G$222</definedName>
    <definedName name="_Hlt57100478" localSheetId="2">'3_Detalle Origen y Aplicación'!$G$223</definedName>
    <definedName name="_Hlt57100531" localSheetId="2">'3_Detalle Origen y Aplicación'!$G$221</definedName>
    <definedName name="Anexo_8_Endeudamiento" localSheetId="2">#REF!</definedName>
    <definedName name="Anexo_8_Endeudamiento">#REF!</definedName>
    <definedName name="_xlnm.Print_Area" localSheetId="0">'1_Liquidación'!$A$1:$F$78</definedName>
    <definedName name="_xlnm.Print_Area" localSheetId="1">'2_Morosidad'!$A$1:$E$41</definedName>
    <definedName name="_xlnm.Print_Area" localSheetId="2">'3_Detalle Origen y Aplicación'!$A$1:$N$1024</definedName>
    <definedName name="_xlnm.Print_Area" localSheetId="3">'4_OyA Transferencias Gob Cent'!$A$1:$P$27</definedName>
    <definedName name="LIQ" localSheetId="2">#REF!</definedName>
    <definedName name="LIQ">#REF!</definedName>
    <definedName name="MEJORAS_CANCHA_DEPORTES_LA_PRADERA_LA_GUACIMA">'[1]Egresos Programa III General'!$B$21</definedName>
    <definedName name="_xlnm.Print_Titles" localSheetId="2">'3_Detalle Origen y Aplicación'!$1:$10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5" roundtripDataSignature="AMtx7mjiK3iSFtiFJG+kACHUH9cJDpDgDw=="/>
    </ext>
  </extLst>
</workbook>
</file>

<file path=xl/calcChain.xml><?xml version="1.0" encoding="utf-8"?>
<calcChain xmlns="http://schemas.openxmlformats.org/spreadsheetml/2006/main">
  <c r="E66" i="12" l="1"/>
  <c r="D65" i="12"/>
  <c r="C65" i="12"/>
  <c r="B65" i="12"/>
  <c r="E64" i="12"/>
  <c r="F64" i="12" s="1"/>
  <c r="F63" i="12"/>
  <c r="E63" i="12"/>
  <c r="E62" i="12"/>
  <c r="F62" i="12" s="1"/>
  <c r="E61" i="12"/>
  <c r="F61" i="12" s="1"/>
  <c r="E60" i="12"/>
  <c r="F60" i="12" s="1"/>
  <c r="F59" i="12"/>
  <c r="E59" i="12"/>
  <c r="E58" i="12"/>
  <c r="F58" i="12" s="1"/>
  <c r="E57" i="12"/>
  <c r="F57" i="12" s="1"/>
  <c r="E56" i="12"/>
  <c r="F56" i="12" s="1"/>
  <c r="F55" i="12"/>
  <c r="E55" i="12"/>
  <c r="E65" i="12" s="1"/>
  <c r="E51" i="12"/>
  <c r="D50" i="12"/>
  <c r="C50" i="12"/>
  <c r="B50" i="12"/>
  <c r="F49" i="12"/>
  <c r="E49" i="12"/>
  <c r="E48" i="12"/>
  <c r="F48" i="12" s="1"/>
  <c r="E47" i="12"/>
  <c r="F47" i="12" s="1"/>
  <c r="E46" i="12"/>
  <c r="F46" i="12" s="1"/>
  <c r="F45" i="12"/>
  <c r="E45" i="12"/>
  <c r="E44" i="12"/>
  <c r="F44" i="12" s="1"/>
  <c r="E43" i="12"/>
  <c r="F43" i="12" s="1"/>
  <c r="E42" i="12"/>
  <c r="F42" i="12" s="1"/>
  <c r="F41" i="12"/>
  <c r="E41" i="12"/>
  <c r="E40" i="12"/>
  <c r="F40" i="12" s="1"/>
  <c r="E36" i="12"/>
  <c r="D35" i="12"/>
  <c r="C35" i="12"/>
  <c r="B35" i="12"/>
  <c r="E34" i="12"/>
  <c r="F34" i="12" s="1"/>
  <c r="E33" i="12"/>
  <c r="F33" i="12" s="1"/>
  <c r="E31" i="12"/>
  <c r="F31" i="12" s="1"/>
  <c r="F30" i="12"/>
  <c r="E30" i="12"/>
  <c r="E29" i="12"/>
  <c r="F29" i="12" s="1"/>
  <c r="E28" i="12"/>
  <c r="F28" i="12" s="1"/>
  <c r="E27" i="12"/>
  <c r="F27" i="12" s="1"/>
  <c r="F26" i="12"/>
  <c r="E26" i="12"/>
  <c r="E25" i="12"/>
  <c r="F25" i="12" s="1"/>
  <c r="E21" i="12"/>
  <c r="D20" i="12"/>
  <c r="C20" i="12"/>
  <c r="B20" i="12"/>
  <c r="E19" i="12"/>
  <c r="F19" i="12" s="1"/>
  <c r="E18" i="12"/>
  <c r="F18" i="12" s="1"/>
  <c r="E17" i="12"/>
  <c r="F17" i="12" s="1"/>
  <c r="F16" i="12"/>
  <c r="E16" i="12"/>
  <c r="E15" i="12"/>
  <c r="F15" i="12" s="1"/>
  <c r="E14" i="12"/>
  <c r="F14" i="12" s="1"/>
  <c r="E13" i="12"/>
  <c r="F13" i="12" s="1"/>
  <c r="F12" i="12"/>
  <c r="E12" i="12"/>
  <c r="E11" i="12"/>
  <c r="F11" i="12" s="1"/>
  <c r="E10" i="12"/>
  <c r="F10" i="12" s="1"/>
  <c r="A3" i="12"/>
  <c r="E19" i="11"/>
  <c r="D19" i="11"/>
  <c r="C19" i="11"/>
  <c r="B19" i="11"/>
  <c r="F19" i="11" s="1"/>
  <c r="D18" i="11"/>
  <c r="C18" i="11"/>
  <c r="E18" i="11" s="1"/>
  <c r="B18" i="11"/>
  <c r="D17" i="11"/>
  <c r="E17" i="11" s="1"/>
  <c r="F17" i="11" s="1"/>
  <c r="C17" i="11"/>
  <c r="B17" i="11"/>
  <c r="D16" i="11"/>
  <c r="C16" i="11"/>
  <c r="E16" i="11" s="1"/>
  <c r="B16" i="11"/>
  <c r="D15" i="11"/>
  <c r="C15" i="11"/>
  <c r="E15" i="11" s="1"/>
  <c r="F15" i="11" s="1"/>
  <c r="B15" i="11"/>
  <c r="F14" i="11"/>
  <c r="E14" i="11"/>
  <c r="D14" i="11"/>
  <c r="C14" i="11"/>
  <c r="B14" i="11"/>
  <c r="D13" i="11"/>
  <c r="C13" i="11"/>
  <c r="E13" i="11" s="1"/>
  <c r="B13" i="11"/>
  <c r="F13" i="11" s="1"/>
  <c r="E12" i="11"/>
  <c r="F12" i="11" s="1"/>
  <c r="D12" i="11"/>
  <c r="C12" i="11"/>
  <c r="B12" i="11"/>
  <c r="E11" i="11"/>
  <c r="D11" i="11"/>
  <c r="C11" i="11"/>
  <c r="B11" i="11"/>
  <c r="F11" i="11" s="1"/>
  <c r="D10" i="11"/>
  <c r="D20" i="11" s="1"/>
  <c r="C10" i="11"/>
  <c r="C20" i="11" s="1"/>
  <c r="B10" i="11"/>
  <c r="F65" i="12" l="1"/>
  <c r="F16" i="11"/>
  <c r="F50" i="12"/>
  <c r="F18" i="11"/>
  <c r="F20" i="12"/>
  <c r="F35" i="12"/>
  <c r="E20" i="12"/>
  <c r="E35" i="12"/>
  <c r="E50" i="12"/>
  <c r="B20" i="11"/>
  <c r="E10" i="11"/>
  <c r="E20" i="11" s="1"/>
  <c r="F10" i="11" l="1"/>
  <c r="F20" i="11" s="1"/>
  <c r="J812" i="10" l="1"/>
  <c r="J851" i="10"/>
  <c r="K749" i="10"/>
  <c r="N749" i="10"/>
  <c r="N750" i="10"/>
  <c r="N162" i="10"/>
  <c r="N161" i="10"/>
  <c r="O10" i="4" l="1"/>
  <c r="O20" i="4"/>
  <c r="H19" i="4"/>
  <c r="G17" i="4"/>
  <c r="G10" i="4"/>
  <c r="K818" i="10"/>
  <c r="K816" i="10"/>
  <c r="K814" i="10"/>
  <c r="K810" i="10"/>
  <c r="K658" i="10"/>
  <c r="K580" i="10"/>
  <c r="L480" i="10"/>
  <c r="L298" i="10"/>
  <c r="J85" i="10"/>
  <c r="D46" i="1" l="1"/>
  <c r="D10" i="1" l="1"/>
  <c r="D14" i="1"/>
  <c r="D40" i="1" l="1"/>
  <c r="D45" i="1"/>
  <c r="F39" i="1"/>
  <c r="F49" i="1"/>
  <c r="D48" i="1"/>
  <c r="D47" i="1"/>
  <c r="D43" i="1"/>
  <c r="D44" i="1"/>
  <c r="F44" i="1" s="1"/>
  <c r="D42" i="1"/>
  <c r="D38" i="1"/>
  <c r="D59" i="1"/>
  <c r="G21" i="1" s="1"/>
  <c r="O7" i="10" l="1"/>
  <c r="R10" i="10"/>
  <c r="D11" i="10"/>
  <c r="N123" i="10" s="1"/>
  <c r="L11" i="10"/>
  <c r="M11" i="10"/>
  <c r="J12" i="10"/>
  <c r="N12" i="10"/>
  <c r="J13" i="10"/>
  <c r="I15" i="10"/>
  <c r="J15" i="10" s="1"/>
  <c r="I16" i="10"/>
  <c r="J16" i="10" s="1"/>
  <c r="J17" i="10"/>
  <c r="J18" i="10"/>
  <c r="J19" i="10"/>
  <c r="N19" i="10"/>
  <c r="O21" i="10"/>
  <c r="N22" i="10"/>
  <c r="O22" i="10"/>
  <c r="J25" i="10"/>
  <c r="N25" i="10"/>
  <c r="I26" i="10"/>
  <c r="I276" i="10" s="1"/>
  <c r="J276" i="10" s="1"/>
  <c r="J27" i="10"/>
  <c r="N27" i="10"/>
  <c r="J28" i="10"/>
  <c r="N28" i="10"/>
  <c r="J30" i="10"/>
  <c r="N30" i="10"/>
  <c r="J32" i="10"/>
  <c r="N32" i="10"/>
  <c r="I33" i="10"/>
  <c r="N33" i="10" s="1"/>
  <c r="J34" i="10"/>
  <c r="N34" i="10"/>
  <c r="J36" i="10"/>
  <c r="N36" i="10"/>
  <c r="I37" i="10"/>
  <c r="N37" i="10" s="1"/>
  <c r="J38" i="10"/>
  <c r="N38" i="10"/>
  <c r="J40" i="10"/>
  <c r="N40" i="10"/>
  <c r="O41" i="10"/>
  <c r="I42" i="10"/>
  <c r="I43" i="10" s="1"/>
  <c r="J43" i="10" s="1"/>
  <c r="J44" i="10"/>
  <c r="N44" i="10"/>
  <c r="K45" i="10"/>
  <c r="N45" i="10"/>
  <c r="J46" i="10"/>
  <c r="N46" i="10"/>
  <c r="J48" i="10"/>
  <c r="N48" i="10"/>
  <c r="J49" i="10"/>
  <c r="N49" i="10"/>
  <c r="J50" i="10"/>
  <c r="N50" i="10"/>
  <c r="I52" i="10"/>
  <c r="R11" i="10" s="1"/>
  <c r="J53" i="10"/>
  <c r="N53" i="10"/>
  <c r="J54" i="10"/>
  <c r="N54" i="10"/>
  <c r="J56" i="10"/>
  <c r="N56" i="10"/>
  <c r="I59" i="10"/>
  <c r="K59" i="10" s="1"/>
  <c r="J60" i="10"/>
  <c r="N60" i="10"/>
  <c r="I62" i="10"/>
  <c r="J62" i="10" s="1"/>
  <c r="J63" i="10"/>
  <c r="N63" i="10"/>
  <c r="J64" i="10"/>
  <c r="N64" i="10"/>
  <c r="J66" i="10"/>
  <c r="N66" i="10"/>
  <c r="J68" i="10"/>
  <c r="N68" i="10"/>
  <c r="J69" i="10"/>
  <c r="N69" i="10"/>
  <c r="N70" i="10"/>
  <c r="J71" i="10"/>
  <c r="N71" i="10"/>
  <c r="J73" i="10"/>
  <c r="K75" i="10"/>
  <c r="N75" i="10"/>
  <c r="K77" i="10"/>
  <c r="K79" i="10"/>
  <c r="N79" i="10"/>
  <c r="K81" i="10"/>
  <c r="N81" i="10"/>
  <c r="I84" i="10"/>
  <c r="K84" i="10" s="1"/>
  <c r="N85" i="10"/>
  <c r="J87" i="10"/>
  <c r="N87" i="10"/>
  <c r="K88" i="10"/>
  <c r="N88" i="10"/>
  <c r="K90" i="10"/>
  <c r="N90" i="10"/>
  <c r="G92" i="10"/>
  <c r="K92" i="10"/>
  <c r="N92" i="10"/>
  <c r="K94" i="10"/>
  <c r="N94" i="10"/>
  <c r="K96" i="10"/>
  <c r="I98" i="10"/>
  <c r="J98" i="10" s="1"/>
  <c r="I101" i="10"/>
  <c r="K101" i="10" s="1"/>
  <c r="I102" i="10"/>
  <c r="J102" i="10" s="1"/>
  <c r="K104" i="10"/>
  <c r="N104" i="10"/>
  <c r="J106" i="10"/>
  <c r="J107" i="10"/>
  <c r="N107" i="10"/>
  <c r="J108" i="10"/>
  <c r="N108" i="10"/>
  <c r="J109" i="10"/>
  <c r="N109" i="10"/>
  <c r="J110" i="10"/>
  <c r="N110" i="10"/>
  <c r="J111" i="10"/>
  <c r="N111" i="10"/>
  <c r="J112" i="10"/>
  <c r="N112" i="10"/>
  <c r="J113" i="10"/>
  <c r="N113" i="10"/>
  <c r="J114" i="10"/>
  <c r="N114" i="10"/>
  <c r="K116" i="10"/>
  <c r="N116" i="10"/>
  <c r="J119" i="10"/>
  <c r="J120" i="10"/>
  <c r="N125" i="10"/>
  <c r="I127" i="10"/>
  <c r="J127" i="10"/>
  <c r="K127" i="10"/>
  <c r="L127" i="10"/>
  <c r="M127" i="10"/>
  <c r="N129" i="10"/>
  <c r="N130" i="10"/>
  <c r="N131" i="10"/>
  <c r="N132" i="10"/>
  <c r="N133" i="10"/>
  <c r="D135" i="10"/>
  <c r="N139" i="10" s="1"/>
  <c r="I135" i="10"/>
  <c r="K135" i="10"/>
  <c r="L135" i="10"/>
  <c r="M135" i="10"/>
  <c r="J136" i="10"/>
  <c r="N136" i="10"/>
  <c r="J137" i="10"/>
  <c r="J138" i="10"/>
  <c r="N142" i="10"/>
  <c r="N141" i="10" s="1"/>
  <c r="D144" i="10"/>
  <c r="L144" i="10"/>
  <c r="M144" i="10"/>
  <c r="I145" i="10"/>
  <c r="N145" i="10" s="1"/>
  <c r="G147" i="10"/>
  <c r="J147" i="10"/>
  <c r="N147" i="10"/>
  <c r="G149" i="10"/>
  <c r="K149" i="10"/>
  <c r="N149" i="10"/>
  <c r="K150" i="10"/>
  <c r="N150" i="10"/>
  <c r="G152" i="10"/>
  <c r="K152" i="10"/>
  <c r="N152" i="10"/>
  <c r="G154" i="10"/>
  <c r="K154" i="10"/>
  <c r="N154" i="10"/>
  <c r="K155" i="10"/>
  <c r="N155" i="10"/>
  <c r="G157" i="10"/>
  <c r="K157" i="10"/>
  <c r="N157" i="10"/>
  <c r="G159" i="10"/>
  <c r="K159" i="10"/>
  <c r="N159" i="10"/>
  <c r="G161" i="10"/>
  <c r="K161" i="10"/>
  <c r="K162" i="10"/>
  <c r="G164" i="10"/>
  <c r="J164" i="10"/>
  <c r="N164" i="10"/>
  <c r="J165" i="10"/>
  <c r="N165" i="10"/>
  <c r="K166" i="10"/>
  <c r="N166" i="10"/>
  <c r="D170" i="10"/>
  <c r="N172" i="10" s="1"/>
  <c r="I170" i="10"/>
  <c r="K170" i="10"/>
  <c r="L170" i="10"/>
  <c r="M170" i="10"/>
  <c r="J171" i="10"/>
  <c r="J170" i="10" s="1"/>
  <c r="N171" i="10"/>
  <c r="D174" i="10"/>
  <c r="N176" i="10" s="1"/>
  <c r="I174" i="10"/>
  <c r="K174" i="10"/>
  <c r="L174" i="10"/>
  <c r="M174" i="10"/>
  <c r="J175" i="10"/>
  <c r="J174" i="10" s="1"/>
  <c r="N175" i="10"/>
  <c r="D178" i="10"/>
  <c r="N218" i="10" s="1"/>
  <c r="L178" i="10"/>
  <c r="M178" i="10"/>
  <c r="J179" i="10"/>
  <c r="N179" i="10"/>
  <c r="J182" i="10"/>
  <c r="N182" i="10"/>
  <c r="P7" i="10" s="1"/>
  <c r="J186" i="10"/>
  <c r="N186" i="10"/>
  <c r="J188" i="10"/>
  <c r="N188" i="10"/>
  <c r="J190" i="10"/>
  <c r="N190" i="10"/>
  <c r="J191" i="10"/>
  <c r="N191" i="10"/>
  <c r="J193" i="10"/>
  <c r="N193" i="10"/>
  <c r="J195" i="10"/>
  <c r="N195" i="10"/>
  <c r="J196" i="10"/>
  <c r="N196" i="10"/>
  <c r="J198" i="10"/>
  <c r="N198" i="10"/>
  <c r="J199" i="10"/>
  <c r="N199" i="10"/>
  <c r="J201" i="10"/>
  <c r="N201" i="10"/>
  <c r="J203" i="10"/>
  <c r="N203" i="10"/>
  <c r="K205" i="10"/>
  <c r="N205" i="10"/>
  <c r="J207" i="10"/>
  <c r="N207" i="10"/>
  <c r="J209" i="10"/>
  <c r="N209" i="10"/>
  <c r="J210" i="10"/>
  <c r="N210" i="10"/>
  <c r="K214" i="10"/>
  <c r="N214" i="10"/>
  <c r="N216" i="10"/>
  <c r="D220" i="10"/>
  <c r="L220" i="10"/>
  <c r="M220" i="10"/>
  <c r="J221" i="10"/>
  <c r="N221" i="10"/>
  <c r="J223" i="10"/>
  <c r="N223" i="10"/>
  <c r="J224" i="10"/>
  <c r="N224" i="10"/>
  <c r="J225" i="10"/>
  <c r="N225" i="10"/>
  <c r="J227" i="10"/>
  <c r="N227" i="10"/>
  <c r="J229" i="10"/>
  <c r="J231" i="10"/>
  <c r="J233" i="10"/>
  <c r="G235" i="10"/>
  <c r="J235" i="10"/>
  <c r="G237" i="10"/>
  <c r="J237" i="10"/>
  <c r="G239" i="10"/>
  <c r="J239" i="10"/>
  <c r="J241" i="10"/>
  <c r="N241" i="10"/>
  <c r="J242" i="10"/>
  <c r="N242" i="10"/>
  <c r="J243" i="10"/>
  <c r="N243" i="10"/>
  <c r="K244" i="10"/>
  <c r="N244" i="10"/>
  <c r="J245" i="10"/>
  <c r="N245" i="10"/>
  <c r="K247" i="10"/>
  <c r="N247" i="10"/>
  <c r="D251" i="10"/>
  <c r="K251" i="10"/>
  <c r="L251" i="10"/>
  <c r="M251" i="10"/>
  <c r="I252" i="10"/>
  <c r="N252" i="10" s="1"/>
  <c r="I253" i="10"/>
  <c r="J253" i="10" s="1"/>
  <c r="J254" i="10"/>
  <c r="N254" i="10"/>
  <c r="J255" i="10"/>
  <c r="D257" i="10"/>
  <c r="N270" i="10" s="1"/>
  <c r="L257" i="10"/>
  <c r="M257" i="10"/>
  <c r="J258" i="10"/>
  <c r="N258" i="10"/>
  <c r="J260" i="10"/>
  <c r="N260" i="10"/>
  <c r="I261" i="10"/>
  <c r="J261" i="10" s="1"/>
  <c r="J263" i="10"/>
  <c r="N263" i="10"/>
  <c r="I265" i="10"/>
  <c r="J265" i="10" s="1"/>
  <c r="D272" i="10"/>
  <c r="N281" i="10" s="1"/>
  <c r="L272" i="10"/>
  <c r="M272" i="10"/>
  <c r="J273" i="10"/>
  <c r="N273" i="10"/>
  <c r="I275" i="10"/>
  <c r="N275" i="10" s="1"/>
  <c r="I278" i="10"/>
  <c r="K278" i="10" s="1"/>
  <c r="K272" i="10" s="1"/>
  <c r="J279" i="10"/>
  <c r="N279" i="10"/>
  <c r="J280" i="10"/>
  <c r="D283" i="10"/>
  <c r="E283" i="10"/>
  <c r="I283" i="10"/>
  <c r="K283" i="10"/>
  <c r="L283" i="10"/>
  <c r="M283" i="10"/>
  <c r="J284" i="10"/>
  <c r="J288" i="10"/>
  <c r="N288" i="10"/>
  <c r="N283" i="10" s="1"/>
  <c r="J289" i="10"/>
  <c r="D291" i="10"/>
  <c r="M291" i="10"/>
  <c r="J292" i="10"/>
  <c r="N292" i="10"/>
  <c r="J294" i="10"/>
  <c r="N294" i="10"/>
  <c r="I295" i="10"/>
  <c r="R9" i="10" s="1"/>
  <c r="J296" i="10"/>
  <c r="N296" i="10"/>
  <c r="J297" i="10"/>
  <c r="N297" i="10"/>
  <c r="L291" i="10"/>
  <c r="N298" i="10"/>
  <c r="D306" i="10"/>
  <c r="M306" i="10"/>
  <c r="J307" i="10"/>
  <c r="N307" i="10"/>
  <c r="J309" i="10"/>
  <c r="N309" i="10"/>
  <c r="I312" i="10"/>
  <c r="J312" i="10" s="1"/>
  <c r="J314" i="10"/>
  <c r="N314" i="10"/>
  <c r="I315" i="10"/>
  <c r="L315" i="10" s="1"/>
  <c r="L306" i="10" s="1"/>
  <c r="J316" i="10"/>
  <c r="D319" i="10"/>
  <c r="I319" i="10"/>
  <c r="L319" i="10"/>
  <c r="M319" i="10"/>
  <c r="J320" i="10"/>
  <c r="N320" i="10"/>
  <c r="K322" i="10"/>
  <c r="K319" i="10" s="1"/>
  <c r="N322" i="10"/>
  <c r="J323" i="10"/>
  <c r="D326" i="10"/>
  <c r="N337" i="10" s="1"/>
  <c r="L326" i="10"/>
  <c r="M326" i="10"/>
  <c r="J327" i="10"/>
  <c r="N327" i="10"/>
  <c r="J329" i="10"/>
  <c r="N329" i="10"/>
  <c r="I331" i="10"/>
  <c r="J331" i="10" s="1"/>
  <c r="I332" i="10"/>
  <c r="N332" i="10" s="1"/>
  <c r="J334" i="10"/>
  <c r="D339" i="10"/>
  <c r="N348" i="10" s="1"/>
  <c r="L339" i="10"/>
  <c r="M339" i="10"/>
  <c r="J340" i="10"/>
  <c r="N340" i="10"/>
  <c r="J342" i="10"/>
  <c r="N342" i="10"/>
  <c r="I345" i="10"/>
  <c r="K345" i="10" s="1"/>
  <c r="K339" i="10" s="1"/>
  <c r="J346" i="10"/>
  <c r="N346" i="10"/>
  <c r="J347" i="10"/>
  <c r="D350" i="10"/>
  <c r="N359" i="10" s="1"/>
  <c r="L350" i="10"/>
  <c r="M350" i="10"/>
  <c r="J351" i="10"/>
  <c r="N351" i="10"/>
  <c r="J353" i="10"/>
  <c r="N353" i="10"/>
  <c r="I355" i="10"/>
  <c r="J355" i="10" s="1"/>
  <c r="J357" i="10"/>
  <c r="N357" i="10"/>
  <c r="J358" i="10"/>
  <c r="D361" i="10"/>
  <c r="K361" i="10"/>
  <c r="L361" i="10"/>
  <c r="M361" i="10"/>
  <c r="J362" i="10"/>
  <c r="N362" i="10"/>
  <c r="I364" i="10"/>
  <c r="I361" i="10" s="1"/>
  <c r="I367" i="10"/>
  <c r="J367" i="10"/>
  <c r="K367" i="10"/>
  <c r="L367" i="10"/>
  <c r="M367" i="10"/>
  <c r="N369" i="10"/>
  <c r="N367" i="10" s="1"/>
  <c r="D371" i="10"/>
  <c r="I371" i="10"/>
  <c r="K371" i="10"/>
  <c r="L371" i="10"/>
  <c r="M371" i="10"/>
  <c r="J372" i="10"/>
  <c r="J371" i="10" s="1"/>
  <c r="N372" i="10"/>
  <c r="N371" i="10" s="1"/>
  <c r="D375" i="10"/>
  <c r="N384" i="10" s="1"/>
  <c r="L375" i="10"/>
  <c r="M375" i="10"/>
  <c r="J376" i="10"/>
  <c r="N376" i="10"/>
  <c r="I378" i="10"/>
  <c r="I375" i="10" s="1"/>
  <c r="J379" i="10"/>
  <c r="J380" i="10"/>
  <c r="K381" i="10"/>
  <c r="K375" i="10" s="1"/>
  <c r="J382" i="10"/>
  <c r="D386" i="10"/>
  <c r="I386" i="10"/>
  <c r="K386" i="10"/>
  <c r="L386" i="10"/>
  <c r="M386" i="10"/>
  <c r="J387" i="10"/>
  <c r="N387" i="10"/>
  <c r="J389" i="10"/>
  <c r="N389" i="10"/>
  <c r="D392" i="10"/>
  <c r="L392" i="10"/>
  <c r="M392" i="10"/>
  <c r="J393" i="10"/>
  <c r="N393" i="10"/>
  <c r="J394" i="10"/>
  <c r="I396" i="10"/>
  <c r="I392" i="10" s="1"/>
  <c r="K398" i="10"/>
  <c r="K392" i="10" s="1"/>
  <c r="N398" i="10"/>
  <c r="N400" i="10"/>
  <c r="J402" i="10"/>
  <c r="J405" i="10"/>
  <c r="N405" i="10"/>
  <c r="J406" i="10"/>
  <c r="N406" i="10"/>
  <c r="J407" i="10"/>
  <c r="N407" i="10"/>
  <c r="N408" i="10"/>
  <c r="N409" i="10"/>
  <c r="I417" i="10"/>
  <c r="J417" i="10"/>
  <c r="K417" i="10"/>
  <c r="L417" i="10"/>
  <c r="M417" i="10"/>
  <c r="N418" i="10"/>
  <c r="N417" i="10" s="1"/>
  <c r="D421" i="10"/>
  <c r="N426" i="10" s="1"/>
  <c r="K421" i="10"/>
  <c r="L421" i="10"/>
  <c r="M421" i="10"/>
  <c r="J422" i="10"/>
  <c r="N422" i="10"/>
  <c r="J424" i="10"/>
  <c r="N424" i="10"/>
  <c r="J425" i="10"/>
  <c r="N425" i="10"/>
  <c r="D428" i="10"/>
  <c r="N432" i="10" s="1"/>
  <c r="I428" i="10"/>
  <c r="K428" i="10"/>
  <c r="L428" i="10"/>
  <c r="M428" i="10"/>
  <c r="J429" i="10"/>
  <c r="N429" i="10"/>
  <c r="J431" i="10"/>
  <c r="N431" i="10"/>
  <c r="D434" i="10"/>
  <c r="N442" i="10" s="1"/>
  <c r="L434" i="10"/>
  <c r="M434" i="10"/>
  <c r="J435" i="10"/>
  <c r="J438" i="10"/>
  <c r="N438" i="10"/>
  <c r="J439" i="10"/>
  <c r="N439" i="10"/>
  <c r="K440" i="10"/>
  <c r="K434" i="10" s="1"/>
  <c r="N440" i="10"/>
  <c r="J441" i="10"/>
  <c r="N441" i="10"/>
  <c r="D444" i="10"/>
  <c r="N452" i="10" s="1"/>
  <c r="I444" i="10"/>
  <c r="K444" i="10"/>
  <c r="L444" i="10"/>
  <c r="J445" i="10"/>
  <c r="N445" i="10"/>
  <c r="J447" i="10"/>
  <c r="N447" i="10"/>
  <c r="M450" i="10"/>
  <c r="M444" i="10" s="1"/>
  <c r="I454" i="10"/>
  <c r="J454" i="10"/>
  <c r="K454" i="10"/>
  <c r="L454" i="10"/>
  <c r="M454" i="10"/>
  <c r="N455" i="10"/>
  <c r="N454" i="10" s="1"/>
  <c r="D458" i="10"/>
  <c r="F19" i="4" s="1"/>
  <c r="G19" i="4" s="1"/>
  <c r="I458" i="10"/>
  <c r="K458" i="10"/>
  <c r="L458" i="10"/>
  <c r="M458" i="10"/>
  <c r="J459" i="10"/>
  <c r="J458" i="10" s="1"/>
  <c r="N459" i="10"/>
  <c r="N458" i="10" s="1"/>
  <c r="D464" i="10"/>
  <c r="G464" i="10"/>
  <c r="J465" i="10"/>
  <c r="N465" i="10"/>
  <c r="N464" i="10" s="1"/>
  <c r="D467" i="10"/>
  <c r="N469" i="10" s="1"/>
  <c r="I467" i="10"/>
  <c r="K467" i="10"/>
  <c r="L467" i="10"/>
  <c r="M467" i="10"/>
  <c r="J468" i="10"/>
  <c r="J467" i="10" s="1"/>
  <c r="N468" i="10"/>
  <c r="D471" i="10"/>
  <c r="N473" i="10" s="1"/>
  <c r="I471" i="10"/>
  <c r="K471" i="10"/>
  <c r="L471" i="10"/>
  <c r="M471" i="10"/>
  <c r="J472" i="10"/>
  <c r="J471" i="10" s="1"/>
  <c r="N472" i="10"/>
  <c r="D475" i="10"/>
  <c r="I475" i="10"/>
  <c r="J475" i="10"/>
  <c r="L475" i="10"/>
  <c r="M475" i="10"/>
  <c r="K476" i="10"/>
  <c r="N476" i="10"/>
  <c r="D479" i="10"/>
  <c r="M479" i="10"/>
  <c r="J482" i="10"/>
  <c r="J479" i="10" s="1"/>
  <c r="N482" i="10"/>
  <c r="L483" i="10"/>
  <c r="L479" i="10" s="1"/>
  <c r="N483" i="10"/>
  <c r="K485" i="10"/>
  <c r="N485" i="10"/>
  <c r="K487" i="10"/>
  <c r="N487" i="10"/>
  <c r="I489" i="10"/>
  <c r="I479" i="10" s="1"/>
  <c r="K491" i="10"/>
  <c r="N491" i="10"/>
  <c r="D494" i="10"/>
  <c r="N496" i="10" s="1"/>
  <c r="I494" i="10"/>
  <c r="J494" i="10"/>
  <c r="L494" i="10"/>
  <c r="M494" i="10"/>
  <c r="K495" i="10"/>
  <c r="K494" i="10" s="1"/>
  <c r="N495" i="10"/>
  <c r="I498" i="10"/>
  <c r="N498" i="10"/>
  <c r="K499" i="10"/>
  <c r="E501" i="10"/>
  <c r="D504" i="10"/>
  <c r="D508" i="10"/>
  <c r="L508" i="10"/>
  <c r="M508" i="10"/>
  <c r="I509" i="10"/>
  <c r="N509" i="10" s="1"/>
  <c r="I510" i="10"/>
  <c r="I181" i="10" s="1"/>
  <c r="G512" i="10"/>
  <c r="I512" i="10"/>
  <c r="K512" i="10" s="1"/>
  <c r="I516" i="10"/>
  <c r="I184" i="10" s="1"/>
  <c r="N184" i="10" s="1"/>
  <c r="I518" i="10"/>
  <c r="G520" i="10"/>
  <c r="I520" i="10"/>
  <c r="I14" i="10" s="1"/>
  <c r="I522" i="10"/>
  <c r="I31" i="10" s="1"/>
  <c r="J523" i="10"/>
  <c r="N523" i="10"/>
  <c r="K524" i="10"/>
  <c r="N524" i="10"/>
  <c r="J526" i="10"/>
  <c r="N526" i="10"/>
  <c r="J527" i="10"/>
  <c r="K527" i="10" s="1"/>
  <c r="N527" i="10"/>
  <c r="I528" i="10"/>
  <c r="I39" i="10" s="1"/>
  <c r="I530" i="10"/>
  <c r="I532" i="10"/>
  <c r="J532" i="10" s="1"/>
  <c r="I533" i="10"/>
  <c r="I58" i="10" s="1"/>
  <c r="K534" i="10"/>
  <c r="N534" i="10"/>
  <c r="G536" i="10"/>
  <c r="I536" i="10"/>
  <c r="K536" i="10" s="1"/>
  <c r="J538" i="10"/>
  <c r="J539" i="10"/>
  <c r="J540" i="10"/>
  <c r="K541" i="10"/>
  <c r="N541" i="10"/>
  <c r="I545" i="10"/>
  <c r="I313" i="10" s="1"/>
  <c r="K547" i="10"/>
  <c r="N547" i="10"/>
  <c r="K549" i="10"/>
  <c r="N549" i="10"/>
  <c r="K550" i="10"/>
  <c r="N550" i="10"/>
  <c r="K552" i="10"/>
  <c r="N552" i="10"/>
  <c r="K553" i="10"/>
  <c r="N553" i="10"/>
  <c r="I555" i="10"/>
  <c r="K555" i="10" s="1"/>
  <c r="I556" i="10"/>
  <c r="K556" i="10" s="1"/>
  <c r="K558" i="10"/>
  <c r="N558" i="10"/>
  <c r="K559" i="10"/>
  <c r="N559" i="10"/>
  <c r="K561" i="10"/>
  <c r="N561" i="10"/>
  <c r="K562" i="10"/>
  <c r="N562" i="10"/>
  <c r="K564" i="10"/>
  <c r="N564" i="10"/>
  <c r="K565" i="10"/>
  <c r="N565" i="10"/>
  <c r="K567" i="10"/>
  <c r="N567" i="10"/>
  <c r="K569" i="10"/>
  <c r="N569" i="10"/>
  <c r="K571" i="10"/>
  <c r="N571" i="10"/>
  <c r="K573" i="10"/>
  <c r="N573" i="10"/>
  <c r="K575" i="10"/>
  <c r="N575" i="10"/>
  <c r="K576" i="10"/>
  <c r="N576" i="10"/>
  <c r="K578" i="10"/>
  <c r="N578" i="10"/>
  <c r="N580" i="10"/>
  <c r="K582" i="10"/>
  <c r="K583" i="10"/>
  <c r="N583" i="10"/>
  <c r="K585" i="10"/>
  <c r="N585" i="10"/>
  <c r="K587" i="10"/>
  <c r="N587" i="10"/>
  <c r="K589" i="10"/>
  <c r="N589" i="10"/>
  <c r="K591" i="10"/>
  <c r="N591" i="10"/>
  <c r="K593" i="10"/>
  <c r="N593" i="10"/>
  <c r="K595" i="10"/>
  <c r="N595" i="10"/>
  <c r="K596" i="10"/>
  <c r="N596" i="10"/>
  <c r="K598" i="10"/>
  <c r="N598" i="10"/>
  <c r="K600" i="10"/>
  <c r="N600" i="10"/>
  <c r="K601" i="10"/>
  <c r="N601" i="10"/>
  <c r="K603" i="10"/>
  <c r="N603" i="10"/>
  <c r="K604" i="10"/>
  <c r="N604" i="10"/>
  <c r="K606" i="10"/>
  <c r="N606" i="10"/>
  <c r="K607" i="10"/>
  <c r="N607" i="10"/>
  <c r="K609" i="10"/>
  <c r="N609" i="10"/>
  <c r="K611" i="10"/>
  <c r="N611" i="10"/>
  <c r="K613" i="10"/>
  <c r="N613" i="10"/>
  <c r="K615" i="10"/>
  <c r="N615" i="10"/>
  <c r="K617" i="10"/>
  <c r="N617" i="10"/>
  <c r="K619" i="10"/>
  <c r="N619" i="10"/>
  <c r="I621" i="10"/>
  <c r="K623" i="10"/>
  <c r="N623" i="10"/>
  <c r="K625" i="10"/>
  <c r="N625" i="10"/>
  <c r="K626" i="10"/>
  <c r="N626" i="10"/>
  <c r="K628" i="10"/>
  <c r="N628" i="10"/>
  <c r="K630" i="10"/>
  <c r="N630" i="10"/>
  <c r="K631" i="10"/>
  <c r="N631" i="10"/>
  <c r="K633" i="10"/>
  <c r="N633" i="10"/>
  <c r="K634" i="10"/>
  <c r="N634" i="10"/>
  <c r="K636" i="10"/>
  <c r="N636" i="10"/>
  <c r="K638" i="10"/>
  <c r="N638" i="10"/>
  <c r="G640" i="10"/>
  <c r="K640" i="10"/>
  <c r="N640" i="10"/>
  <c r="G642" i="10"/>
  <c r="K642" i="10"/>
  <c r="N642" i="10"/>
  <c r="G644" i="10"/>
  <c r="K644" i="10"/>
  <c r="N644" i="10"/>
  <c r="G646" i="10"/>
  <c r="K646" i="10"/>
  <c r="N646" i="10"/>
  <c r="I647" i="10"/>
  <c r="K647" i="10" s="1"/>
  <c r="G649" i="10"/>
  <c r="K649" i="10"/>
  <c r="N649" i="10"/>
  <c r="G651" i="10"/>
  <c r="K651" i="10"/>
  <c r="N651" i="10"/>
  <c r="K652" i="10"/>
  <c r="K654" i="10"/>
  <c r="N654" i="10"/>
  <c r="I656" i="10"/>
  <c r="I82" i="10" s="1"/>
  <c r="I657" i="10"/>
  <c r="I83" i="10" s="1"/>
  <c r="N83" i="10" s="1"/>
  <c r="N657" i="10"/>
  <c r="N658" i="10"/>
  <c r="K660" i="10"/>
  <c r="K661" i="10"/>
  <c r="N661" i="10"/>
  <c r="K663" i="10"/>
  <c r="N663" i="10"/>
  <c r="K665" i="10"/>
  <c r="N665" i="10"/>
  <c r="K666" i="10"/>
  <c r="N666" i="10"/>
  <c r="K668" i="10"/>
  <c r="N668" i="10"/>
  <c r="K670" i="10"/>
  <c r="N670" i="10"/>
  <c r="K672" i="10"/>
  <c r="N672" i="10"/>
  <c r="K674" i="10"/>
  <c r="N674" i="10"/>
  <c r="K676" i="10"/>
  <c r="N676" i="10"/>
  <c r="K678" i="10"/>
  <c r="N678" i="10"/>
  <c r="K680" i="10"/>
  <c r="N680" i="10"/>
  <c r="K682" i="10"/>
  <c r="N682" i="10"/>
  <c r="I684" i="10"/>
  <c r="K686" i="10"/>
  <c r="N686" i="10"/>
  <c r="K688" i="10"/>
  <c r="N688" i="10"/>
  <c r="G690" i="10"/>
  <c r="K690" i="10"/>
  <c r="N690" i="10"/>
  <c r="G692" i="10"/>
  <c r="K692" i="10"/>
  <c r="N692" i="10"/>
  <c r="K694" i="10"/>
  <c r="N694" i="10"/>
  <c r="K696" i="10"/>
  <c r="N696" i="10"/>
  <c r="K698" i="10"/>
  <c r="N698" i="10"/>
  <c r="K700" i="10"/>
  <c r="N700" i="10"/>
  <c r="K702" i="10"/>
  <c r="N702" i="10"/>
  <c r="I704" i="10"/>
  <c r="K704" i="10" s="1"/>
  <c r="K706" i="10"/>
  <c r="N706" i="10"/>
  <c r="K707" i="10"/>
  <c r="N707" i="10"/>
  <c r="K709" i="10"/>
  <c r="N709" i="10"/>
  <c r="I711" i="10"/>
  <c r="K713" i="10"/>
  <c r="N713" i="10"/>
  <c r="K715" i="10"/>
  <c r="N715" i="10"/>
  <c r="K717" i="10"/>
  <c r="N717" i="10"/>
  <c r="K718" i="10"/>
  <c r="N718" i="10"/>
  <c r="K720" i="10"/>
  <c r="N720" i="10"/>
  <c r="K721" i="10"/>
  <c r="N721" i="10"/>
  <c r="K723" i="10"/>
  <c r="N723" i="10"/>
  <c r="K725" i="10"/>
  <c r="N725" i="10"/>
  <c r="K727" i="10"/>
  <c r="N727" i="10"/>
  <c r="K729" i="10"/>
  <c r="N729" i="10"/>
  <c r="K731" i="10"/>
  <c r="N731" i="10"/>
  <c r="G733" i="10"/>
  <c r="K733" i="10"/>
  <c r="N733" i="10"/>
  <c r="G735" i="10"/>
  <c r="K735" i="10"/>
  <c r="N735" i="10"/>
  <c r="G737" i="10"/>
  <c r="K737" i="10"/>
  <c r="N737" i="10"/>
  <c r="G739" i="10"/>
  <c r="K739" i="10"/>
  <c r="N739" i="10"/>
  <c r="G741" i="10"/>
  <c r="K741" i="10"/>
  <c r="N741" i="10"/>
  <c r="I743" i="10"/>
  <c r="J743" i="10" s="1"/>
  <c r="I744" i="10"/>
  <c r="I100" i="10" s="1"/>
  <c r="K745" i="10"/>
  <c r="N745" i="10"/>
  <c r="I747" i="10"/>
  <c r="K750" i="10"/>
  <c r="J753" i="10"/>
  <c r="N753" i="10"/>
  <c r="J754" i="10"/>
  <c r="K755" i="10"/>
  <c r="N755" i="10"/>
  <c r="K757" i="10"/>
  <c r="N757" i="10"/>
  <c r="K759" i="10"/>
  <c r="N759" i="10"/>
  <c r="K760" i="10"/>
  <c r="N760" i="10"/>
  <c r="J762" i="10"/>
  <c r="N762" i="10"/>
  <c r="J763" i="10"/>
  <c r="N763" i="10"/>
  <c r="K764" i="10"/>
  <c r="N764" i="10"/>
  <c r="J766" i="10"/>
  <c r="N766" i="10"/>
  <c r="K767" i="10"/>
  <c r="N767" i="10"/>
  <c r="K769" i="10"/>
  <c r="N769" i="10"/>
  <c r="K771" i="10"/>
  <c r="N771" i="10"/>
  <c r="K773" i="10"/>
  <c r="N773" i="10"/>
  <c r="K775" i="10"/>
  <c r="N775" i="10"/>
  <c r="K777" i="10"/>
  <c r="N777" i="10"/>
  <c r="K779" i="10"/>
  <c r="N779" i="10"/>
  <c r="K781" i="10"/>
  <c r="N781" i="10"/>
  <c r="K783" i="10"/>
  <c r="N783" i="10"/>
  <c r="K785" i="10"/>
  <c r="N785" i="10"/>
  <c r="K787" i="10"/>
  <c r="N787" i="10"/>
  <c r="K788" i="10"/>
  <c r="N788" i="10"/>
  <c r="K790" i="10"/>
  <c r="N790" i="10"/>
  <c r="K791" i="10"/>
  <c r="N791" i="10"/>
  <c r="K793" i="10"/>
  <c r="N793" i="10"/>
  <c r="K794" i="10"/>
  <c r="N794" i="10"/>
  <c r="K796" i="10"/>
  <c r="N796" i="10"/>
  <c r="K797" i="10"/>
  <c r="N797" i="10"/>
  <c r="K799" i="10"/>
  <c r="N799" i="10"/>
  <c r="K801" i="10"/>
  <c r="N801" i="10"/>
  <c r="K803" i="10"/>
  <c r="N803" i="10"/>
  <c r="K805" i="10"/>
  <c r="N805" i="10"/>
  <c r="J807" i="10"/>
  <c r="N807" i="10"/>
  <c r="K808" i="10"/>
  <c r="N808" i="10"/>
  <c r="N810" i="10"/>
  <c r="G812" i="10"/>
  <c r="N812" i="10"/>
  <c r="G814" i="10"/>
  <c r="N814" i="10"/>
  <c r="G816" i="10"/>
  <c r="N816" i="10"/>
  <c r="G818" i="10"/>
  <c r="N818" i="10"/>
  <c r="K820" i="10"/>
  <c r="N820" i="10"/>
  <c r="I822" i="10"/>
  <c r="D825" i="10"/>
  <c r="E825" i="10" s="1"/>
  <c r="I825" i="10"/>
  <c r="J825" i="10"/>
  <c r="L825" i="10"/>
  <c r="M825" i="10"/>
  <c r="K826" i="10"/>
  <c r="K825" i="10" s="1"/>
  <c r="N826" i="10"/>
  <c r="N825" i="10" s="1"/>
  <c r="D828" i="10"/>
  <c r="E828" i="10" s="1"/>
  <c r="I828" i="10"/>
  <c r="K828" i="10"/>
  <c r="L828" i="10"/>
  <c r="M828" i="10"/>
  <c r="J829" i="10"/>
  <c r="J828" i="10" s="1"/>
  <c r="N829" i="10"/>
  <c r="N828" i="10" s="1"/>
  <c r="D831" i="10"/>
  <c r="E831" i="10" s="1"/>
  <c r="I831" i="10"/>
  <c r="J831" i="10"/>
  <c r="L831" i="10"/>
  <c r="M831" i="10"/>
  <c r="K832" i="10"/>
  <c r="K831" i="10" s="1"/>
  <c r="N832" i="10"/>
  <c r="N831" i="10" s="1"/>
  <c r="D834" i="10"/>
  <c r="E834" i="10" s="1"/>
  <c r="I834" i="10"/>
  <c r="K834" i="10"/>
  <c r="L834" i="10"/>
  <c r="M834" i="10"/>
  <c r="J835" i="10"/>
  <c r="J834" i="10" s="1"/>
  <c r="N835" i="10"/>
  <c r="N834" i="10" s="1"/>
  <c r="D837" i="10"/>
  <c r="E837" i="10" s="1"/>
  <c r="I837" i="10"/>
  <c r="K837" i="10"/>
  <c r="L837" i="10"/>
  <c r="M837" i="10"/>
  <c r="J838" i="10"/>
  <c r="J837" i="10" s="1"/>
  <c r="N838" i="10"/>
  <c r="N837" i="10" s="1"/>
  <c r="D840" i="10"/>
  <c r="N842" i="10" s="1"/>
  <c r="I840" i="10"/>
  <c r="J840" i="10"/>
  <c r="L840" i="10"/>
  <c r="M840" i="10"/>
  <c r="K841" i="10"/>
  <c r="K840" i="10" s="1"/>
  <c r="N841" i="10"/>
  <c r="D844" i="10"/>
  <c r="E844" i="10" s="1"/>
  <c r="I844" i="10"/>
  <c r="K844" i="10"/>
  <c r="L844" i="10"/>
  <c r="M844" i="10"/>
  <c r="J845" i="10"/>
  <c r="J844" i="10" s="1"/>
  <c r="N845" i="10"/>
  <c r="N844" i="10" s="1"/>
  <c r="E847" i="10"/>
  <c r="I847" i="10"/>
  <c r="K847" i="10"/>
  <c r="L847" i="10"/>
  <c r="M847" i="10"/>
  <c r="N847" i="10"/>
  <c r="J848" i="10"/>
  <c r="J847" i="10" s="1"/>
  <c r="D850" i="10"/>
  <c r="I850" i="10"/>
  <c r="K850" i="10"/>
  <c r="L850" i="10"/>
  <c r="M850" i="10"/>
  <c r="J850" i="10"/>
  <c r="N851" i="10"/>
  <c r="J852" i="10"/>
  <c r="N852" i="10"/>
  <c r="D854" i="10"/>
  <c r="E854" i="10" s="1"/>
  <c r="I854" i="10"/>
  <c r="K854" i="10"/>
  <c r="L854" i="10"/>
  <c r="M854" i="10"/>
  <c r="J855" i="10"/>
  <c r="J854" i="10" s="1"/>
  <c r="N855" i="10"/>
  <c r="N854" i="10" s="1"/>
  <c r="D857" i="10"/>
  <c r="E857" i="10" s="1"/>
  <c r="I857" i="10"/>
  <c r="K857" i="10"/>
  <c r="L857" i="10"/>
  <c r="M857" i="10"/>
  <c r="J858" i="10"/>
  <c r="J857" i="10" s="1"/>
  <c r="N858" i="10"/>
  <c r="N857" i="10" s="1"/>
  <c r="B860" i="10"/>
  <c r="D860" i="10"/>
  <c r="E860" i="10" s="1"/>
  <c r="E991" i="10" s="1"/>
  <c r="L860" i="10"/>
  <c r="M860" i="10"/>
  <c r="G861" i="10"/>
  <c r="I861" i="10"/>
  <c r="R14" i="10" s="1"/>
  <c r="J862" i="10"/>
  <c r="N862" i="10"/>
  <c r="K863" i="10"/>
  <c r="K860" i="10" s="1"/>
  <c r="N863" i="10"/>
  <c r="D867" i="10"/>
  <c r="N879" i="10" s="1"/>
  <c r="I867" i="10"/>
  <c r="J867" i="10"/>
  <c r="L867" i="10"/>
  <c r="M867" i="10"/>
  <c r="K868" i="10"/>
  <c r="N868" i="10"/>
  <c r="K870" i="10"/>
  <c r="N870" i="10"/>
  <c r="K872" i="10"/>
  <c r="N872" i="10"/>
  <c r="G874" i="10"/>
  <c r="K874" i="10"/>
  <c r="N874" i="10"/>
  <c r="G876" i="10"/>
  <c r="K876" i="10"/>
  <c r="N876" i="10"/>
  <c r="G878" i="10"/>
  <c r="K878" i="10"/>
  <c r="N878" i="10"/>
  <c r="D881" i="10"/>
  <c r="E881" i="10" s="1"/>
  <c r="I881" i="10"/>
  <c r="J881" i="10"/>
  <c r="L881" i="10"/>
  <c r="M881" i="10"/>
  <c r="K882" i="10"/>
  <c r="K881" i="10" s="1"/>
  <c r="N882" i="10"/>
  <c r="N881" i="10" s="1"/>
  <c r="I885" i="10"/>
  <c r="J885" i="10"/>
  <c r="K885" i="10"/>
  <c r="L885" i="10"/>
  <c r="M885" i="10"/>
  <c r="N886" i="10"/>
  <c r="N885" i="10" s="1"/>
  <c r="D888" i="10"/>
  <c r="E888" i="10" s="1"/>
  <c r="I888" i="10"/>
  <c r="K888" i="10"/>
  <c r="L888" i="10"/>
  <c r="M888" i="10"/>
  <c r="G889" i="10"/>
  <c r="J889" i="10"/>
  <c r="J888" i="10" s="1"/>
  <c r="N889" i="10"/>
  <c r="N888" i="10" s="1"/>
  <c r="I892" i="10"/>
  <c r="J892" i="10"/>
  <c r="K892" i="10"/>
  <c r="L892" i="10"/>
  <c r="M892" i="10"/>
  <c r="N893" i="10"/>
  <c r="N892" i="10" s="1"/>
  <c r="D895" i="10"/>
  <c r="N897" i="10" s="1"/>
  <c r="I895" i="10"/>
  <c r="K895" i="10"/>
  <c r="L895" i="10"/>
  <c r="M895" i="10"/>
  <c r="J896" i="10"/>
  <c r="J895" i="10" s="1"/>
  <c r="N896" i="10"/>
  <c r="I900" i="10"/>
  <c r="J900" i="10"/>
  <c r="K900" i="10"/>
  <c r="L900" i="10"/>
  <c r="M900" i="10"/>
  <c r="N901" i="10"/>
  <c r="N900" i="10" s="1"/>
  <c r="I903" i="10"/>
  <c r="J903" i="10"/>
  <c r="K903" i="10"/>
  <c r="L903" i="10"/>
  <c r="M903" i="10"/>
  <c r="N904" i="10"/>
  <c r="N903" i="10" s="1"/>
  <c r="I906" i="10"/>
  <c r="J906" i="10"/>
  <c r="K906" i="10"/>
  <c r="L906" i="10"/>
  <c r="M906" i="10"/>
  <c r="N907" i="10"/>
  <c r="N906" i="10" s="1"/>
  <c r="I909" i="10"/>
  <c r="J909" i="10"/>
  <c r="K909" i="10"/>
  <c r="L909" i="10"/>
  <c r="M909" i="10"/>
  <c r="N910" i="10"/>
  <c r="N909" i="10" s="1"/>
  <c r="E912" i="10"/>
  <c r="I912" i="10"/>
  <c r="J912" i="10"/>
  <c r="L912" i="10"/>
  <c r="M912" i="10"/>
  <c r="N912" i="10"/>
  <c r="K913" i="10"/>
  <c r="K912" i="10" s="1"/>
  <c r="D915" i="10"/>
  <c r="N920" i="10" s="1"/>
  <c r="L915" i="10"/>
  <c r="M915" i="10"/>
  <c r="J916" i="10"/>
  <c r="I917" i="10"/>
  <c r="I343" i="10" s="1"/>
  <c r="I918" i="10"/>
  <c r="K919" i="10"/>
  <c r="K915" i="10" s="1"/>
  <c r="N919" i="10"/>
  <c r="D922" i="10"/>
  <c r="N929" i="10" s="1"/>
  <c r="L922" i="10"/>
  <c r="M922" i="10"/>
  <c r="I923" i="10"/>
  <c r="I330" i="10" s="1"/>
  <c r="J924" i="10"/>
  <c r="K925" i="10"/>
  <c r="K922" i="10" s="1"/>
  <c r="N925" i="10"/>
  <c r="I926" i="10"/>
  <c r="J926" i="10" s="1"/>
  <c r="I928" i="10"/>
  <c r="N928" i="10" s="1"/>
  <c r="D931" i="10"/>
  <c r="N935" i="10" s="1"/>
  <c r="L931" i="10"/>
  <c r="M931" i="10"/>
  <c r="I932" i="10"/>
  <c r="N932" i="10" s="1"/>
  <c r="J933" i="10"/>
  <c r="I934" i="10"/>
  <c r="N934" i="10" s="1"/>
  <c r="D937" i="10"/>
  <c r="E937" i="10" s="1"/>
  <c r="L937" i="10"/>
  <c r="M937" i="10"/>
  <c r="J938" i="10"/>
  <c r="N938" i="10"/>
  <c r="I939" i="10"/>
  <c r="I262" i="10" s="1"/>
  <c r="I940" i="10"/>
  <c r="I264" i="10" s="1"/>
  <c r="N940" i="10"/>
  <c r="J941" i="10"/>
  <c r="I943" i="10"/>
  <c r="N943" i="10" s="1"/>
  <c r="I944" i="10"/>
  <c r="I945" i="10"/>
  <c r="N945" i="10" s="1"/>
  <c r="N946" i="10"/>
  <c r="D953" i="10"/>
  <c r="N957" i="10" s="1"/>
  <c r="L953" i="10"/>
  <c r="M953" i="10"/>
  <c r="J954" i="10"/>
  <c r="N954" i="10"/>
  <c r="I955" i="10"/>
  <c r="I277" i="10" s="1"/>
  <c r="K956" i="10"/>
  <c r="K953" i="10" s="1"/>
  <c r="N956" i="10"/>
  <c r="D959" i="10"/>
  <c r="E959" i="10" s="1"/>
  <c r="N967" i="10" s="1"/>
  <c r="L959" i="10"/>
  <c r="M959" i="10"/>
  <c r="J960" i="10"/>
  <c r="N960" i="10"/>
  <c r="I962" i="10"/>
  <c r="I963" i="10"/>
  <c r="N963" i="10" s="1"/>
  <c r="I964" i="10"/>
  <c r="I303" i="10" s="1"/>
  <c r="N303" i="10" s="1"/>
  <c r="N966" i="10"/>
  <c r="D969" i="10"/>
  <c r="L969" i="10"/>
  <c r="M969" i="10"/>
  <c r="I970" i="10"/>
  <c r="I971" i="10"/>
  <c r="I311" i="10" s="1"/>
  <c r="K972" i="10"/>
  <c r="N972" i="10"/>
  <c r="K974" i="10"/>
  <c r="N974" i="10"/>
  <c r="K976" i="10"/>
  <c r="N976" i="10"/>
  <c r="G978" i="10"/>
  <c r="K978" i="10"/>
  <c r="N978" i="10"/>
  <c r="G980" i="10"/>
  <c r="K980" i="10"/>
  <c r="N980" i="10"/>
  <c r="D986" i="10"/>
  <c r="E986" i="10" s="1"/>
  <c r="I986" i="10"/>
  <c r="J986" i="10"/>
  <c r="L986" i="10"/>
  <c r="M986" i="10"/>
  <c r="J987" i="10"/>
  <c r="N987" i="10"/>
  <c r="K988" i="10"/>
  <c r="K986" i="10" s="1"/>
  <c r="N988" i="10"/>
  <c r="E1021" i="10"/>
  <c r="F992" i="10"/>
  <c r="I1008" i="10"/>
  <c r="N1014" i="10"/>
  <c r="N1015" i="10"/>
  <c r="E1025" i="10"/>
  <c r="E1033" i="10"/>
  <c r="K33" i="10" l="1"/>
  <c r="N345" i="10"/>
  <c r="N15" i="10"/>
  <c r="E969" i="10"/>
  <c r="E992" i="10" s="1"/>
  <c r="D992" i="10"/>
  <c r="J37" i="10"/>
  <c r="N923" i="10"/>
  <c r="J252" i="10"/>
  <c r="J251" i="10" s="1"/>
  <c r="K657" i="10"/>
  <c r="J42" i="10"/>
  <c r="N1017" i="10"/>
  <c r="J963" i="10"/>
  <c r="K144" i="10"/>
  <c r="N512" i="10"/>
  <c r="N278" i="10"/>
  <c r="K528" i="10"/>
  <c r="I437" i="10"/>
  <c r="I434" i="10" s="1"/>
  <c r="N98" i="10"/>
  <c r="K945" i="10"/>
  <c r="N823" i="10"/>
  <c r="D991" i="10"/>
  <c r="M992" i="10"/>
  <c r="I931" i="10"/>
  <c r="L992" i="10"/>
  <c r="N555" i="10"/>
  <c r="N516" i="10"/>
  <c r="M991" i="10"/>
  <c r="K516" i="10"/>
  <c r="L991" i="10"/>
  <c r="N42" i="10"/>
  <c r="N1004" i="10"/>
  <c r="N1012" i="10" s="1"/>
  <c r="N939" i="10"/>
  <c r="K934" i="10"/>
  <c r="K931" i="10" s="1"/>
  <c r="J928" i="10"/>
  <c r="J939" i="10"/>
  <c r="J937" i="10" s="1"/>
  <c r="N84" i="10"/>
  <c r="N312" i="10"/>
  <c r="L501" i="10"/>
  <c r="J444" i="10"/>
  <c r="J364" i="10"/>
  <c r="J361" i="10" s="1"/>
  <c r="J283" i="10"/>
  <c r="N122" i="10"/>
  <c r="G20" i="1"/>
  <c r="G22" i="1" s="1"/>
  <c r="N121" i="10"/>
  <c r="N520" i="10"/>
  <c r="N253" i="10"/>
  <c r="N251" i="10" s="1"/>
  <c r="N120" i="10"/>
  <c r="M502" i="10"/>
  <c r="N355" i="10"/>
  <c r="I423" i="10"/>
  <c r="I421" i="10" s="1"/>
  <c r="N1008" i="10"/>
  <c r="N621" i="10"/>
  <c r="N545" i="10"/>
  <c r="N536" i="10"/>
  <c r="N530" i="10"/>
  <c r="J428" i="10"/>
  <c r="K621" i="10"/>
  <c r="N556" i="10"/>
  <c r="K545" i="10"/>
  <c r="J530" i="10"/>
  <c r="N315" i="10"/>
  <c r="N135" i="10"/>
  <c r="N16" i="10"/>
  <c r="K969" i="10"/>
  <c r="J923" i="10"/>
  <c r="N917" i="10"/>
  <c r="N743" i="10"/>
  <c r="N711" i="10"/>
  <c r="N467" i="10"/>
  <c r="N396" i="10"/>
  <c r="N392" i="10" s="1"/>
  <c r="N261" i="10"/>
  <c r="N477" i="10"/>
  <c r="N475" i="10" s="1"/>
  <c r="F17" i="4"/>
  <c r="N971" i="10"/>
  <c r="N964" i="10"/>
  <c r="K711" i="10"/>
  <c r="N533" i="10"/>
  <c r="J522" i="10"/>
  <c r="M503" i="10"/>
  <c r="M1023" i="10" s="1"/>
  <c r="N43" i="10"/>
  <c r="J971" i="10"/>
  <c r="K964" i="10"/>
  <c r="K959" i="10" s="1"/>
  <c r="K475" i="10"/>
  <c r="L17" i="4"/>
  <c r="N295" i="10"/>
  <c r="N127" i="10"/>
  <c r="J932" i="10"/>
  <c r="J931" i="10" s="1"/>
  <c r="E464" i="10"/>
  <c r="F21" i="4"/>
  <c r="M501" i="10"/>
  <c r="J386" i="10"/>
  <c r="K332" i="10"/>
  <c r="K326" i="10" s="1"/>
  <c r="J295" i="10"/>
  <c r="I953" i="10"/>
  <c r="I267" i="10"/>
  <c r="K267" i="10" s="1"/>
  <c r="I251" i="10"/>
  <c r="N656" i="10"/>
  <c r="N510" i="10"/>
  <c r="K489" i="10"/>
  <c r="K479" i="10" s="1"/>
  <c r="O403" i="10"/>
  <c r="N378" i="10"/>
  <c r="I226" i="10"/>
  <c r="I220" i="10" s="1"/>
  <c r="I65" i="10"/>
  <c r="R13" i="10" s="1"/>
  <c r="J955" i="10"/>
  <c r="J953" i="10" s="1"/>
  <c r="J744" i="10"/>
  <c r="K656" i="10"/>
  <c r="J510" i="10"/>
  <c r="J135" i="10"/>
  <c r="N101" i="10"/>
  <c r="N850" i="10"/>
  <c r="D502" i="10"/>
  <c r="N471" i="10"/>
  <c r="N144" i="10"/>
  <c r="N319" i="10"/>
  <c r="N174" i="10"/>
  <c r="E993" i="10"/>
  <c r="N840" i="10"/>
  <c r="N895" i="10"/>
  <c r="N494" i="10"/>
  <c r="N375" i="10"/>
  <c r="N986" i="10"/>
  <c r="N386" i="10"/>
  <c r="N931" i="10"/>
  <c r="N444" i="10"/>
  <c r="N170" i="10"/>
  <c r="I301" i="10"/>
  <c r="I959" i="10"/>
  <c r="J962" i="10"/>
  <c r="N962" i="10"/>
  <c r="J330" i="10"/>
  <c r="K82" i="10"/>
  <c r="N82" i="10"/>
  <c r="J518" i="10"/>
  <c r="N518" i="10"/>
  <c r="I212" i="10"/>
  <c r="J747" i="10"/>
  <c r="N747" i="10"/>
  <c r="R7" i="10"/>
  <c r="K39" i="10"/>
  <c r="N39" i="10"/>
  <c r="J181" i="10"/>
  <c r="O6" i="10"/>
  <c r="N181" i="10"/>
  <c r="J319" i="10"/>
  <c r="I272" i="10"/>
  <c r="N267" i="10"/>
  <c r="P4" i="10"/>
  <c r="J343" i="10"/>
  <c r="N343" i="10"/>
  <c r="R16" i="10"/>
  <c r="J311" i="10"/>
  <c r="N311" i="10"/>
  <c r="K264" i="10"/>
  <c r="N264" i="10"/>
  <c r="K184" i="10"/>
  <c r="K178" i="10" s="1"/>
  <c r="K822" i="10"/>
  <c r="N822" i="10"/>
  <c r="I508" i="10"/>
  <c r="K867" i="10"/>
  <c r="N330" i="10"/>
  <c r="J220" i="10"/>
  <c r="K83" i="10"/>
  <c r="J423" i="10"/>
  <c r="J421" i="10" s="1"/>
  <c r="N423" i="10"/>
  <c r="N421" i="10" s="1"/>
  <c r="I969" i="10"/>
  <c r="J970" i="10"/>
  <c r="N970" i="10"/>
  <c r="I310" i="10"/>
  <c r="N867" i="10"/>
  <c r="J58" i="10"/>
  <c r="N58" i="10"/>
  <c r="J31" i="10"/>
  <c r="N31" i="10"/>
  <c r="R6" i="10"/>
  <c r="N944" i="10"/>
  <c r="I268" i="10"/>
  <c r="J262" i="10"/>
  <c r="J257" i="10" s="1"/>
  <c r="N262" i="10"/>
  <c r="O9" i="10"/>
  <c r="J14" i="10"/>
  <c r="N14" i="10"/>
  <c r="L502" i="10"/>
  <c r="N492" i="10"/>
  <c r="N479" i="10" s="1"/>
  <c r="K303" i="10"/>
  <c r="K291" i="10" s="1"/>
  <c r="N249" i="10"/>
  <c r="D501" i="10"/>
  <c r="R8" i="10"/>
  <c r="J277" i="10"/>
  <c r="N277" i="10"/>
  <c r="J918" i="10"/>
  <c r="N918" i="10"/>
  <c r="I344" i="10"/>
  <c r="R1" i="10" s="1"/>
  <c r="J100" i="10"/>
  <c r="N100" i="10"/>
  <c r="K313" i="10"/>
  <c r="K306" i="10" s="1"/>
  <c r="N313" i="10"/>
  <c r="N428" i="10"/>
  <c r="K65" i="10"/>
  <c r="N65" i="10"/>
  <c r="R4" i="10"/>
  <c r="I922" i="10"/>
  <c r="J396" i="10"/>
  <c r="J392" i="10" s="1"/>
  <c r="I333" i="10"/>
  <c r="R2" i="10" s="1"/>
  <c r="J275" i="10"/>
  <c r="N265" i="10"/>
  <c r="I180" i="10"/>
  <c r="O20" i="10" s="1"/>
  <c r="I99" i="10"/>
  <c r="N52" i="10"/>
  <c r="N26" i="10"/>
  <c r="N926" i="10"/>
  <c r="N922" i="10" s="1"/>
  <c r="J917" i="10"/>
  <c r="N364" i="10"/>
  <c r="N361" i="10" s="1"/>
  <c r="I354" i="10"/>
  <c r="I269" i="10"/>
  <c r="N59" i="10"/>
  <c r="I57" i="10"/>
  <c r="I11" i="10" s="1"/>
  <c r="J52" i="10"/>
  <c r="J26" i="10"/>
  <c r="O4" i="10"/>
  <c r="N955" i="10"/>
  <c r="N953" i="10" s="1"/>
  <c r="I937" i="10"/>
  <c r="I915" i="10"/>
  <c r="N704" i="10"/>
  <c r="J533" i="10"/>
  <c r="N528" i="10"/>
  <c r="J520" i="10"/>
  <c r="R15" i="10"/>
  <c r="N861" i="10"/>
  <c r="N860" i="10" s="1"/>
  <c r="N744" i="10"/>
  <c r="J378" i="10"/>
  <c r="J375" i="10" s="1"/>
  <c r="I356" i="10"/>
  <c r="K356" i="10" s="1"/>
  <c r="K350" i="10" s="1"/>
  <c r="I302" i="10"/>
  <c r="J861" i="10"/>
  <c r="J860" i="10" s="1"/>
  <c r="N684" i="10"/>
  <c r="N647" i="10"/>
  <c r="N532" i="10"/>
  <c r="J509" i="10"/>
  <c r="I336" i="10"/>
  <c r="N331" i="10"/>
  <c r="N276" i="10"/>
  <c r="J145" i="10"/>
  <c r="J144" i="10" s="1"/>
  <c r="I144" i="10"/>
  <c r="N102" i="10"/>
  <c r="N62" i="10"/>
  <c r="R5" i="10"/>
  <c r="K940" i="10"/>
  <c r="K937" i="10" s="1"/>
  <c r="K684" i="10"/>
  <c r="I860" i="10"/>
  <c r="N522" i="10"/>
  <c r="N937" i="10" l="1"/>
  <c r="M1022" i="10"/>
  <c r="J959" i="10"/>
  <c r="N437" i="10"/>
  <c r="N434" i="10" s="1"/>
  <c r="J437" i="10"/>
  <c r="J434" i="10" s="1"/>
  <c r="N959" i="10"/>
  <c r="N1020" i="10"/>
  <c r="L1021" i="10"/>
  <c r="K992" i="10"/>
  <c r="J922" i="10"/>
  <c r="I992" i="10"/>
  <c r="I991" i="10"/>
  <c r="M1021" i="10"/>
  <c r="N915" i="10"/>
  <c r="J915" i="10"/>
  <c r="K11" i="10"/>
  <c r="N226" i="10"/>
  <c r="N220" i="10" s="1"/>
  <c r="K226" i="10"/>
  <c r="K220" i="10" s="1"/>
  <c r="K501" i="10" s="1"/>
  <c r="P9" i="10"/>
  <c r="L503" i="10"/>
  <c r="L1023" i="10" s="1"/>
  <c r="L1022" i="10"/>
  <c r="N272" i="10"/>
  <c r="J969" i="10"/>
  <c r="D1022" i="10"/>
  <c r="K508" i="10"/>
  <c r="K991" i="10" s="1"/>
  <c r="P6" i="10"/>
  <c r="I326" i="10"/>
  <c r="E502" i="10"/>
  <c r="E503" i="10" s="1"/>
  <c r="E504" i="10" s="1"/>
  <c r="H21" i="4"/>
  <c r="O21" i="4" s="1"/>
  <c r="G21" i="4"/>
  <c r="F993" i="10"/>
  <c r="D993" i="10"/>
  <c r="O24" i="10"/>
  <c r="O25" i="10"/>
  <c r="O425" i="10"/>
  <c r="O427" i="10" s="1"/>
  <c r="K268" i="10"/>
  <c r="N268" i="10"/>
  <c r="N310" i="10"/>
  <c r="N306" i="10" s="1"/>
  <c r="I306" i="10"/>
  <c r="J310" i="10"/>
  <c r="J306" i="10" s="1"/>
  <c r="K269" i="10"/>
  <c r="N269" i="10"/>
  <c r="I350" i="10"/>
  <c r="R3" i="10"/>
  <c r="J354" i="10"/>
  <c r="J350" i="10" s="1"/>
  <c r="N354" i="10"/>
  <c r="N350" i="10" s="1"/>
  <c r="O10" i="10"/>
  <c r="J272" i="10"/>
  <c r="J302" i="10"/>
  <c r="N302" i="10"/>
  <c r="N333" i="10"/>
  <c r="J333" i="10"/>
  <c r="N969" i="10"/>
  <c r="N992" i="10" s="1"/>
  <c r="N508" i="10"/>
  <c r="P12" i="10"/>
  <c r="J212" i="10"/>
  <c r="N212" i="10"/>
  <c r="J336" i="10"/>
  <c r="N336" i="10"/>
  <c r="J301" i="10"/>
  <c r="N301" i="10"/>
  <c r="I291" i="10"/>
  <c r="O5" i="10"/>
  <c r="O13" i="10" s="1"/>
  <c r="N180" i="10"/>
  <c r="I178" i="10"/>
  <c r="I501" i="10" s="1"/>
  <c r="J180" i="10"/>
  <c r="N344" i="10"/>
  <c r="N339" i="10" s="1"/>
  <c r="J344" i="10"/>
  <c r="J339" i="10" s="1"/>
  <c r="I339" i="10"/>
  <c r="J57" i="10"/>
  <c r="R12" i="10"/>
  <c r="N57" i="10"/>
  <c r="J508" i="10"/>
  <c r="J991" i="10" s="1"/>
  <c r="I257" i="10"/>
  <c r="N99" i="10"/>
  <c r="J99" i="10"/>
  <c r="D503" i="10"/>
  <c r="D1021" i="10"/>
  <c r="I993" i="10" l="1"/>
  <c r="J178" i="10"/>
  <c r="J501" i="10" s="1"/>
  <c r="J1021" i="10" s="1"/>
  <c r="J992" i="10"/>
  <c r="J993" i="10" s="1"/>
  <c r="N991" i="10"/>
  <c r="R17" i="10"/>
  <c r="E1022" i="10"/>
  <c r="K993" i="10"/>
  <c r="K1021" i="10"/>
  <c r="E1023" i="10"/>
  <c r="E1034" i="10" s="1"/>
  <c r="J326" i="10"/>
  <c r="I502" i="10"/>
  <c r="I1022" i="10" s="1"/>
  <c r="J11" i="10"/>
  <c r="K257" i="10"/>
  <c r="K502" i="10" s="1"/>
  <c r="N257" i="10"/>
  <c r="N326" i="10"/>
  <c r="N178" i="10"/>
  <c r="P5" i="10"/>
  <c r="P3" i="10" s="1"/>
  <c r="N11" i="10"/>
  <c r="D1023" i="10"/>
  <c r="N291" i="10"/>
  <c r="I1021" i="10"/>
  <c r="J291" i="10"/>
  <c r="O3" i="10"/>
  <c r="O26" i="10" s="1"/>
  <c r="E1026" i="10" l="1"/>
  <c r="J502" i="10"/>
  <c r="J503" i="10" s="1"/>
  <c r="J1023" i="10" s="1"/>
  <c r="E1024" i="10"/>
  <c r="K503" i="10"/>
  <c r="K1023" i="10" s="1"/>
  <c r="K1030" i="10" s="1"/>
  <c r="K1022" i="10"/>
  <c r="I503" i="10"/>
  <c r="N501" i="10"/>
  <c r="N502" i="10"/>
  <c r="N1022" i="10" s="1"/>
  <c r="N1029" i="10"/>
  <c r="N993" i="10"/>
  <c r="N1030" i="10"/>
  <c r="O11" i="10"/>
  <c r="M504" i="10" l="1"/>
  <c r="I1023" i="10"/>
  <c r="I1029" i="10" s="1"/>
  <c r="J1022" i="10"/>
  <c r="J1030" i="10"/>
  <c r="L1029" i="10"/>
  <c r="E19" i="1"/>
  <c r="N1021" i="10"/>
  <c r="N503" i="10"/>
  <c r="E17" i="1" l="1"/>
  <c r="N1023" i="10"/>
  <c r="M1024" i="10" s="1"/>
  <c r="N1026" i="10" l="1"/>
  <c r="M1026" i="10"/>
  <c r="N11" i="4" l="1"/>
  <c r="N12" i="4"/>
  <c r="N15" i="4"/>
  <c r="N19" i="4"/>
  <c r="N10" i="4"/>
  <c r="M14" i="4"/>
  <c r="M13" i="4"/>
  <c r="N13" i="4" s="1"/>
  <c r="H17" i="4"/>
  <c r="L14" i="4"/>
  <c r="C28" i="2"/>
  <c r="B28" i="2"/>
  <c r="D16" i="2"/>
  <c r="E16" i="2" s="1"/>
  <c r="D18" i="2"/>
  <c r="E18" i="2" s="1"/>
  <c r="D19" i="2"/>
  <c r="E19" i="2" s="1"/>
  <c r="D20" i="2"/>
  <c r="E20" i="2" s="1"/>
  <c r="D21" i="2"/>
  <c r="E21" i="2" s="1"/>
  <c r="D22" i="2"/>
  <c r="E22" i="2" s="1"/>
  <c r="F57" i="1"/>
  <c r="F56" i="1"/>
  <c r="N17" i="4" l="1"/>
  <c r="O17" i="4" s="1"/>
  <c r="O19" i="4"/>
  <c r="N14" i="4"/>
  <c r="D60" i="1" l="1"/>
  <c r="D19" i="1" s="1"/>
  <c r="F19" i="1" s="1"/>
  <c r="G23" i="1" s="1"/>
  <c r="F59" i="1"/>
  <c r="F29" i="1"/>
  <c r="F30" i="1"/>
  <c r="F31" i="1"/>
  <c r="F32" i="1"/>
  <c r="F33" i="1"/>
  <c r="F34" i="1"/>
  <c r="F35" i="1"/>
  <c r="F36" i="1"/>
  <c r="F37" i="1"/>
  <c r="F38" i="1"/>
  <c r="F40" i="1"/>
  <c r="F41" i="1"/>
  <c r="F42" i="1"/>
  <c r="F43" i="1"/>
  <c r="F45" i="1"/>
  <c r="F46" i="1"/>
  <c r="F47" i="1"/>
  <c r="F50" i="1"/>
  <c r="F51" i="1"/>
  <c r="F52" i="1"/>
  <c r="F53" i="1"/>
  <c r="F54" i="1"/>
  <c r="F55" i="1"/>
  <c r="F58" i="1"/>
  <c r="F28" i="1"/>
  <c r="D13" i="1" l="1"/>
  <c r="D17" i="1" s="1"/>
  <c r="D28" i="2"/>
  <c r="E28" i="2" s="1"/>
  <c r="D27" i="2"/>
  <c r="E27" i="2" s="1"/>
  <c r="D26" i="2"/>
  <c r="E26" i="2" s="1"/>
  <c r="D25" i="2"/>
  <c r="E25" i="2" s="1"/>
  <c r="D24" i="2"/>
  <c r="E24" i="2" s="1"/>
  <c r="D23" i="2"/>
  <c r="E23" i="2" s="1"/>
  <c r="D15" i="2"/>
  <c r="E15" i="2" s="1"/>
  <c r="D14" i="2"/>
  <c r="E14" i="2" s="1"/>
  <c r="D13" i="2"/>
  <c r="E13" i="2" s="1"/>
  <c r="D12" i="2"/>
  <c r="E12" i="2" s="1"/>
  <c r="D11" i="2"/>
  <c r="E11" i="2" s="1"/>
  <c r="D10" i="2"/>
  <c r="E10" i="2" s="1"/>
  <c r="D9" i="2"/>
  <c r="E9" i="2" s="1"/>
  <c r="D7" i="2"/>
  <c r="E8" i="2" s="1"/>
  <c r="D8" i="2"/>
  <c r="D21" i="1" l="1"/>
  <c r="A64" i="1" s="1"/>
  <c r="E18" i="1"/>
  <c r="E7" i="2"/>
  <c r="F48" i="1"/>
  <c r="F60" i="1" s="1"/>
  <c r="E60" i="1"/>
  <c r="E62" i="1" s="1"/>
  <c r="C64" i="1" l="1"/>
  <c r="D64" i="1" l="1"/>
  <c r="C65" i="1"/>
  <c r="B464" i="10" l="1"/>
  <c r="A464" i="10"/>
  <c r="N1024" i="10" l="1"/>
  <c r="N1025" i="10" s="1"/>
  <c r="N102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0" authorId="0" shapeId="0" xr:uid="{00000000-0006-0000-0000-000001000000}">
      <text>
        <r>
          <rPr>
            <sz val="10"/>
            <color rgb="FF000000"/>
            <rFont val="Arial"/>
            <family val="2"/>
            <scheme val="minor"/>
          </rPr>
          <t>Este monto debe coincidir con la sumatoria de los ingresos reportados en el SIPP en los informes de ejecución:   (Ingresos recaudados o recibidos en el periodo + el superavit  realmente ejecutado en el período, apartir de lo presupuestado en el 2022)
======</t>
        </r>
      </text>
    </comment>
    <comment ref="D15" authorId="0" shapeId="0" xr:uid="{00000000-0006-0000-0000-000002000000}">
      <text>
        <r>
          <rPr>
            <sz val="10"/>
            <color rgb="FF000000"/>
            <rFont val="Arial"/>
            <family val="2"/>
            <scheme val="minor"/>
          </rPr>
          <t>En caso de utilizar la figura de compromisos presupuestarios contraidos al 31/12/20xxx,  estos deberán ser incluidos en este apartado en concordancia con lo establecido en el artículo 116 del CM  y en observancia a los criterios de la CGR *.
======</t>
        </r>
      </text>
    </comment>
    <comment ref="D19" authorId="0" shapeId="0" xr:uid="{00000000-0006-0000-0000-000003000000}">
      <text>
        <r>
          <rPr>
            <sz val="10"/>
            <color rgb="FF000000"/>
            <rFont val="Arial"/>
            <family val="2"/>
            <scheme val="minor"/>
          </rPr>
          <t>Debe coincidir con el dato registrados en el SIPP.  Módulo Superávit / Déficit.  (Superavit especifico del período)
======</t>
        </r>
      </text>
    </comment>
    <comment ref="D21" authorId="0" shapeId="0" xr:uid="{00000000-0006-0000-0000-000004000000}">
      <text>
        <r>
          <rPr>
            <sz val="10"/>
            <color rgb="FF000000"/>
            <rFont val="Arial"/>
            <family val="2"/>
            <scheme val="minor"/>
          </rPr>
          <t>Debe coincidir con el de los dato registrados en el SIPP.  Módulo Superávit / Déficit (Superavit libre del período)
======</t>
        </r>
      </text>
    </comment>
    <comment ref="E27" authorId="0" shapeId="0" xr:uid="{00000000-0006-0000-0000-000005000000}">
      <text>
        <r>
          <rPr>
            <sz val="10"/>
            <color rgb="FF000000"/>
            <rFont val="Arial"/>
            <family val="2"/>
            <scheme val="minor"/>
          </rPr>
          <t>Corresponde a los recursos no presupuestados ni ejecutados del superavit de la liquidación anterior.
======</t>
        </r>
      </text>
    </comment>
    <comment ref="D60" authorId="0" shapeId="0" xr:uid="{00000000-0006-0000-0000-000006000000}">
      <text>
        <r>
          <rPr>
            <sz val="10"/>
            <color rgb="FF000000"/>
            <rFont val="Arial"/>
            <family val="2"/>
            <scheme val="minor"/>
          </rPr>
          <t>Debe coincidir con el dato registrado en el SIPP.  Módulo Superávit / Déficit.  (Superavit especifico del período)
======</t>
        </r>
      </text>
    </comment>
    <comment ref="F60" authorId="0" shapeId="0" xr:uid="{00000000-0006-0000-0000-000007000000}">
      <text>
        <r>
          <rPr>
            <sz val="10"/>
            <color rgb="FF000000"/>
            <rFont val="Arial"/>
            <family val="2"/>
            <scheme val="minor"/>
          </rPr>
          <t>Debe coincidir con el dato registrado en el SIPP.  Módulo Superávit / Déficit.  (Superavit especifico acumulado)
======</t>
        </r>
      </text>
    </comment>
    <comment ref="B63" authorId="0" shapeId="0" xr:uid="{00000000-0006-0000-0000-000008000000}">
      <text>
        <r>
          <rPr>
            <sz val="10"/>
            <color rgb="FF000000"/>
            <rFont val="Arial"/>
            <family val="2"/>
            <scheme val="minor"/>
          </rPr>
          <t>Corresponde a los recursos no presupuestados ni ejecutados del superavit de la liquidación anterior.
======</t>
        </r>
      </text>
    </comment>
    <comment ref="A64" authorId="0" shapeId="0" xr:uid="{00000000-0006-0000-0000-000009000000}">
      <text>
        <r>
          <rPr>
            <sz val="10"/>
            <color rgb="FF000000"/>
            <rFont val="Arial"/>
            <family val="2"/>
            <scheme val="minor"/>
          </rPr>
          <t>Debe coincidir con el datos registrado en el SIPP.  Módulo Superávit / Déficit (Superavit libre del período)
======</t>
        </r>
      </text>
    </comment>
    <comment ref="C64" authorId="0" shapeId="0" xr:uid="{00000000-0006-0000-0000-00000A000000}">
      <text>
        <r>
          <rPr>
            <sz val="10"/>
            <color rgb="FF000000"/>
            <rFont val="Arial"/>
            <family val="2"/>
            <scheme val="minor"/>
          </rPr>
          <t>Debe coincidir con el dato registrado en el SIPP.  Módulo Superávit / Déficit (Superavit libre acumulado)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Flor de María Alfaro Gómez</author>
  </authors>
  <commentList>
    <comment ref="G9" authorId="0" shapeId="0" xr:uid="{7C16CFD1-5C75-4296-B4D5-07C5370095B4}">
      <text>
        <r>
          <rPr>
            <b/>
            <sz val="11"/>
            <color indexed="81"/>
            <rFont val="Tahoma"/>
            <family val="2"/>
          </rPr>
          <t xml:space="preserve">Indicar por ejemplo: </t>
        </r>
        <r>
          <rPr>
            <sz val="11"/>
            <color indexed="81"/>
            <rFont val="Tahoma"/>
            <family val="2"/>
          </rPr>
          <t>Orden de compra Nro xxx, licitación pública, adjudicación en La Gaceta Nro. Xx de fecha xxx.</t>
        </r>
      </text>
    </comment>
    <comment ref="G24" authorId="0" shapeId="0" xr:uid="{89EEDF4B-A967-4A67-91F4-AEFFC8D89C0B}">
      <text>
        <r>
          <rPr>
            <b/>
            <sz val="11"/>
            <color indexed="81"/>
            <rFont val="Tahoma"/>
            <family val="2"/>
          </rPr>
          <t xml:space="preserve">Indicar por ejemplo: </t>
        </r>
        <r>
          <rPr>
            <sz val="11"/>
            <color indexed="81"/>
            <rFont val="Tahoma"/>
            <family val="2"/>
          </rPr>
          <t>Orden de compra Nro xxx, licitación pública, adjudicación en La Gaceta Nro. Xx de fecha xxx.</t>
        </r>
      </text>
    </comment>
    <comment ref="G39" authorId="0" shapeId="0" xr:uid="{3473FFCF-C6A5-45C3-91A8-21EFEB41F42E}">
      <text>
        <r>
          <rPr>
            <b/>
            <sz val="8"/>
            <color indexed="81"/>
            <rFont val="Tahoma"/>
            <family val="2"/>
          </rPr>
          <t xml:space="preserve">Indicar por ejemplo: </t>
        </r>
        <r>
          <rPr>
            <sz val="8"/>
            <color indexed="81"/>
            <rFont val="Tahoma"/>
            <family val="2"/>
          </rPr>
          <t>Orden de compra Nro xxx, licitación pública, adjudicación en La Gaceta Nro. Xx de fecha xxx.</t>
        </r>
      </text>
    </comment>
    <comment ref="G54" authorId="0" shapeId="0" xr:uid="{D9BE6BD3-BCB3-4FA0-9DDC-5BAF86E59524}">
      <text>
        <r>
          <rPr>
            <b/>
            <sz val="8"/>
            <color indexed="81"/>
            <rFont val="Tahoma"/>
            <family val="2"/>
          </rPr>
          <t xml:space="preserve">Indicar por ejemplo: </t>
        </r>
        <r>
          <rPr>
            <sz val="8"/>
            <color indexed="81"/>
            <rFont val="Tahoma"/>
            <family val="2"/>
          </rPr>
          <t>Orden de compra Nro xxx, licitación pública, adjudicación en La Gaceta Nro. Xx de fecha xxx.</t>
        </r>
      </text>
    </comment>
  </commentList>
</comments>
</file>

<file path=xl/sharedStrings.xml><?xml version="1.0" encoding="utf-8"?>
<sst xmlns="http://schemas.openxmlformats.org/spreadsheetml/2006/main" count="1725" uniqueCount="770">
  <si>
    <t>N.° 1</t>
  </si>
  <si>
    <t xml:space="preserve"> En colones</t>
  </si>
  <si>
    <r>
      <rPr>
        <b/>
        <sz val="14"/>
        <color theme="1"/>
        <rFont val="&quot;Century Gothic&quot;"/>
      </rPr>
      <t xml:space="preserve">Nota: </t>
    </r>
    <r>
      <rPr>
        <sz val="14"/>
        <color theme="1"/>
        <rFont val="&quot;Century Gothic&quot;"/>
      </rPr>
      <t xml:space="preserve">En esta hoja debe digitar únicamente las celdas marcadas en gris </t>
    </r>
  </si>
  <si>
    <t>RESULTADO DEL PERIODO</t>
  </si>
  <si>
    <t>PRESUPUESTO</t>
  </si>
  <si>
    <t>MONTO DEL PERIODO</t>
  </si>
  <si>
    <t>INGRESOS DEL PERIODO (Percibidos o Recaudados)</t>
  </si>
  <si>
    <t>Menos:</t>
  </si>
  <si>
    <t>GASTOS EJECUTADOS DEL PERIODO</t>
  </si>
  <si>
    <t>Gastos ejecutados</t>
  </si>
  <si>
    <t>Compromisos presupuestarios al 31 de diciembre 2022</t>
  </si>
  <si>
    <t xml:space="preserve"> </t>
  </si>
  <si>
    <t>Menos:  Saldos con destino específico del periodo</t>
  </si>
  <si>
    <t>SUPERÁVIT LIBRE/DÉFICIT DEL PERIODO</t>
  </si>
  <si>
    <t>DETALLE SUPERÁVIT ESPECÍFICO:</t>
  </si>
  <si>
    <t xml:space="preserve">Concepto </t>
  </si>
  <si>
    <t>Fundamento legal o especial que lo justifica</t>
  </si>
  <si>
    <t>Artículo que otorga la especificidad</t>
  </si>
  <si>
    <t>Monto Periodo</t>
  </si>
  <si>
    <t xml:space="preserve">TOTAL </t>
  </si>
  <si>
    <t>SUPERÁVIT LIBRE:</t>
  </si>
  <si>
    <t>Monto superávit libre de periodos anteriores no incorporados en el periodo 2022 más el presupuestado en el periodo, pero no ejecutado</t>
  </si>
  <si>
    <t>Resultado libre acumulado al cierre 2022</t>
  </si>
  <si>
    <t>Nombre del Alcalde Municipal</t>
  </si>
  <si>
    <t>Firma</t>
  </si>
  <si>
    <t>Nombre funcionario responsable</t>
  </si>
  <si>
    <t>proceso de liquidación presupuestaria</t>
  </si>
  <si>
    <t>Fecha</t>
  </si>
  <si>
    <t>*Criterios compromisos presupuestarios:  n.° 12666 (DFOE-SM-1646) del 20 de diciembre de 2010 ;   n.° 09210 (DFOE-DL-0720) del 01 de julio, 2015;  n.° 04612 ( DFOE-DL-0487) del 27 de marzo 2020.</t>
  </si>
  <si>
    <t>ANEXO N.° 2</t>
  </si>
  <si>
    <t>En atención al art. 5 de la Ley n.° 7755 Control de las Partidas Específicas con Cargo al Presupuesto Nacional y el art. 23 de su Reglamento.</t>
  </si>
  <si>
    <t>(1)
Ingreso</t>
  </si>
  <si>
    <t>(5)
Resultado porcentual de Morosidad</t>
  </si>
  <si>
    <t>Impuesto sobre bienes inmuebles</t>
  </si>
  <si>
    <t>Patentes municipales</t>
  </si>
  <si>
    <t>Servicio de recolección de residuos</t>
  </si>
  <si>
    <t>Servicio de aseo de vías y sitios público</t>
  </si>
  <si>
    <t>Servicio de parques y obras de ornato</t>
  </si>
  <si>
    <t>Servicio de acueductos</t>
  </si>
  <si>
    <t>Servicio de alcantarillado</t>
  </si>
  <si>
    <t>TOTAL</t>
  </si>
  <si>
    <t>Nombre del funcionario responsable de su elaboración</t>
  </si>
  <si>
    <t>Cargo que ocupa en la organización</t>
  </si>
  <si>
    <t>DETALLE DE ORIGEN Y APLICACIÓN DE RECURSOS</t>
  </si>
  <si>
    <t>Origen</t>
  </si>
  <si>
    <t>Aplicación de los gastos ejecutados</t>
  </si>
  <si>
    <t xml:space="preserve">INGRESO </t>
  </si>
  <si>
    <t>Presupuesto definitivo incorporado por la entidad</t>
  </si>
  <si>
    <t>PROGRAMA</t>
  </si>
  <si>
    <t>Monto Ejecutado</t>
  </si>
  <si>
    <t>APLICACIÓN CLASIFICACIÓN ECONÓMICA</t>
  </si>
  <si>
    <t>Observaciones</t>
  </si>
  <si>
    <t>Gasto Corriente</t>
  </si>
  <si>
    <t>Gasto Capital</t>
  </si>
  <si>
    <t>Transacciones Financieras</t>
  </si>
  <si>
    <t>ANEXO N.° 4</t>
  </si>
  <si>
    <r>
      <rPr>
        <b/>
        <sz val="12"/>
        <color theme="1"/>
        <rFont val="Century Gothic"/>
        <family val="2"/>
      </rPr>
      <t>ORIGEN Y APLICACIÓN DE RECURSOS PROVENIENTES DE TRANSFERENCIAS ASIGNADAS EN EL PRESUPUESTO NACIONAL</t>
    </r>
    <r>
      <rPr>
        <b/>
        <i/>
        <sz val="12"/>
        <color theme="1"/>
        <rFont val="Century Gothic"/>
        <family val="2"/>
      </rPr>
      <t xml:space="preserve"> (MONTOS EN MILLONES)</t>
    </r>
  </si>
  <si>
    <r>
      <rPr>
        <b/>
        <i/>
        <sz val="9"/>
        <color theme="1"/>
        <rFont val="Century Gothic"/>
        <family val="2"/>
      </rPr>
      <t xml:space="preserve">Notas: 1. Si se aplican los ingresos en transferencias indicar en la columna de observaciones el destinatario de cada una de las transferencia.
            2. Se debe reflejar el resultado por cada transferencia registrada, de manera que se pueda obtener el remanente global de las transferencias incorporadas (ver hoja de cálculo "Ejemplo").
</t>
    </r>
    <r>
      <rPr>
        <i/>
        <sz val="9"/>
        <color theme="1"/>
        <rFont val="Century Gothic"/>
        <family val="2"/>
      </rPr>
      <t xml:space="preserve">
</t>
    </r>
  </si>
  <si>
    <t>Tipo de transferencia 
(Corriente o de capital)</t>
  </si>
  <si>
    <t>Concedente (Institución Ministerio o título)</t>
  </si>
  <si>
    <t>Descripción de la finalidad de la transferencia Según lo incluido en la Ley de Presupuesto Nacional y su base legal</t>
  </si>
  <si>
    <t>La aplicación de la transferencia es:</t>
  </si>
  <si>
    <t>Monto incorporado en la Ley de Presupuesto Nacional</t>
  </si>
  <si>
    <t>Ingreso real</t>
  </si>
  <si>
    <t>Composición del gastos según C.E</t>
  </si>
  <si>
    <t>Total gasto ejecutado</t>
  </si>
  <si>
    <t>Remanente</t>
  </si>
  <si>
    <t>Programa</t>
  </si>
  <si>
    <t>Partida por objeto del gasto</t>
  </si>
  <si>
    <t>Gasto corriente real</t>
  </si>
  <si>
    <t>Gasto de Capital real</t>
  </si>
  <si>
    <t>Transferencia de capital</t>
  </si>
  <si>
    <t>Específica</t>
  </si>
  <si>
    <t>Ministerio de Gobernación y Policía</t>
  </si>
  <si>
    <t>Ministerio de Obras Públicas y Transportes</t>
  </si>
  <si>
    <t>Ministerio de Vivienda y Asentamientos Humanos</t>
  </si>
  <si>
    <t>Consejo de Seguridad Vial</t>
  </si>
  <si>
    <t>0 - Remuneraciones</t>
  </si>
  <si>
    <t>1 - Servicios</t>
  </si>
  <si>
    <t>2 - Materiales y suministros</t>
  </si>
  <si>
    <t>3 - Intereses y comisiones</t>
  </si>
  <si>
    <t>5 - Bienes duraderos</t>
  </si>
  <si>
    <t>6 - Transferencias Corrientes</t>
  </si>
  <si>
    <t>7 - Transferencias de capital</t>
  </si>
  <si>
    <t>8 - Amortización</t>
  </si>
  <si>
    <t xml:space="preserve">9 - Cuentas especiales </t>
  </si>
  <si>
    <t>Fondo de Desarrollo Municipal, 8% del IBI, Ley Nº 7509</t>
  </si>
  <si>
    <t>Junta Administrativa del Registro Nacional, 3% del IBI, Leyes 7509 y 7729</t>
  </si>
  <si>
    <t>Instituto de Fomento y Asesoría Municipal, 3% del IBI, Ley Nº 7509</t>
  </si>
  <si>
    <t>Juntas de educación, 10% impuesto territorial y 10% IBI, Leyes 7509 y 7729</t>
  </si>
  <si>
    <t>Organismo de Normalización Técnica, 1% del IBI, Ley Nº 7729</t>
  </si>
  <si>
    <t>Consejo de Seguridad Vial, art. 217, Ley 7331-93</t>
  </si>
  <si>
    <t>Comité Cantonal de Deportes</t>
  </si>
  <si>
    <t>Aporte al Consejo Nacional de Personas con Discapacidad (CONAPDIS) Ley N°9303</t>
  </si>
  <si>
    <t>Ley Nº7788 10% aporte CONAGEBIO</t>
  </si>
  <si>
    <t>Ley Nº7788 70% aporte Fondo Parques Nacionales</t>
  </si>
  <si>
    <t>Fondo Ley Simplificación y Eficiencia Tributarias Ley Nº 8114</t>
  </si>
  <si>
    <t xml:space="preserve">Proyectos y programas para la Persona Joven </t>
  </si>
  <si>
    <t>Impuesto a personas que  salen del país por aeropuertos  Ley Nº 9156</t>
  </si>
  <si>
    <t>Fondo Aseo de Vías</t>
  </si>
  <si>
    <t>Fondo recolección de basura</t>
  </si>
  <si>
    <t>Fondo Acueducto</t>
  </si>
  <si>
    <t>Fondo de parques y obras de ornato</t>
  </si>
  <si>
    <t>Fondo servicio de mercado</t>
  </si>
  <si>
    <t>Fondo alcantarillado sanitario</t>
  </si>
  <si>
    <t>Fondo alcantarillado pluvial</t>
  </si>
  <si>
    <t>Saldo de partidas específicas</t>
  </si>
  <si>
    <t>FODESAF Red de Cuido venta de servicios</t>
  </si>
  <si>
    <t>Prestamo Banco Nacional</t>
  </si>
  <si>
    <t>Notas de crédito sin registrar</t>
  </si>
  <si>
    <t>Aporte cooperación Alemana</t>
  </si>
  <si>
    <t>Atención de Emergencias Cantonales</t>
  </si>
  <si>
    <t>Ministerio de Vivienda y asentamiento Humano</t>
  </si>
  <si>
    <t>Obras de movilidad estratégica según Ley N°9976</t>
  </si>
  <si>
    <t>Lic Humberto Soto Herrera</t>
  </si>
  <si>
    <t>MUNICIPALIDAD DE ALAJUELA</t>
  </si>
  <si>
    <t xml:space="preserve">MUNICIPALIDAD DE ALAJUELA </t>
  </si>
  <si>
    <t>Ley N°. 7509 Y7552</t>
  </si>
  <si>
    <t>Ley N°. 7509</t>
  </si>
  <si>
    <t>Ley N°. 7729</t>
  </si>
  <si>
    <t>Ley N°. 7331-93</t>
  </si>
  <si>
    <t>Codigo Municipal</t>
  </si>
  <si>
    <t>Ley N°. 7331-03</t>
  </si>
  <si>
    <t xml:space="preserve">Ley Nº7788 </t>
  </si>
  <si>
    <t>Ley 8114</t>
  </si>
  <si>
    <t>Ley 8261</t>
  </si>
  <si>
    <t>Ley 8316 y sus reformas</t>
  </si>
  <si>
    <t>Normas Técnicas de Presupuestos Públicos y articulo 83 del codigo Municipal</t>
  </si>
  <si>
    <t>Ley 7755</t>
  </si>
  <si>
    <t>Ley 8017</t>
  </si>
  <si>
    <t>Prestamo</t>
  </si>
  <si>
    <t>Decreto 36182-H</t>
  </si>
  <si>
    <t>Decreto 34554-H</t>
  </si>
  <si>
    <t>Ley 8583</t>
  </si>
  <si>
    <t>Convenio</t>
  </si>
  <si>
    <t>Saldos Fondos Solidarios</t>
  </si>
  <si>
    <t>Saldos Fondos Partidas Chinas</t>
  </si>
  <si>
    <t>Saldos Fondos Partidas de Gobernación</t>
  </si>
  <si>
    <t>Impuesto sobre construcciones</t>
  </si>
  <si>
    <t>Impuesto alos rotulos Publicos</t>
  </si>
  <si>
    <t>Estacionamientos y Terminales</t>
  </si>
  <si>
    <t>Timbre Parques Nacionales</t>
  </si>
  <si>
    <t>Espectaculos Públicos</t>
  </si>
  <si>
    <t>Alquiler de mercado</t>
  </si>
  <si>
    <t>Servicios e Instalación y derivación de Agiuas</t>
  </si>
  <si>
    <t>otros</t>
  </si>
  <si>
    <t>Alquileres Varios(Plaza)</t>
  </si>
  <si>
    <t>Incumplimiento de Deberes de los municipes</t>
  </si>
  <si>
    <t>Ruptura de Calles</t>
  </si>
  <si>
    <t>Multas por Mora</t>
  </si>
  <si>
    <t>Otras Multas</t>
  </si>
  <si>
    <t>Lic Ana María Alvarado Garita</t>
  </si>
  <si>
    <t xml:space="preserve">Encargada de Presupuesto </t>
  </si>
  <si>
    <t>II-01</t>
  </si>
  <si>
    <t>II-02</t>
  </si>
  <si>
    <t>Administración General</t>
  </si>
  <si>
    <t>II-05</t>
  </si>
  <si>
    <t>II-06</t>
  </si>
  <si>
    <t xml:space="preserve">Notas:                              </t>
  </si>
  <si>
    <t xml:space="preserve">1. En esta primera hoja debe incluirse la totalidad de recursos percibidos por la institución (incluidos también los ingresos por transferencias de Presupuesto Nacional) y que coincidan con la liquidación.                        </t>
  </si>
  <si>
    <t>II-07</t>
  </si>
  <si>
    <t xml:space="preserve">2. Incorporar en la columna "Aplicación" la información de los recursos por partida por objeto de gasto asi como por clasificación económica, lo cuales también deben coincidir con los datos registrados en la liquidación. </t>
  </si>
  <si>
    <t>II-09</t>
  </si>
  <si>
    <t>3. Los ingresos se deben incorporar a máximo nivel de desglose de acuerdo con el clasificador de ingresos del sector público.</t>
  </si>
  <si>
    <t>II-10</t>
  </si>
  <si>
    <t>II-11</t>
  </si>
  <si>
    <t>CODIGO SEGÚN 
CLASIFICADOR DE INGRESOS</t>
  </si>
  <si>
    <t>En caso de transferencias indique
 la institución concedente</t>
  </si>
  <si>
    <t>Presupuesto definitivo 
incorporado por la entidad</t>
  </si>
  <si>
    <t>NOMBRE DEL PROYECTO</t>
  </si>
  <si>
    <r>
      <rPr>
        <b/>
        <sz val="11"/>
        <color rgb="FFFFFFFF"/>
        <rFont val="Arial"/>
        <family val="2"/>
      </rPr>
      <t xml:space="preserve">APLICACIÓN OBJETO DEL GASTO
</t>
    </r>
    <r>
      <rPr>
        <b/>
        <i/>
        <sz val="11"/>
        <color rgb="FFFFFFFF"/>
        <rFont val="Arial"/>
        <family val="2"/>
      </rPr>
      <t>(Por Partida)</t>
    </r>
  </si>
  <si>
    <t>I-04</t>
  </si>
  <si>
    <t>II-13</t>
  </si>
  <si>
    <t>Sumas sin asignación</t>
  </si>
  <si>
    <t>II-18</t>
  </si>
  <si>
    <t>1.1.2.1.00.00.0.0.000</t>
  </si>
  <si>
    <t>Impuesto S/Bienes Inmuebles, Ley 7729</t>
  </si>
  <si>
    <t>II-22</t>
  </si>
  <si>
    <t>I-01</t>
  </si>
  <si>
    <t>Administración General 10%</t>
  </si>
  <si>
    <t>II-23</t>
  </si>
  <si>
    <t>II-25</t>
  </si>
  <si>
    <t>01-04</t>
  </si>
  <si>
    <t>Aporte Junta Admva.Registro Nac. Ley 7509y 7729 2%</t>
  </si>
  <si>
    <t>II-28</t>
  </si>
  <si>
    <t>Juntas de Educación, Ley 7509 y 7729 10%</t>
  </si>
  <si>
    <t>II-29</t>
  </si>
  <si>
    <t>Organo Normalización Técnica M.de Hacienda 1%</t>
  </si>
  <si>
    <t>II-30</t>
  </si>
  <si>
    <t xml:space="preserve">Comité Cantonal Deportes y Recreación </t>
  </si>
  <si>
    <t>Asociación Resurgir</t>
  </si>
  <si>
    <t>Reintegros y Devoluciones</t>
  </si>
  <si>
    <t>Mercados, Plazas y Ferias</t>
  </si>
  <si>
    <t>02-09</t>
  </si>
  <si>
    <t>Educativos, Culturales y Deportivos</t>
  </si>
  <si>
    <t>02-10</t>
  </si>
  <si>
    <t>Servicios Sociales Complementarios</t>
  </si>
  <si>
    <t>02-11</t>
  </si>
  <si>
    <t>02-18</t>
  </si>
  <si>
    <t>Reparaciones Menores de Maquinaria y Equipo</t>
  </si>
  <si>
    <t>02-22</t>
  </si>
  <si>
    <t>Seguridad Vial</t>
  </si>
  <si>
    <t>02-23</t>
  </si>
  <si>
    <t>Seguridad y Vigilancia en la Comunidad</t>
  </si>
  <si>
    <t>02-25</t>
  </si>
  <si>
    <t>Protección del Medio Ambiente</t>
  </si>
  <si>
    <t>02-28</t>
  </si>
  <si>
    <t>Atención Emergencias Cantonales</t>
  </si>
  <si>
    <t>III-01-02</t>
  </si>
  <si>
    <t>III-01-03</t>
  </si>
  <si>
    <t>Construcción de Edificio para la Policia Municipal en Meza</t>
  </si>
  <si>
    <t>III-01-04</t>
  </si>
  <si>
    <t>Mantenimiento de Edificios Municipales con Valor Patrimonial</t>
  </si>
  <si>
    <t>III-01-29</t>
  </si>
  <si>
    <t>III-01-30</t>
  </si>
  <si>
    <t>03-02-01</t>
  </si>
  <si>
    <t>Unidad Técnica  de Gestión Vial Cantonal</t>
  </si>
  <si>
    <t>III-02-04</t>
  </si>
  <si>
    <t>III-02-08</t>
  </si>
  <si>
    <t>III-06-01</t>
  </si>
  <si>
    <t>Dirección Tecnica Y Estudio</t>
  </si>
  <si>
    <t>03-06-06</t>
  </si>
  <si>
    <t>Transferencias Corrientes</t>
  </si>
  <si>
    <t>Asociación para la Atención Integral de Pacientes con Cancer o SIDA</t>
  </si>
  <si>
    <t>Asociación Resurgir de Alajuela</t>
  </si>
  <si>
    <t>Asociación Taller Protegido</t>
  </si>
  <si>
    <t xml:space="preserve">Asociación Casa Paz  </t>
  </si>
  <si>
    <t>Asociación el Buen Samaritano</t>
  </si>
  <si>
    <t>Asociación Cruz Roja Costarricense</t>
  </si>
  <si>
    <t>Asociación para el Desarrollo de la Cultura Alajuelense</t>
  </si>
  <si>
    <t>03-09</t>
  </si>
  <si>
    <t>Recursos especificos sin asinacion Presupuestaria</t>
  </si>
  <si>
    <t>Ingreso de más</t>
  </si>
  <si>
    <t>1.1.2.2.02.00.0.0.000</t>
  </si>
  <si>
    <t>Impuesto S/Bienes Inmuebles, Ley 7509</t>
  </si>
  <si>
    <t>IFAM LEY 7509 3%</t>
  </si>
  <si>
    <t>1.1.3.2.01.02.0.0.001</t>
  </si>
  <si>
    <t>Impuesto Especifico sobre la Explotación de Recursos Naturales y Minerales</t>
  </si>
  <si>
    <t>FEDOMA</t>
  </si>
  <si>
    <t>Recursos sin presupuesto</t>
  </si>
  <si>
    <t>1.1.3.2.01.04.0.0.000</t>
  </si>
  <si>
    <t>Impuestos al Cemento</t>
  </si>
  <si>
    <t>1.1.3.2.01.05.0.0.000</t>
  </si>
  <si>
    <t>Impuestos sobre Construcciones</t>
  </si>
  <si>
    <t>III-01-06</t>
  </si>
  <si>
    <t>III-02-03</t>
  </si>
  <si>
    <t>Mantenimiento Periódico de la Red Vial Cantonal</t>
  </si>
  <si>
    <t>III-06-05</t>
  </si>
  <si>
    <t>III-06-06</t>
  </si>
  <si>
    <t>1.1.3.2.02.09.0.0.000</t>
  </si>
  <si>
    <t>Otros Impuestos Específicos sobre la Producción y Consumo de Servicios</t>
  </si>
  <si>
    <t>1.1.3.3.01.01.0.0.000</t>
  </si>
  <si>
    <t>Impuestos sobre Rótulos Públicos</t>
  </si>
  <si>
    <t>1.1.3.3.01.02.0.0.000</t>
  </si>
  <si>
    <t>I-03</t>
  </si>
  <si>
    <t>Administración de Inversiones Propias</t>
  </si>
  <si>
    <t>III-01-01</t>
  </si>
  <si>
    <t>III-02-05</t>
  </si>
  <si>
    <t>1.1.9.1.01.00.0.0.000</t>
  </si>
  <si>
    <t>Timbres Municipales</t>
  </si>
  <si>
    <t>I-02</t>
  </si>
  <si>
    <t>Auditoria General</t>
  </si>
  <si>
    <t>III-06-02</t>
  </si>
  <si>
    <t>Catastro Multifinalitario</t>
  </si>
  <si>
    <t>III-06-03</t>
  </si>
  <si>
    <t>III-06-08</t>
  </si>
  <si>
    <t>Plan de Desarrollo Informático</t>
  </si>
  <si>
    <t>Recursos sin presu</t>
  </si>
  <si>
    <t>1.1.9.1.02.00.0.0.000</t>
  </si>
  <si>
    <t>Timbre Parques Nacionales Ley 7788</t>
  </si>
  <si>
    <t>CONAGEBIO (10% de la Ley 7788)</t>
  </si>
  <si>
    <t>Fondo de Parques Nacionales</t>
  </si>
  <si>
    <t>1.3.1.1.05.00.0.0.000</t>
  </si>
  <si>
    <t>Venta de Agua Potable e Industrial</t>
  </si>
  <si>
    <t>Acueducto</t>
  </si>
  <si>
    <t>III-05-03</t>
  </si>
  <si>
    <t>Plan Operación Mantenimiento y Des.Sistema de Acueducto 2018-2022</t>
  </si>
  <si>
    <t>Ingresos no presupuetados</t>
  </si>
  <si>
    <t>1.3.1.2.04.01.1.0.000</t>
  </si>
  <si>
    <t>Alquiler de Mercado</t>
  </si>
  <si>
    <t>1.3.1.2.04.09.0.0.000</t>
  </si>
  <si>
    <t>Otros Alquileres</t>
  </si>
  <si>
    <t>1.3.1.2.05.01.1.0.000</t>
  </si>
  <si>
    <t>Servicio de Alcantarillado Sanitario</t>
  </si>
  <si>
    <t>Alcantarillados Sanitarios</t>
  </si>
  <si>
    <t>III-05-04</t>
  </si>
  <si>
    <t>Plan Operación Mantenimiento y Desarrollo del Sistema de Recolección y Tratamiemto de Aguas Residuales</t>
  </si>
  <si>
    <t>Ingresos no presupuestados</t>
  </si>
  <si>
    <t>1.3.1.2.05.04.2.0.000</t>
  </si>
  <si>
    <t>Servicio de Alcantarillado Pluvial</t>
  </si>
  <si>
    <t>Alcantarillados Pluvial</t>
  </si>
  <si>
    <t>III-05-20</t>
  </si>
  <si>
    <t>1.3.1.2.05.02.1.0.000</t>
  </si>
  <si>
    <t>Servicios de Instalación y Derivación del Agua</t>
  </si>
  <si>
    <t>1.3.1.2.05.04.1.0.000</t>
  </si>
  <si>
    <t>Servicio de Recolección de Basura</t>
  </si>
  <si>
    <t>Recolección de Basura</t>
  </si>
  <si>
    <t>III-06 -03</t>
  </si>
  <si>
    <t>Implementación del Plan Municipal para la Gestión Integral de Residuos Sólidos</t>
  </si>
  <si>
    <t>Servicio de Aseo de Vías y Sitios Públicos</t>
  </si>
  <si>
    <t>Aseo de Vías y Sitios Públicos</t>
  </si>
  <si>
    <t>1.3.1.2.05.04.4.0.000</t>
  </si>
  <si>
    <t>Servicio de Parques Obras de Ornato</t>
  </si>
  <si>
    <t>Parques Obras de Ornato</t>
  </si>
  <si>
    <t>1.3.1.2.05.04.5.0.000</t>
  </si>
  <si>
    <t>Incumplimiento de Deberes IBI</t>
  </si>
  <si>
    <t>Por incumplimiento de Deberes de los Propietarios BI</t>
  </si>
  <si>
    <t>1.3.1.2.09.09.0.0.000</t>
  </si>
  <si>
    <t>Venta de Otros Servicios (Red de Cuido)</t>
  </si>
  <si>
    <t>Venta de Otros Servicios</t>
  </si>
  <si>
    <t>1.3.1.3.01.01.1.0.000</t>
  </si>
  <si>
    <t>Derecho de Estacionamiento y de Terminales</t>
  </si>
  <si>
    <t>1.3.1.3.02.03.1.0.000</t>
  </si>
  <si>
    <t>Derecho Plaza de Ganado</t>
  </si>
  <si>
    <t>1.3.2.3.01.06.0.0.000</t>
  </si>
  <si>
    <t>Intereses Sobre Inversiones Financieras</t>
  </si>
  <si>
    <t xml:space="preserve">Administración General </t>
  </si>
  <si>
    <t>III-06-04</t>
  </si>
  <si>
    <t>Alajuela Ciudad Segura</t>
  </si>
  <si>
    <t>Diferencial Cam biario</t>
  </si>
  <si>
    <t>1.3.3.1.01.01.0.0.000</t>
  </si>
  <si>
    <t>Multas por Infracción Ley de Parquímetros</t>
  </si>
  <si>
    <t>1.3.3.1.02.01.0.0.000</t>
  </si>
  <si>
    <t>Multas Por Mora En El Pago De Impuestos y Tasas</t>
  </si>
  <si>
    <t>i-04</t>
  </si>
  <si>
    <t>Unión Nacional de Gobiernos Locales</t>
  </si>
  <si>
    <t>1.3.3.1.09.00.0.0.000</t>
  </si>
  <si>
    <t>1.3.4.1.00.00.0.0.000</t>
  </si>
  <si>
    <t>Intereses por Mora en Tributos</t>
  </si>
  <si>
    <t>Consejo Nacionala de Personas con Discapacidad</t>
  </si>
  <si>
    <t>III-09</t>
  </si>
  <si>
    <t>Recursos libres sin asinacion Presupuestaria</t>
  </si>
  <si>
    <t>1.3.9.9</t>
  </si>
  <si>
    <t>Ingresos Varios no especificados</t>
  </si>
  <si>
    <t>1.4.1.2.01.00.0.0.000</t>
  </si>
  <si>
    <t>Aporte del Consejo de Seguridad Vial Ley 9058</t>
  </si>
  <si>
    <t xml:space="preserve"> Consejo de Seguridad Vial Ley 9058</t>
  </si>
  <si>
    <t>1.4.1.3.01.00.0.0.000</t>
  </si>
  <si>
    <t xml:space="preserve">Aporte IFAM Licores Nacionales y Extranjeros </t>
  </si>
  <si>
    <t>IFAM</t>
  </si>
  <si>
    <t>2.2.1.1.00.00.0.0.000</t>
  </si>
  <si>
    <t xml:space="preserve">Acueducto </t>
  </si>
  <si>
    <t>2.4.1.1.01.00.0.0.000</t>
  </si>
  <si>
    <t>Recursos Provenientes de la Ley de Simplificación Tributaria Ley No. 8114</t>
  </si>
  <si>
    <t>Ministerio de Obra Públicas y Transporte</t>
  </si>
  <si>
    <t>2.4.1.1.02.00.0.0.000</t>
  </si>
  <si>
    <t>Ley 8316 Fondo de Alcantarillados</t>
  </si>
  <si>
    <t>Ministerio de Gobernación y Policia</t>
  </si>
  <si>
    <t>Alcantarillado Sanitario</t>
  </si>
  <si>
    <t>Alcantarillado Pluvial</t>
  </si>
  <si>
    <t>III-05-01</t>
  </si>
  <si>
    <t>III-05-05</t>
  </si>
  <si>
    <t>III-05-02</t>
  </si>
  <si>
    <t>Ley 8316 Mejoramiento Pluviales Calle Alfaro  Guácima</t>
  </si>
  <si>
    <t>2.4.1.1.03.00.0.0.000</t>
  </si>
  <si>
    <t>III-06-23</t>
  </si>
  <si>
    <t>Mejoramiento Barrial mediante construcción de espacio público recreativo en Santa Rita</t>
  </si>
  <si>
    <t>2.4.1.3.01.00.0.0.001</t>
  </si>
  <si>
    <t>Aporte IFAM Para Mantenimiento y Conservación de Caminos y Calles Ley 6909</t>
  </si>
  <si>
    <t>III-02-01</t>
  </si>
  <si>
    <t>Total Libres</t>
  </si>
  <si>
    <t>Total Específicos</t>
  </si>
  <si>
    <t>Total General</t>
  </si>
  <si>
    <t>3.3.1.0.00.00.0.0.000</t>
  </si>
  <si>
    <t>Superavit Libre</t>
  </si>
  <si>
    <t>Aporte en Especie para Servicios Y Proyectos Comunitarios</t>
  </si>
  <si>
    <t>III-01-11</t>
  </si>
  <si>
    <t>III-01-12</t>
  </si>
  <si>
    <t>Mejoras CENCINAI de Carrizal</t>
  </si>
  <si>
    <t>III-01-13</t>
  </si>
  <si>
    <t>III-01-14</t>
  </si>
  <si>
    <t>III-01-16</t>
  </si>
  <si>
    <t>Mejoras Infraestructura Escuela la California</t>
  </si>
  <si>
    <t>III-01-17</t>
  </si>
  <si>
    <t>Mejora en la Infraestructura de la plaza de Deportes de Pavas de Carrizal</t>
  </si>
  <si>
    <t>III-01-18</t>
  </si>
  <si>
    <t>III-01-19</t>
  </si>
  <si>
    <t>III-01-20</t>
  </si>
  <si>
    <t>Centro de Rehabilitación y de Extensión Comunal</t>
  </si>
  <si>
    <t>III-01-22</t>
  </si>
  <si>
    <t>III-01-23</t>
  </si>
  <si>
    <t>III-01-24</t>
  </si>
  <si>
    <t>III-01-25</t>
  </si>
  <si>
    <t>III-01-26</t>
  </si>
  <si>
    <t>III-01-27</t>
  </si>
  <si>
    <t>III-01-28</t>
  </si>
  <si>
    <t>Unidad Técnica de Gestión Vial</t>
  </si>
  <si>
    <t>III-02-07</t>
  </si>
  <si>
    <t>Construcción de Aceras Peatonales Canoas</t>
  </si>
  <si>
    <t>III-02-14</t>
  </si>
  <si>
    <t>III-02-17</t>
  </si>
  <si>
    <t>III-05-06</t>
  </si>
  <si>
    <t>III-05-08</t>
  </si>
  <si>
    <t>III-05-12</t>
  </si>
  <si>
    <t>III-05-17</t>
  </si>
  <si>
    <t>III-05-21</t>
  </si>
  <si>
    <t>III-05-22</t>
  </si>
  <si>
    <t>III-06-12</t>
  </si>
  <si>
    <t>III-06-17</t>
  </si>
  <si>
    <t>III-06-22</t>
  </si>
  <si>
    <t>III-07</t>
  </si>
  <si>
    <t>Transferencias de Capital  Asociaciones</t>
  </si>
  <si>
    <t>3.3.2.0.00.00.0.0.011</t>
  </si>
  <si>
    <t>Fondo de Desarrollo Municipal</t>
  </si>
  <si>
    <t>3.3.2.0.00.00.0.0.012</t>
  </si>
  <si>
    <t>Aporte Junta Admva.Registro Nac. Ley 7509y 7729 1,5%</t>
  </si>
  <si>
    <t>3.3.2.0.00.00.0.0.013</t>
  </si>
  <si>
    <t>3.3.2.0.00.00.0.0.014</t>
  </si>
  <si>
    <t>3.3.2.0.00.00.0.0.015</t>
  </si>
  <si>
    <t>Organo de Normalización Técnica, 1% del IBI, Ley Nº 7729</t>
  </si>
  <si>
    <t>Organo Normalización Técnica M.de Hacienda 0 ,5%</t>
  </si>
  <si>
    <t>3.3.2.0.00.00.0.0.003</t>
  </si>
  <si>
    <t>Seguridad Vial Multas</t>
  </si>
  <si>
    <t>III-02-16</t>
  </si>
  <si>
    <t>Señalización y demarcación Vial para el cantón de Alajuela</t>
  </si>
  <si>
    <t>Ingreso no presupuestado</t>
  </si>
  <si>
    <t>3.3.2.0.00.00.0.0.017</t>
  </si>
  <si>
    <t>3.3.2.0.00.00.0.0.023</t>
  </si>
  <si>
    <t>3.3.2.0.00.00.0.0.028</t>
  </si>
  <si>
    <t>3.3.2.0.00.00.0.0.020</t>
  </si>
  <si>
    <t>3.3.2.0.00.00.0.0.021</t>
  </si>
  <si>
    <t>3.3.2.0.00.00.0.0.001</t>
  </si>
  <si>
    <t>3.3.2.0.00.00.0.0.008</t>
  </si>
  <si>
    <t>Fondo para el acueducto Ley n°8316</t>
  </si>
  <si>
    <t>III-05-14</t>
  </si>
  <si>
    <t>III-05-15</t>
  </si>
  <si>
    <t>III-05-29</t>
  </si>
  <si>
    <t>III-05-32</t>
  </si>
  <si>
    <t>III-05-33</t>
  </si>
  <si>
    <t>3.3.2.0.00.00.0.0.009</t>
  </si>
  <si>
    <t>Fondo de Ley de Simplificacion y Eficieciencia Tributaria</t>
  </si>
  <si>
    <t>Educativo, Culturales y Deportivo</t>
  </si>
  <si>
    <t>Por Incumplimiento de Deberes de los Municipes</t>
  </si>
  <si>
    <t>Construcción de Salon Comunal Urbanización Baviera</t>
  </si>
  <si>
    <t>III-01-05</t>
  </si>
  <si>
    <t>III-01-07</t>
  </si>
  <si>
    <t>III-01-09</t>
  </si>
  <si>
    <t>III-01-15</t>
  </si>
  <si>
    <t>III-01-21</t>
  </si>
  <si>
    <t>III-02-06</t>
  </si>
  <si>
    <t>III-02-09</t>
  </si>
  <si>
    <t>Construcción de pantalla de concreto anclada Calle Vuelta Lulo, Tambor</t>
  </si>
  <si>
    <t>III-02-10</t>
  </si>
  <si>
    <t>III-02-11</t>
  </si>
  <si>
    <t>Construcción de Conector Peatonal en Carrizal</t>
  </si>
  <si>
    <t>III-02-12</t>
  </si>
  <si>
    <t>Construcción de Conector Peatonal en Sabanilla</t>
  </si>
  <si>
    <t>III-02-13</t>
  </si>
  <si>
    <t>III-02-15</t>
  </si>
  <si>
    <t>III-05-07</t>
  </si>
  <si>
    <t>III-05-09</t>
  </si>
  <si>
    <t>III-05-10</t>
  </si>
  <si>
    <t>III-05-11</t>
  </si>
  <si>
    <t>III-05-18</t>
  </si>
  <si>
    <t>III-05-19</t>
  </si>
  <si>
    <t>III-05-23</t>
  </si>
  <si>
    <t>III-05-24</t>
  </si>
  <si>
    <t>Mejoras de la Infraestructura Vial de las calles la Unión Bella Vista</t>
  </si>
  <si>
    <t>III-05-25</t>
  </si>
  <si>
    <t>III-05-26</t>
  </si>
  <si>
    <t>Mejoramiento Pluvial IMAS 2</t>
  </si>
  <si>
    <t>III-05-27</t>
  </si>
  <si>
    <t>III-05-28</t>
  </si>
  <si>
    <t>III-05-30</t>
  </si>
  <si>
    <t>Dirección Técnica y Estudio</t>
  </si>
  <si>
    <t>III-06-09</t>
  </si>
  <si>
    <t>III-06-10</t>
  </si>
  <si>
    <t>III-06-11</t>
  </si>
  <si>
    <t>Mejoras Parque Infantil la Julieta</t>
  </si>
  <si>
    <t>III-06-13</t>
  </si>
  <si>
    <t>Equipamiento de Rescate y Atención de Emergencias de Cruz Roja de San Miguel</t>
  </si>
  <si>
    <t>III-06-14</t>
  </si>
  <si>
    <t>III-06-15</t>
  </si>
  <si>
    <t>III-06-16</t>
  </si>
  <si>
    <t>Construcción de muro de contención parque de la Urbanización Baviera</t>
  </si>
  <si>
    <t>III-06-18</t>
  </si>
  <si>
    <t>III-06-19</t>
  </si>
  <si>
    <t>Construcción del Centro de Desarrollo Cultural del Erizo</t>
  </si>
  <si>
    <t>III-06-21</t>
  </si>
  <si>
    <t>III-06-24</t>
  </si>
  <si>
    <t>III-06-25</t>
  </si>
  <si>
    <t>III-06-26</t>
  </si>
  <si>
    <t>III-06-27</t>
  </si>
  <si>
    <t>III-06-28</t>
  </si>
  <si>
    <t>Superavit sin presupuestar</t>
  </si>
  <si>
    <t>3.3.2.0.00.00.0.0.030</t>
  </si>
  <si>
    <t>FODESAF</t>
  </si>
  <si>
    <t>Concejo Nacional de la Persona Joven</t>
  </si>
  <si>
    <t>3.3.2.0.00.00.0.0.029</t>
  </si>
  <si>
    <t>notas de credito</t>
  </si>
  <si>
    <t>3.3.2.0.00.00.0.0.033</t>
  </si>
  <si>
    <t>Aporte  de Cooperación Alemana</t>
  </si>
  <si>
    <t>3.3.2.0.00.00.0.0.024</t>
  </si>
  <si>
    <t>Fondos Solidarios</t>
  </si>
  <si>
    <t>Partidas Chinas</t>
  </si>
  <si>
    <t>Partidas Gobernacion</t>
  </si>
  <si>
    <t>Instalaciones Alcantarillado Pluvial en San José de Alajuela</t>
  </si>
  <si>
    <t>3.3.2.0.00.00.0.0.018</t>
  </si>
  <si>
    <t xml:space="preserve">Fondo Servico de Aseo de Vias </t>
  </si>
  <si>
    <t>Ingresos no presupestados</t>
  </si>
  <si>
    <t>3.3.2.0.00.00.0.0.004</t>
  </si>
  <si>
    <t>Fondo de Recolección de Basuras</t>
  </si>
  <si>
    <t>III-06-07</t>
  </si>
  <si>
    <t>Implementación del Plan  Municipal de Residuos</t>
  </si>
  <si>
    <t>3.3.2.0.00.00.0.0.005</t>
  </si>
  <si>
    <t>Fondo de Parques y Obras de Ornato</t>
  </si>
  <si>
    <t>3.3.2.0.00.00.0.0.007</t>
  </si>
  <si>
    <t>Fondo del Acueducto</t>
  </si>
  <si>
    <t>Plan Operación Mantenimiento y Des. Sistema de Acueducto</t>
  </si>
  <si>
    <t>3.3.2.0.00.00.0.0.026</t>
  </si>
  <si>
    <t>Fondo Mercado</t>
  </si>
  <si>
    <t>3.3.2.0.00.00.0.0.006</t>
  </si>
  <si>
    <t>Fondo de Alcantarillado Sanitario</t>
  </si>
  <si>
    <t>Plan Operación Mantenimiento y Desarrollo del Sistema de Saneamiento de la Municipalidad de Alajuela</t>
  </si>
  <si>
    <t>III-05-31</t>
  </si>
  <si>
    <t>Rehabilitación Planta de Tratamiento de Villa Bonita</t>
  </si>
  <si>
    <t>Ingresos no Prsupuestados</t>
  </si>
  <si>
    <t>3.3.2.0.00.00.0.0.027</t>
  </si>
  <si>
    <t>Fondo de Alcantarillado Pluvial</t>
  </si>
  <si>
    <t>Ajustes</t>
  </si>
  <si>
    <t>Recomendación de auditoria Acueducto</t>
  </si>
  <si>
    <t>Recomendación de auditoria BI</t>
  </si>
  <si>
    <t>Notas de Debito Aclaradasdel 202</t>
  </si>
  <si>
    <t>Para ser usado en el acueducto y alcantarillado del Cantón</t>
  </si>
  <si>
    <t>Para ser utilizado en el matenimiento y construcción de carreteras</t>
  </si>
  <si>
    <t>Destinado al Servicio de Sergucidad Vial</t>
  </si>
  <si>
    <t>Articulo   83</t>
  </si>
  <si>
    <t>Articulo 1</t>
  </si>
  <si>
    <t>artículo 12</t>
  </si>
  <si>
    <t>Ley 9976</t>
  </si>
  <si>
    <t>Articulo 13 modifica Articulo 83 del código Municipal</t>
  </si>
  <si>
    <t>Transitorio 3</t>
  </si>
  <si>
    <t>Articulo 5</t>
  </si>
  <si>
    <t>Articulo 26</t>
  </si>
  <si>
    <t>Articulo 5 inciso b</t>
  </si>
  <si>
    <t>Articulo 30 y art 28</t>
  </si>
  <si>
    <t>Articulo 43</t>
  </si>
  <si>
    <t>Articulo 70</t>
  </si>
  <si>
    <t>articulo 217 inciso b</t>
  </si>
  <si>
    <t>Articulo 32</t>
  </si>
  <si>
    <t>002-014-30976283</t>
  </si>
  <si>
    <t>Ley N°. 7509 Y ley 7552</t>
  </si>
  <si>
    <t>Lic. Ana María Alvarado Garita</t>
  </si>
  <si>
    <t>Resultado Específico acumulado al cierre 2023</t>
  </si>
  <si>
    <t>Monto superávit específico de periodos anteriores no incorporados en el periodo 2023 más el presupuestado en el periodo, pero no ejecutado</t>
  </si>
  <si>
    <t>Ajuste en  Mercado</t>
  </si>
  <si>
    <t>Obras de Movilidad Estratégica según Ley N° 9976</t>
  </si>
  <si>
    <t>Anulación de saldo de Fondo de Desarrollo Municipal</t>
  </si>
  <si>
    <t>CONAPDIS</t>
  </si>
  <si>
    <t>Bienes Inmuebles separados en el 2023 en esspecifico</t>
  </si>
  <si>
    <t>Intereses libres</t>
  </si>
  <si>
    <t>NC 2021 separadas en específico</t>
  </si>
  <si>
    <t>Ajuste de Mercado</t>
  </si>
  <si>
    <t>INTERESES LIBRES</t>
  </si>
  <si>
    <t>III-05-40</t>
  </si>
  <si>
    <t>III-05-38</t>
  </si>
  <si>
    <t>Construcción de Cordon y Caño conector peatonal de San Luis de Sabanilla</t>
  </si>
  <si>
    <t>Mejoras Pluviales Calle Los Arayas, Villa Bonita</t>
  </si>
  <si>
    <t>-</t>
  </si>
  <si>
    <t>Cerramiento de nacientes</t>
  </si>
  <si>
    <t>Sectorizacion Zona Presion Sistema Alajuela Centro</t>
  </si>
  <si>
    <t>III-05-13</t>
  </si>
  <si>
    <t>Pretamo del Banco Naciona</t>
  </si>
  <si>
    <t>Partidas Especificas</t>
  </si>
  <si>
    <t>III-05-36</t>
  </si>
  <si>
    <t>III-05-35</t>
  </si>
  <si>
    <t>Ley 8316 Mejoramiento Pluvial calle San Miguel, Tuetal</t>
  </si>
  <si>
    <t>Consejo Nacional de Personas con Discapacidad (CONAPDIS) Ley N°9303</t>
  </si>
  <si>
    <t>III-02-21</t>
  </si>
  <si>
    <t>Transferencias Capital a Instituciones Descentralizadas no empresariales</t>
  </si>
  <si>
    <t>III-06-36</t>
  </si>
  <si>
    <t>III-06-35</t>
  </si>
  <si>
    <t>III-06-34</t>
  </si>
  <si>
    <t>III-06-33</t>
  </si>
  <si>
    <t>,,,,,</t>
  </si>
  <si>
    <t>Equipamiento cruz Roja de San Miguel</t>
  </si>
  <si>
    <t>III-06-32</t>
  </si>
  <si>
    <t>Equipamiento Rostro de Jesus</t>
  </si>
  <si>
    <t>III-06-31</t>
  </si>
  <si>
    <t>Compra de Terreno  San Isidro</t>
  </si>
  <si>
    <t>III-06-30</t>
  </si>
  <si>
    <t>Intervención de Areas Públicas en el Distrito San José</t>
  </si>
  <si>
    <t>III-06-29</t>
  </si>
  <si>
    <t>Centro Deportivo y Cultural de Lagos del Coyol</t>
  </si>
  <si>
    <t xml:space="preserve"> Iluminación y cerramiento del parque Zeus, Brasil Alajuela.</t>
  </si>
  <si>
    <t>Mejoras Parque de La Garita</t>
  </si>
  <si>
    <t>Mejoras Parque de urb. La Maravilla</t>
  </si>
  <si>
    <t>Mejoras Infraestructura y Equipamiento de la plaza de Deportes de Dulce Nombre de la Garita</t>
  </si>
  <si>
    <t>Segunda Etapa Cancha Multiuso La Torre</t>
  </si>
  <si>
    <t>Mejoras Infraestructura Instalaciones Asociación de San Isidro de Alajuela</t>
  </si>
  <si>
    <t>Embellecimiento Centro de El Roble.</t>
  </si>
  <si>
    <t>Mejoras en el Parque los Héroes San Antonio</t>
  </si>
  <si>
    <t>III-06-20</t>
  </si>
  <si>
    <t>Mejoras Áreas Comunales en Barrio Fátima</t>
  </si>
  <si>
    <t>Mejoras en Sitios Publicos del Distrito Primero</t>
  </si>
  <si>
    <t>Adquisición de Terreno para Cementerio de Carrizal</t>
  </si>
  <si>
    <t>Mejoras en la infraestructura de Parque Pandora</t>
  </si>
  <si>
    <t>Mejoramiento Barrial mediante Construcción de Espacio Público recreativo en Santa Rita</t>
  </si>
  <si>
    <t>Mejoras en las canchas de San Pedro de la Garita y Dulce Nombre</t>
  </si>
  <si>
    <t>Equipamiento y Remozamiento de  las Areas Publicas del cantón de Alajuela</t>
  </si>
  <si>
    <t>Construcción Cancha multiuso Residencial Elizabeth</t>
  </si>
  <si>
    <t>III-05-42</t>
  </si>
  <si>
    <t>III-05-39</t>
  </si>
  <si>
    <t>III-05-37</t>
  </si>
  <si>
    <t>III-05-34</t>
  </si>
  <si>
    <t>Mejoras Pluviales en la Inmediaciones de Escuela Rincón de Cacao</t>
  </si>
  <si>
    <t xml:space="preserve">Mejoras Pluviales y Calles Cantonales de Pilas, San Isidro de Alajuela. </t>
  </si>
  <si>
    <t xml:space="preserve">Mejoras Pluviales Carbonal </t>
  </si>
  <si>
    <t xml:space="preserve">Entubado de aguas Pluviales y Canalización de aguas del Río Poás </t>
  </si>
  <si>
    <t>Desfogue pluvial, cordón y caño calle El Gavílan-Doka</t>
  </si>
  <si>
    <t xml:space="preserve">Mejoras Sistema de Tratamiento de Aguas Servidas en Urbanización Los Angeles </t>
  </si>
  <si>
    <t xml:space="preserve">Mejoramiento del Drenaje Pluvial de las Rutas Nacionales N° 122  y 124 en San Rafael </t>
  </si>
  <si>
    <t>Mejoramiento pluvial Cataluña y Calle Cerezos</t>
  </si>
  <si>
    <t>Instalación Tuberia de Agua Potables en Calle Morera</t>
  </si>
  <si>
    <t>Iluminación Cancha Multiuso Urbanización Barcelona</t>
  </si>
  <si>
    <t>Mejoras Sistema de Alcantarillado Sanitario Urbanización Altos de Montenegro</t>
  </si>
  <si>
    <t>Ampliación de Sistema Pluvial para Urbanización La Torre</t>
  </si>
  <si>
    <t xml:space="preserve">Construcción de Cunetas en Rincón de Cacao </t>
  </si>
  <si>
    <t>Mejoras Sistema Pluvial calle la Primavera</t>
  </si>
  <si>
    <t>Entubado Campo Ferial Carrizal</t>
  </si>
  <si>
    <t>Canalización y  protección Naciente los Herreras</t>
  </si>
  <si>
    <t>III-02-20</t>
  </si>
  <si>
    <t>III-02-19</t>
  </si>
  <si>
    <t>Diseño y Construcción de Puente s/ Río Alajuela  en calle el Salto Barrio San José</t>
  </si>
  <si>
    <t>III-02-18</t>
  </si>
  <si>
    <t>Construcción de Puente s/ Río Quizarraces,conector San Isidro Carrizal</t>
  </si>
  <si>
    <t>Diseño y Construcción de Puente s/ Quebrada Cañas conector víal Alajuela- Santa Bárbara</t>
  </si>
  <si>
    <t>Iluminación Boulevar del Liceo  de San Rafael</t>
  </si>
  <si>
    <t>Plan de Recuperación de las Alamedas del Invu Las Cañas I</t>
  </si>
  <si>
    <t>Rampas de Accesibilidad Universal</t>
  </si>
  <si>
    <t>Conector Peatonal Guacima Centro de Alajuela</t>
  </si>
  <si>
    <t>Conector Peatonal en Carrizal, Arriba</t>
  </si>
  <si>
    <t xml:space="preserve">Unidad Técnica de Gestión Vial </t>
  </si>
  <si>
    <t>Remodelación del Mercado Municipal</t>
  </si>
  <si>
    <t>III-01-52</t>
  </si>
  <si>
    <t>III-01-50</t>
  </si>
  <si>
    <t>III-01-49</t>
  </si>
  <si>
    <t>III-01-48</t>
  </si>
  <si>
    <t>III-01-47</t>
  </si>
  <si>
    <t>III-01-46</t>
  </si>
  <si>
    <t>III-01-45</t>
  </si>
  <si>
    <t>Mejoras Salón Multiuso Laguna de San Isidro</t>
  </si>
  <si>
    <t>III-01-44</t>
  </si>
  <si>
    <t>Construcción Complejo Deportivo y Recreativo  del Norte</t>
  </si>
  <si>
    <t>III-01-43</t>
  </si>
  <si>
    <t>Reconstrucción de la cancha polideportivo y el mejoramiento en su zonas aledañas en Urbanizacion la Brazilia</t>
  </si>
  <si>
    <t>III-01-42</t>
  </si>
  <si>
    <t>Mejoras Infraestructura de Areas Comunales de Urb. Babilonia</t>
  </si>
  <si>
    <t>III-01-41</t>
  </si>
  <si>
    <t>Salón Comunal del Coco</t>
  </si>
  <si>
    <t>III-01-40</t>
  </si>
  <si>
    <t>Mejoras Infraestructura Áreas Comunales Urbanización Llanos del Norte en canoas</t>
  </si>
  <si>
    <t>III-01-39</t>
  </si>
  <si>
    <t>Mejoras Infraestructura Colegio CTP INVU las Cañas</t>
  </si>
  <si>
    <t>III-01-38</t>
  </si>
  <si>
    <t>Construcción de Salón Multiusos en Urbanización Las Abras</t>
  </si>
  <si>
    <t>III-01-37</t>
  </si>
  <si>
    <t>Mejoras y Equipamiento Salón Multiuso María Auxiliadora</t>
  </si>
  <si>
    <t>III-01-36</t>
  </si>
  <si>
    <t>Mejoras Infraestructura Plaza de fútbol El Coyol</t>
  </si>
  <si>
    <t>III-01-35</t>
  </si>
  <si>
    <t>Mejoras en la Cancha de Futbol de Villa Bonita</t>
  </si>
  <si>
    <t>III-01-34</t>
  </si>
  <si>
    <t>Mejoras Infraestructura e Iluminación del Gimnasio Víctor Hugo Alfaro</t>
  </si>
  <si>
    <t>III-01-33</t>
  </si>
  <si>
    <t>Mejoras en el CENCINAI Pavas de Carrizal</t>
  </si>
  <si>
    <t>III-01-32</t>
  </si>
  <si>
    <t>Mejoras en el CENCINAI San Antonio</t>
  </si>
  <si>
    <t>III-01-31</t>
  </si>
  <si>
    <t>Mejoras Infraestructura Escuela Juan Rafael Alberto Luna</t>
  </si>
  <si>
    <t>Construcción Salón Comunal De Turrúcares</t>
  </si>
  <si>
    <t xml:space="preserve">Mejoras Proyecto de Nuevo Carrizal, Construcción Salón Multiusos </t>
  </si>
  <si>
    <t xml:space="preserve">Techado y Acondicionamiento Multiusos Edificio Carlos Morales </t>
  </si>
  <si>
    <t>Remodelación Ebais de Ciruelas</t>
  </si>
  <si>
    <t>Mejoras Infraestructurra de la Escuela Barrio San Jose</t>
  </si>
  <si>
    <t>Obras complementarias en Edificaciones Comunales de Itiquis</t>
  </si>
  <si>
    <t>Mejoras en Infraestructura Ebais de Itiquis</t>
  </si>
  <si>
    <t>Remodelación del EBAIS de Rio Segundo</t>
  </si>
  <si>
    <t>Rehabilitación de la Plaza Ganado</t>
  </si>
  <si>
    <t>Construcción de Centro de Eventos Mixtos de San Miguel de Sarapiquí de Alajuela</t>
  </si>
  <si>
    <t>Construcción Salón Comunal Urbanización San Gerardo, II Etapa</t>
  </si>
  <si>
    <t>Construcción De Gimnasio Multiuso De Occidente, II Etapa</t>
  </si>
  <si>
    <t>Construccion Salon Comunal Urb. San Francisco, Rincon Herrera</t>
  </si>
  <si>
    <t>Construcción Salón Comunal los Jardines</t>
  </si>
  <si>
    <t>III-01-10</t>
  </si>
  <si>
    <t>Construcción de Autobuses Terminal FECOSA</t>
  </si>
  <si>
    <t>III-01-08</t>
  </si>
  <si>
    <t>Construcción del Salón Multiusos COODEPLAN</t>
  </si>
  <si>
    <t>Nuevo Palacio Municipal del Cantón Central de Alajuela</t>
  </si>
  <si>
    <t>Reintegros y devoluciones</t>
  </si>
  <si>
    <t xml:space="preserve">Ley 8316 Mejoramiento Pluvial Urbanización los Olivos </t>
  </si>
  <si>
    <t>Ley 8316 Mejoramiento Sistema Pluvial Barrio la Unión, distrito San José</t>
  </si>
  <si>
    <t>Ley 8316 Mejoras Pluvial en Cebadilla</t>
  </si>
  <si>
    <t>Ley 8316 Mejoras Pluviales Barrio Don Bosco, Turrúcares</t>
  </si>
  <si>
    <t>Parques y Obras de Ornato</t>
  </si>
  <si>
    <t>Aswo de Vias</t>
  </si>
  <si>
    <t>Superavit Impuesto sobre bienes Inmuebles</t>
  </si>
  <si>
    <t>Obras de movilidad Peatoanal</t>
  </si>
  <si>
    <t>Organo Normalización Técnica M.de Hacienda1%</t>
  </si>
  <si>
    <t>Impuesto sobre bienes Inmuebles del periodo</t>
  </si>
  <si>
    <t>Superavit Libre sin asigación Presupuesaria</t>
  </si>
  <si>
    <t xml:space="preserve">Mercado Plazas y Ferias </t>
  </si>
  <si>
    <t>Centro Deportivo Mondovi</t>
  </si>
  <si>
    <t>Mejoras en sitios publico del cantón</t>
  </si>
  <si>
    <t>III-06-38</t>
  </si>
  <si>
    <t>|</t>
  </si>
  <si>
    <t>Iluminación áreas Públicas del Distrito Primero</t>
  </si>
  <si>
    <t>Boulevard entre Colegio y Plaza de San Rafael</t>
  </si>
  <si>
    <t>Seguridad y Vigilancia de la Comunidad</t>
  </si>
  <si>
    <t>Educactivos Culturales y Deportivos</t>
  </si>
  <si>
    <t>{</t>
  </si>
  <si>
    <t>Registro de Deudad Fondos y Transferencias</t>
  </si>
  <si>
    <t>Transferencias de Capital</t>
  </si>
  <si>
    <t>03-07</t>
  </si>
  <si>
    <t>Asociación de atención Integral de la Tercera Edad de Alajuela</t>
  </si>
  <si>
    <t xml:space="preserve">Infraestructura canchas de futbol de la Garita y Dulce Nombre de San Pedro de la Garita </t>
  </si>
  <si>
    <t>III-06-37</t>
  </si>
  <si>
    <t>iii-06-01</t>
  </si>
  <si>
    <t>Diseño alcantarillado Pluvial Barrio Nazaret</t>
  </si>
  <si>
    <t>Contrucción de Centro Agricola</t>
  </si>
  <si>
    <t>III-01-51</t>
  </si>
  <si>
    <t>Mejoras Escuela Cariblanco</t>
  </si>
  <si>
    <t>02-29</t>
  </si>
  <si>
    <t>Servicios</t>
  </si>
  <si>
    <t>Remuneraciones</t>
  </si>
  <si>
    <t>Ley 6909</t>
  </si>
  <si>
    <t>Fondo de Estacionamientos</t>
  </si>
  <si>
    <t>(2)
Monto puesto al cobro durante el 2023</t>
  </si>
  <si>
    <t>(3)
Total recaudado al 31/12/2023</t>
  </si>
  <si>
    <t>(4)
Total Morosidad al 31/12/2023</t>
  </si>
  <si>
    <t>LIQUIDACIÓN DEL PRESUPUESTO  2023</t>
  </si>
  <si>
    <t>Alquiler de FECOSA</t>
  </si>
  <si>
    <r>
      <t xml:space="preserve">Notas: 
</t>
    </r>
    <r>
      <rPr>
        <i/>
        <sz val="9"/>
        <color theme="1"/>
        <rFont val="Century Gothic"/>
        <family val="2"/>
      </rPr>
      <t>1. Columna "Ingreso":  Corresponde a todos aquellos ingresos donde se registra morosidad (si no está especificado, debe incorporarse en la celda denominada "Otro…"). 
2. Columna "Monto puesto al cobro durante el 202X": Corresponde al monto total acumulado puesto al cobro (suma de pendiente de cobro de periodos anteriores más monto propio del periodo 202X).
3. Columna "Total recaudado al 31/12/202X" Corresponde al monto total recaudado durante el periodo (recuperación de saldos de periodos anteriores más el ingreso propio del periodo en ejercicio)
4. Columna "Total Morosidad al 31/12/202X": Correspone al "Monto puesto al cobro durante el 20XX" menos el total recaudado a esa misma fecha.  
5. Columna "Resultado porcentual de morosidad": Corresponde al "Total de morosidad al 31/12/202X" divido entre "Monto puesto al cobro durante el 202X".</t>
    </r>
    <r>
      <rPr>
        <b/>
        <i/>
        <sz val="9"/>
        <color theme="1"/>
        <rFont val="Century Gothic"/>
        <family val="2"/>
      </rPr>
      <t xml:space="preserve">
Otros aspectos por considerar:
</t>
    </r>
    <r>
      <rPr>
        <i/>
        <sz val="9"/>
        <color theme="1"/>
        <rFont val="Century Gothic"/>
        <family val="2"/>
      </rPr>
      <t xml:space="preserve">En la columna 1 se debe </t>
    </r>
    <r>
      <rPr>
        <b/>
        <i/>
        <sz val="9"/>
        <color theme="1"/>
        <rFont val="Century Gothic"/>
        <family val="2"/>
      </rPr>
      <t>incluir únicamente aquellos ingresos que cuenten con morosidad</t>
    </r>
    <r>
      <rPr>
        <i/>
        <sz val="9"/>
        <color theme="1"/>
        <rFont val="Century Gothic"/>
        <family val="2"/>
      </rPr>
      <t xml:space="preserve">.
En la columna 4 </t>
    </r>
    <r>
      <rPr>
        <b/>
        <i/>
        <sz val="9"/>
        <color theme="1"/>
        <rFont val="Century Gothic"/>
        <family val="2"/>
      </rPr>
      <t>no debe incluirse resultados en negativo o resultado cero,</t>
    </r>
    <r>
      <rPr>
        <i/>
        <sz val="9"/>
        <color theme="1"/>
        <rFont val="Century Gothic"/>
        <family val="2"/>
      </rPr>
      <t xml:space="preserve"> considerando que ese ingreso dejaría de ser moroso.</t>
    </r>
    <r>
      <rPr>
        <b/>
        <i/>
        <sz val="9"/>
        <color theme="1"/>
        <rFont val="Century Gothic"/>
        <family val="2"/>
      </rPr>
      <t xml:space="preserve">
</t>
    </r>
  </si>
  <si>
    <t>ESTADO DEL PENDIENTE DE COBRO AL 31 DE DICIEMBRE DE 2023</t>
  </si>
  <si>
    <t>AL 31/12/2023</t>
  </si>
  <si>
    <t>,</t>
  </si>
  <si>
    <t>Programas comites cantonales de la Persona Joven</t>
  </si>
  <si>
    <t>Destina a Desarrollo social (Comites de la Persona Joven)</t>
  </si>
  <si>
    <t>nc pendientes de aclarar</t>
  </si>
  <si>
    <t>Articulo 3</t>
  </si>
  <si>
    <t>FORMULARIO Nro. 4</t>
  </si>
  <si>
    <t>MUNICIPALIDAD DE</t>
  </si>
  <si>
    <t>INFORME DE COMPROMISOS</t>
  </si>
  <si>
    <t>AL 31-12-2023</t>
  </si>
  <si>
    <t>RESUMEN</t>
  </si>
  <si>
    <t>PARTIDA</t>
  </si>
  <si>
    <t>PRESUPUESTO APROBADO</t>
  </si>
  <si>
    <t>EGRESOS REALES</t>
  </si>
  <si>
    <t>COMPROMISOS</t>
  </si>
  <si>
    <t>EGRESOS MÁS COMPROMISOS</t>
  </si>
  <si>
    <t>SALDO PRESUPUESTARIO</t>
  </si>
  <si>
    <t>Materiales y Suministros</t>
  </si>
  <si>
    <t>Intereses y Comisiones</t>
  </si>
  <si>
    <t>Activos Financieros</t>
  </si>
  <si>
    <t>Bienes Duraderos</t>
  </si>
  <si>
    <t>Amortización</t>
  </si>
  <si>
    <t>Cuentas Especiales</t>
  </si>
  <si>
    <t>TOTALES</t>
  </si>
  <si>
    <t>Lic Ana María Alvaado Garita</t>
  </si>
  <si>
    <t xml:space="preserve">Encargado de Presupuesto </t>
  </si>
  <si>
    <t>FORMULARIO Nro. 5</t>
  </si>
  <si>
    <t>PROGRAMA I: DIRECCIÓN Y ADMINISTRACIÓN GENERAL</t>
  </si>
  <si>
    <t>DOCUMENTO DE RESPALDO</t>
  </si>
  <si>
    <t>Ejecución total Programa I</t>
  </si>
  <si>
    <t>PROGRAMA II: SERVICIOS COMUNITARIOS</t>
  </si>
  <si>
    <t>Ejecución total Programa II</t>
  </si>
  <si>
    <t>PROGRAMA III: INVERSIONES</t>
  </si>
  <si>
    <t>Ejecución total Programa III</t>
  </si>
  <si>
    <t>PROGRAMA IV: PARTIDAS ESPECÍFICAS</t>
  </si>
  <si>
    <t>Ejecución total Programa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</si>
</sst>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140A]#,##0.00"/>
    <numFmt numFmtId="166" formatCode="[$¢-140A]#,##0.00"/>
    <numFmt numFmtId="167" formatCode="_(* #,##0.00_);_(* \(#,##0.00\);_(* &quot;-&quot;??_);_(@_)"/>
    <numFmt numFmtId="168" formatCode="_-* #,##0.00\ _P_t_s_-;\-* #,##0.00\ _P_t_s_-;_-* &quot;-&quot;??\ _P_t_s_-;_-@_-"/>
  </numFmts>
  <fonts count="64">
    <font>
      <sz val="10"/>
      <color rgb="FF000000"/>
      <name val="Arial"/>
      <scheme val="minor"/>
    </font>
    <font>
      <b/>
      <sz val="14"/>
      <color rgb="FFFFFFFF"/>
      <name val="Century Gothic"/>
      <family val="2"/>
    </font>
    <font>
      <sz val="10"/>
      <color theme="1"/>
      <name val="Arial"/>
      <family val="2"/>
    </font>
    <font>
      <sz val="11"/>
      <color rgb="FFFFFFFF"/>
      <name val="Century Gothic"/>
      <family val="2"/>
    </font>
    <font>
      <sz val="10"/>
      <name val="Arial"/>
      <family val="2"/>
    </font>
    <font>
      <b/>
      <sz val="14"/>
      <color theme="1"/>
      <name val="Century Gothic"/>
      <family val="2"/>
    </font>
    <font>
      <b/>
      <sz val="11"/>
      <color theme="1"/>
      <name val="Century Gothic"/>
      <family val="2"/>
    </font>
    <font>
      <b/>
      <sz val="10"/>
      <color theme="1"/>
      <name val="Arial"/>
      <family val="2"/>
    </font>
    <font>
      <sz val="11"/>
      <color theme="1"/>
      <name val="Century Gothic"/>
      <family val="2"/>
    </font>
    <font>
      <b/>
      <sz val="10"/>
      <color theme="1"/>
      <name val="Arial"/>
      <family val="2"/>
      <scheme val="minor"/>
    </font>
    <font>
      <b/>
      <sz val="11"/>
      <color rgb="FFFFFFFF"/>
      <name val="Century Gothic"/>
      <family val="2"/>
    </font>
    <font>
      <sz val="10"/>
      <color theme="1"/>
      <name val="Century Gothic"/>
      <family val="2"/>
    </font>
    <font>
      <sz val="10"/>
      <color theme="1"/>
      <name val="Century Gothic"/>
      <family val="2"/>
    </font>
    <font>
      <b/>
      <sz val="8"/>
      <color theme="1"/>
      <name val="Century Gothic"/>
      <family val="2"/>
    </font>
    <font>
      <b/>
      <i/>
      <sz val="9"/>
      <color theme="1"/>
      <name val="Century Gothic"/>
      <family val="2"/>
    </font>
    <font>
      <sz val="10"/>
      <color rgb="FF000000"/>
      <name val="Century Gothic"/>
      <family val="2"/>
    </font>
    <font>
      <b/>
      <sz val="10"/>
      <color rgb="FFFFFFFF"/>
      <name val="Century Gothic"/>
      <family val="2"/>
    </font>
    <font>
      <b/>
      <sz val="8"/>
      <color rgb="FFFFFFFF"/>
      <name val="Century Gothic"/>
      <family val="2"/>
    </font>
    <font>
      <sz val="10"/>
      <color rgb="FFFFFFFF"/>
      <name val="Century Gothic"/>
      <family val="2"/>
    </font>
    <font>
      <b/>
      <sz val="12"/>
      <color theme="1"/>
      <name val="Century Gothic"/>
      <family val="2"/>
    </font>
    <font>
      <b/>
      <sz val="12"/>
      <color theme="0"/>
      <name val="Century Gothic"/>
      <family val="2"/>
    </font>
    <font>
      <b/>
      <sz val="10"/>
      <color theme="0"/>
      <name val="Century Gothic"/>
      <family val="2"/>
    </font>
    <font>
      <b/>
      <sz val="14"/>
      <color theme="1"/>
      <name val="&quot;Century Gothic&quot;"/>
    </font>
    <font>
      <sz val="14"/>
      <color theme="1"/>
      <name val="&quot;Century Gothic&quot;"/>
    </font>
    <font>
      <i/>
      <sz val="9"/>
      <color theme="1"/>
      <name val="Century Gothic"/>
      <family val="2"/>
    </font>
    <font>
      <b/>
      <i/>
      <sz val="12"/>
      <color theme="1"/>
      <name val="Century Gothic"/>
      <family val="2"/>
    </font>
    <font>
      <sz val="10"/>
      <color rgb="FF000000"/>
      <name val="Arial"/>
      <family val="2"/>
      <scheme val="minor"/>
    </font>
    <font>
      <sz val="10"/>
      <color theme="1"/>
      <name val="Arial"/>
      <family val="2"/>
    </font>
    <font>
      <sz val="10"/>
      <color theme="1"/>
      <name val="Century Gothic"/>
      <family val="2"/>
    </font>
    <font>
      <sz val="10"/>
      <name val="Arial"/>
      <family val="2"/>
    </font>
    <font>
      <sz val="9"/>
      <name val="Arial"/>
      <family val="2"/>
    </font>
    <font>
      <sz val="11"/>
      <name val="Arial"/>
      <family val="2"/>
    </font>
    <font>
      <sz val="10"/>
      <color rgb="FF000000"/>
      <name val="Arial"/>
      <family val="2"/>
    </font>
    <font>
      <sz val="10"/>
      <color theme="1"/>
      <name val="Calibri"/>
      <family val="2"/>
    </font>
    <font>
      <b/>
      <sz val="10"/>
      <color theme="1"/>
      <name val="Calibri"/>
      <family val="2"/>
    </font>
    <font>
      <b/>
      <sz val="12"/>
      <color rgb="FFFF0000"/>
      <name val="Arial"/>
      <family val="2"/>
    </font>
    <font>
      <b/>
      <sz val="12"/>
      <color theme="1"/>
      <name val="Arial"/>
      <family val="2"/>
    </font>
    <font>
      <b/>
      <sz val="10"/>
      <color rgb="FF000000"/>
      <name val="Arial"/>
      <family val="2"/>
    </font>
    <font>
      <b/>
      <i/>
      <sz val="9"/>
      <color theme="1"/>
      <name val="Arial"/>
      <family val="2"/>
    </font>
    <font>
      <b/>
      <sz val="12"/>
      <color theme="0"/>
      <name val="Arial"/>
      <family val="2"/>
    </font>
    <font>
      <b/>
      <sz val="10"/>
      <color rgb="FFFFFFFF"/>
      <name val="Arial"/>
      <family val="2"/>
    </font>
    <font>
      <b/>
      <sz val="11"/>
      <color rgb="FFFFFFFF"/>
      <name val="Arial"/>
      <family val="2"/>
    </font>
    <font>
      <b/>
      <sz val="9"/>
      <color rgb="FFFFFFFF"/>
      <name val="Arial"/>
      <family val="2"/>
    </font>
    <font>
      <sz val="11"/>
      <color rgb="FFFFFFFF"/>
      <name val="Arial"/>
      <family val="2"/>
    </font>
    <font>
      <b/>
      <i/>
      <sz val="11"/>
      <color rgb="FFFFFFFF"/>
      <name val="Arial"/>
      <family val="2"/>
    </font>
    <font>
      <b/>
      <sz val="10"/>
      <color theme="0"/>
      <name val="Arial"/>
      <family val="2"/>
    </font>
    <font>
      <b/>
      <sz val="10"/>
      <name val="Arial"/>
      <family val="2"/>
    </font>
    <font>
      <b/>
      <sz val="10"/>
      <color theme="1"/>
      <name val="Arial"/>
      <family val="2"/>
    </font>
    <font>
      <b/>
      <i/>
      <sz val="10"/>
      <name val="Arial"/>
      <family val="2"/>
    </font>
    <font>
      <i/>
      <sz val="10"/>
      <name val="Arial"/>
      <family val="2"/>
    </font>
    <font>
      <sz val="11"/>
      <color rgb="FF0033CC"/>
      <name val="Arial Narrow"/>
      <family val="2"/>
    </font>
    <font>
      <sz val="11"/>
      <color theme="1"/>
      <name val="Calibri"/>
      <family val="2"/>
    </font>
    <font>
      <b/>
      <sz val="12"/>
      <color theme="1"/>
      <name val="Century Gothic"/>
      <family val="2"/>
    </font>
    <font>
      <i/>
      <sz val="9"/>
      <color theme="1"/>
      <name val="Arial"/>
      <family val="2"/>
    </font>
    <font>
      <b/>
      <sz val="14"/>
      <color rgb="FF000000"/>
      <name val="Arial"/>
      <family val="2"/>
    </font>
    <font>
      <b/>
      <sz val="11"/>
      <color theme="1"/>
      <name val="Arial"/>
      <family val="2"/>
      <scheme val="minor"/>
    </font>
    <font>
      <b/>
      <sz val="12"/>
      <color indexed="10"/>
      <name val="Arial"/>
      <family val="2"/>
    </font>
    <font>
      <b/>
      <sz val="10"/>
      <color indexed="9"/>
      <name val="Arial"/>
      <family val="2"/>
    </font>
    <font>
      <b/>
      <sz val="11"/>
      <name val="Arial"/>
      <family val="2"/>
    </font>
    <font>
      <sz val="11"/>
      <color rgb="FF000000"/>
      <name val="Calibri"/>
      <family val="2"/>
      <charset val="1"/>
    </font>
    <font>
      <b/>
      <sz val="11"/>
      <color indexed="81"/>
      <name val="Tahoma"/>
      <family val="2"/>
    </font>
    <font>
      <sz val="11"/>
      <color indexed="81"/>
      <name val="Tahoma"/>
      <family val="2"/>
    </font>
    <font>
      <b/>
      <sz val="8"/>
      <color indexed="81"/>
      <name val="Tahoma"/>
      <family val="2"/>
    </font>
    <font>
      <sz val="8"/>
      <color indexed="81"/>
      <name val="Tahoma"/>
      <family val="2"/>
    </font>
  </fonts>
  <fills count="25">
    <fill>
      <patternFill patternType="none"/>
    </fill>
    <fill>
      <patternFill patternType="gray125"/>
    </fill>
    <fill>
      <patternFill patternType="solid">
        <fgColor rgb="FF073763"/>
        <bgColor rgb="FF073763"/>
      </patternFill>
    </fill>
    <fill>
      <patternFill patternType="solid">
        <fgColor rgb="FF92CDDC"/>
        <bgColor rgb="FF92CDDC"/>
      </patternFill>
    </fill>
    <fill>
      <patternFill patternType="solid">
        <fgColor rgb="FFD9D9D9"/>
        <bgColor rgb="FFD9D9D9"/>
      </patternFill>
    </fill>
    <fill>
      <patternFill patternType="solid">
        <fgColor rgb="FF9FC5E8"/>
        <bgColor rgb="FF9FC5E8"/>
      </patternFill>
    </fill>
    <fill>
      <patternFill patternType="solid">
        <fgColor rgb="FFB4A7D6"/>
        <bgColor rgb="FFB4A7D6"/>
      </patternFill>
    </fill>
    <fill>
      <patternFill patternType="solid">
        <fgColor rgb="FF4BACC6"/>
        <bgColor rgb="FF4BACC6"/>
      </patternFill>
    </fill>
    <fill>
      <patternFill patternType="solid">
        <fgColor rgb="FFFFFFFF"/>
        <bgColor rgb="FFFFFFFF"/>
      </patternFill>
    </fill>
    <fill>
      <patternFill patternType="solid">
        <fgColor rgb="FFDAEEF3"/>
        <bgColor rgb="FFDAEEF3"/>
      </patternFill>
    </fill>
    <fill>
      <patternFill patternType="solid">
        <fgColor rgb="FFE36C09"/>
        <bgColor rgb="FFE36C09"/>
      </patternFill>
    </fill>
    <fill>
      <patternFill patternType="solid">
        <fgColor rgb="FF1F497D"/>
        <bgColor rgb="FF1F497D"/>
      </patternFill>
    </fill>
    <fill>
      <patternFill patternType="solid">
        <fgColor rgb="FF1064B0"/>
        <bgColor rgb="FF1064B0"/>
      </patternFill>
    </fill>
    <fill>
      <patternFill patternType="solid">
        <fgColor rgb="FF147EDE"/>
        <bgColor rgb="FF147EDE"/>
      </patternFill>
    </fill>
    <fill>
      <patternFill patternType="solid">
        <fgColor rgb="FFFFFF0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rgb="FF92D050"/>
        <bgColor rgb="FFD9D9D9"/>
      </patternFill>
    </fill>
    <fill>
      <patternFill patternType="solid">
        <fgColor indexed="56"/>
        <bgColor indexed="64"/>
      </patternFill>
    </fill>
    <fill>
      <patternFill patternType="solid">
        <fgColor rgb="FFFFFF99"/>
        <bgColor indexed="64"/>
      </patternFill>
    </fill>
  </fills>
  <borders count="40">
    <border>
      <left/>
      <right/>
      <top/>
      <bottom/>
      <diagonal/>
    </border>
    <border>
      <left/>
      <right/>
      <top/>
      <bottom style="thin">
        <color rgb="FF0000FF"/>
      </bottom>
      <diagonal/>
    </border>
    <border>
      <left/>
      <right/>
      <top/>
      <bottom style="thick">
        <color rgb="FF0000FF"/>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5">
    <xf numFmtId="0" fontId="0" fillId="0" borderId="0"/>
    <xf numFmtId="43" fontId="26" fillId="0" borderId="0" applyFont="0" applyFill="0" applyBorder="0" applyAlignment="0" applyProtection="0"/>
    <xf numFmtId="0" fontId="32" fillId="0" borderId="19"/>
    <xf numFmtId="43" fontId="29" fillId="0" borderId="19" applyFont="0" applyFill="0" applyBorder="0" applyAlignment="0" applyProtection="0"/>
    <xf numFmtId="0" fontId="29" fillId="0" borderId="19"/>
    <xf numFmtId="43" fontId="32" fillId="0" borderId="19" applyFont="0" applyFill="0" applyBorder="0" applyAlignment="0" applyProtection="0"/>
    <xf numFmtId="0" fontId="32" fillId="0" borderId="19"/>
    <xf numFmtId="43" fontId="29" fillId="0" borderId="19" applyFont="0" applyFill="0" applyBorder="0" applyAlignment="0" applyProtection="0"/>
    <xf numFmtId="0" fontId="29" fillId="0" borderId="19"/>
    <xf numFmtId="0" fontId="4" fillId="0" borderId="19"/>
    <xf numFmtId="43" fontId="29" fillId="0" borderId="19" applyFont="0" applyFill="0" applyBorder="0" applyAlignment="0" applyProtection="0"/>
    <xf numFmtId="0" fontId="4" fillId="0" borderId="19"/>
    <xf numFmtId="168" fontId="4" fillId="0" borderId="19" applyFont="0" applyFill="0" applyBorder="0" applyAlignment="0" applyProtection="0"/>
    <xf numFmtId="168" fontId="4" fillId="0" borderId="19" applyFont="0" applyFill="0" applyBorder="0" applyAlignment="0" applyProtection="0"/>
    <xf numFmtId="0" fontId="59" fillId="0" borderId="19"/>
  </cellStyleXfs>
  <cellXfs count="383">
    <xf numFmtId="0" fontId="0" fillId="0" borderId="0" xfId="0"/>
    <xf numFmtId="0" fontId="1" fillId="2" borderId="0" xfId="0" applyFont="1" applyFill="1" applyAlignment="1">
      <alignment horizontal="center"/>
    </xf>
    <xf numFmtId="0" fontId="2" fillId="0" borderId="0" xfId="0" applyFont="1"/>
    <xf numFmtId="0" fontId="6" fillId="0" borderId="0" xfId="0" applyFont="1" applyAlignment="1">
      <alignment horizontal="center" wrapText="1"/>
    </xf>
    <xf numFmtId="0" fontId="7" fillId="0" borderId="0" xfId="0" applyFont="1"/>
    <xf numFmtId="4" fontId="2" fillId="0" borderId="0" xfId="0" applyNumberFormat="1" applyFont="1"/>
    <xf numFmtId="164" fontId="6" fillId="4" borderId="0" xfId="0" applyNumberFormat="1" applyFont="1" applyFill="1" applyAlignment="1">
      <alignment horizontal="right" wrapText="1"/>
    </xf>
    <xf numFmtId="0" fontId="8" fillId="0" borderId="0" xfId="0" applyFont="1" applyAlignment="1">
      <alignment wrapText="1"/>
    </xf>
    <xf numFmtId="164" fontId="2" fillId="0" borderId="0" xfId="0" applyNumberFormat="1" applyFont="1"/>
    <xf numFmtId="164" fontId="6" fillId="0" borderId="0" xfId="0" applyNumberFormat="1" applyFont="1" applyAlignment="1">
      <alignment horizontal="right" wrapText="1"/>
    </xf>
    <xf numFmtId="164" fontId="8" fillId="4" borderId="0" xfId="0" applyNumberFormat="1" applyFont="1" applyFill="1" applyAlignment="1">
      <alignment horizontal="right" wrapText="1"/>
    </xf>
    <xf numFmtId="4" fontId="7" fillId="0" borderId="0" xfId="0" applyNumberFormat="1" applyFont="1"/>
    <xf numFmtId="0" fontId="9" fillId="0" borderId="0" xfId="0" applyFont="1"/>
    <xf numFmtId="164" fontId="6" fillId="5" borderId="0" xfId="0" applyNumberFormat="1" applyFont="1" applyFill="1" applyAlignment="1">
      <alignment horizontal="right" wrapText="1"/>
    </xf>
    <xf numFmtId="164" fontId="6" fillId="6" borderId="0" xfId="0" applyNumberFormat="1" applyFont="1" applyFill="1" applyAlignment="1">
      <alignment horizontal="right" wrapText="1"/>
    </xf>
    <xf numFmtId="0" fontId="2" fillId="0" borderId="2" xfId="0" applyFont="1" applyBorder="1"/>
    <xf numFmtId="4" fontId="2" fillId="0" borderId="2" xfId="0" applyNumberFormat="1" applyFont="1" applyBorder="1"/>
    <xf numFmtId="2" fontId="2" fillId="0" borderId="0" xfId="0" applyNumberFormat="1" applyFont="1"/>
    <xf numFmtId="2" fontId="6" fillId="0" borderId="0" xfId="0" applyNumberFormat="1" applyFont="1"/>
    <xf numFmtId="0" fontId="2" fillId="0" borderId="3" xfId="0" applyFont="1" applyBorder="1"/>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1" fillId="4" borderId="5" xfId="0" applyFont="1" applyFill="1" applyBorder="1"/>
    <xf numFmtId="164" fontId="8" fillId="4" borderId="5" xfId="0" applyNumberFormat="1" applyFont="1" applyFill="1" applyBorder="1" applyAlignment="1">
      <alignment horizontal="right" wrapText="1"/>
    </xf>
    <xf numFmtId="164" fontId="2" fillId="0" borderId="5" xfId="0" applyNumberFormat="1" applyFont="1" applyBorder="1" applyAlignment="1">
      <alignment horizontal="right"/>
    </xf>
    <xf numFmtId="164" fontId="2" fillId="4" borderId="5" xfId="0" applyNumberFormat="1" applyFont="1" applyFill="1" applyBorder="1"/>
    <xf numFmtId="0" fontId="2" fillId="0" borderId="6" xfId="0" applyFont="1" applyBorder="1"/>
    <xf numFmtId="164" fontId="6" fillId="5" borderId="6" xfId="0" applyNumberFormat="1" applyFont="1" applyFill="1" applyBorder="1" applyAlignment="1">
      <alignment horizontal="right" wrapText="1"/>
    </xf>
    <xf numFmtId="164" fontId="6" fillId="0" borderId="6" xfId="0" applyNumberFormat="1" applyFont="1" applyBorder="1" applyAlignment="1">
      <alignment horizontal="right" wrapText="1"/>
    </xf>
    <xf numFmtId="2" fontId="2" fillId="0" borderId="3" xfId="0" applyNumberFormat="1" applyFont="1" applyBorder="1"/>
    <xf numFmtId="164" fontId="6" fillId="6" borderId="4" xfId="0" applyNumberFormat="1" applyFont="1" applyFill="1" applyBorder="1" applyAlignment="1">
      <alignment horizontal="right" wrapText="1"/>
    </xf>
    <xf numFmtId="164" fontId="6" fillId="4" borderId="5" xfId="0" applyNumberFormat="1" applyFont="1" applyFill="1" applyBorder="1" applyAlignment="1">
      <alignment horizontal="right" wrapText="1"/>
    </xf>
    <xf numFmtId="164" fontId="6" fillId="8" borderId="5" xfId="0" applyNumberFormat="1" applyFont="1" applyFill="1" applyBorder="1" applyAlignment="1">
      <alignment horizontal="right" wrapText="1"/>
    </xf>
    <xf numFmtId="0" fontId="6" fillId="0" borderId="0" xfId="0" applyFont="1"/>
    <xf numFmtId="0" fontId="6" fillId="0" borderId="0" xfId="0" applyFont="1" applyAlignment="1">
      <alignment horizontal="center"/>
    </xf>
    <xf numFmtId="0" fontId="12" fillId="0" borderId="0" xfId="0" applyFont="1"/>
    <xf numFmtId="0" fontId="13" fillId="0" borderId="0" xfId="0" applyFont="1" applyAlignment="1">
      <alignment horizontal="center" wrapText="1"/>
    </xf>
    <xf numFmtId="0" fontId="6" fillId="0" borderId="0" xfId="0" applyFont="1" applyAlignment="1">
      <alignment horizontal="left"/>
    </xf>
    <xf numFmtId="0" fontId="15" fillId="0" borderId="0" xfId="0" applyFont="1"/>
    <xf numFmtId="0" fontId="16" fillId="10" borderId="11" xfId="0" applyFont="1" applyFill="1" applyBorder="1" applyAlignment="1">
      <alignment horizontal="center" vertical="center" wrapText="1"/>
    </xf>
    <xf numFmtId="0" fontId="16" fillId="10" borderId="12" xfId="0" applyFont="1" applyFill="1" applyBorder="1" applyAlignment="1">
      <alignment horizontal="center" wrapText="1"/>
    </xf>
    <xf numFmtId="0" fontId="16" fillId="10" borderId="13" xfId="0" applyFont="1" applyFill="1" applyBorder="1" applyAlignment="1">
      <alignment horizontal="center" vertical="center" wrapText="1"/>
    </xf>
    <xf numFmtId="0" fontId="16" fillId="10" borderId="14" xfId="0" applyFont="1" applyFill="1" applyBorder="1" applyAlignment="1">
      <alignment horizontal="center" wrapText="1"/>
    </xf>
    <xf numFmtId="164" fontId="12" fillId="0" borderId="6" xfId="0" applyNumberFormat="1" applyFont="1" applyBorder="1"/>
    <xf numFmtId="10" fontId="12" fillId="0" borderId="6" xfId="0" applyNumberFormat="1" applyFont="1" applyBorder="1"/>
    <xf numFmtId="0" fontId="17" fillId="2" borderId="6" xfId="0" applyFont="1" applyFill="1" applyBorder="1"/>
    <xf numFmtId="164" fontId="18" fillId="2" borderId="6" xfId="0" applyNumberFormat="1" applyFont="1" applyFill="1" applyBorder="1"/>
    <xf numFmtId="10" fontId="18" fillId="2" borderId="6" xfId="0" applyNumberFormat="1" applyFont="1" applyFill="1" applyBorder="1"/>
    <xf numFmtId="0" fontId="8" fillId="0" borderId="0" xfId="0" applyFont="1"/>
    <xf numFmtId="0" fontId="6" fillId="0" borderId="17" xfId="0" applyFont="1" applyBorder="1"/>
    <xf numFmtId="0" fontId="8" fillId="0" borderId="17" xfId="0" applyFont="1" applyBorder="1"/>
    <xf numFmtId="0" fontId="8" fillId="0" borderId="3" xfId="0" applyFont="1" applyBorder="1"/>
    <xf numFmtId="49" fontId="12" fillId="0" borderId="6" xfId="0" applyNumberFormat="1" applyFont="1" applyBorder="1" applyAlignment="1">
      <alignment horizontal="center" vertical="center" wrapText="1"/>
    </xf>
    <xf numFmtId="2" fontId="19" fillId="0" borderId="0" xfId="0" applyNumberFormat="1" applyFont="1" applyAlignment="1">
      <alignment horizontal="center" vertical="center"/>
    </xf>
    <xf numFmtId="0" fontId="12" fillId="0" borderId="0" xfId="0" applyFont="1" applyAlignment="1">
      <alignment horizontal="center" vertical="center"/>
    </xf>
    <xf numFmtId="4" fontId="12" fillId="0" borderId="0" xfId="0" applyNumberFormat="1" applyFont="1" applyAlignment="1">
      <alignment horizontal="center" vertical="center"/>
    </xf>
    <xf numFmtId="49" fontId="12" fillId="0" borderId="0" xfId="0" applyNumberFormat="1" applyFont="1" applyAlignment="1">
      <alignment horizontal="center" vertical="center"/>
    </xf>
    <xf numFmtId="4" fontId="21" fillId="12" borderId="6" xfId="0" applyNumberFormat="1" applyFont="1" applyFill="1" applyBorder="1" applyAlignment="1">
      <alignment vertical="center"/>
    </xf>
    <xf numFmtId="4" fontId="21" fillId="12" borderId="6" xfId="0" applyNumberFormat="1" applyFont="1" applyFill="1" applyBorder="1" applyAlignment="1">
      <alignment horizontal="center" vertical="center"/>
    </xf>
    <xf numFmtId="49" fontId="21" fillId="12" borderId="6" xfId="0" applyNumberFormat="1" applyFont="1" applyFill="1" applyBorder="1" applyAlignment="1">
      <alignment horizontal="center" vertical="center" wrapText="1"/>
    </xf>
    <xf numFmtId="49" fontId="21" fillId="13" borderId="6" xfId="0" applyNumberFormat="1" applyFont="1" applyFill="1" applyBorder="1" applyAlignment="1">
      <alignment horizontal="center" vertical="center" wrapText="1"/>
    </xf>
    <xf numFmtId="0" fontId="12" fillId="0" borderId="6" xfId="0" applyFont="1" applyBorder="1" applyAlignment="1">
      <alignment vertical="center" wrapText="1"/>
    </xf>
    <xf numFmtId="0" fontId="12" fillId="0" borderId="6" xfId="0" applyFont="1" applyBorder="1" applyAlignment="1">
      <alignment vertical="center"/>
    </xf>
    <xf numFmtId="4" fontId="12" fillId="0" borderId="6" xfId="0" applyNumberFormat="1" applyFont="1" applyBorder="1" applyAlignment="1">
      <alignment horizontal="center" vertical="center"/>
    </xf>
    <xf numFmtId="1" fontId="12" fillId="0" borderId="6" xfId="0" applyNumberFormat="1" applyFont="1" applyBorder="1" applyAlignment="1">
      <alignment horizontal="center" vertical="center" wrapText="1"/>
    </xf>
    <xf numFmtId="4" fontId="12" fillId="0" borderId="6" xfId="0" applyNumberFormat="1" applyFont="1" applyBorder="1" applyAlignment="1">
      <alignment vertical="center"/>
    </xf>
    <xf numFmtId="1" fontId="12" fillId="0" borderId="6" xfId="0" applyNumberFormat="1" applyFont="1" applyBorder="1" applyAlignment="1">
      <alignment horizontal="center" vertical="center"/>
    </xf>
    <xf numFmtId="0" fontId="8" fillId="0" borderId="6" xfId="0" applyFont="1" applyBorder="1" applyAlignment="1">
      <alignment vertical="center" wrapText="1"/>
    </xf>
    <xf numFmtId="43" fontId="0" fillId="0" borderId="0" xfId="1" applyFont="1"/>
    <xf numFmtId="165" fontId="2" fillId="0" borderId="0" xfId="0" applyNumberFormat="1" applyFont="1"/>
    <xf numFmtId="0" fontId="11" fillId="4" borderId="4" xfId="0" applyFont="1" applyFill="1" applyBorder="1" applyAlignment="1">
      <alignment wrapText="1"/>
    </xf>
    <xf numFmtId="0" fontId="11" fillId="4" borderId="5" xfId="0" applyFont="1" applyFill="1" applyBorder="1" applyAlignment="1">
      <alignment wrapText="1"/>
    </xf>
    <xf numFmtId="0" fontId="7" fillId="0" borderId="6" xfId="0" applyFont="1" applyBorder="1" applyAlignment="1">
      <alignment wrapText="1"/>
    </xf>
    <xf numFmtId="0" fontId="2" fillId="0" borderId="6" xfId="0" applyFont="1" applyBorder="1" applyAlignment="1">
      <alignment wrapText="1"/>
    </xf>
    <xf numFmtId="0" fontId="30" fillId="0" borderId="24" xfId="0" applyFont="1" applyBorder="1"/>
    <xf numFmtId="0" fontId="30" fillId="0" borderId="25" xfId="0" applyFont="1" applyBorder="1"/>
    <xf numFmtId="0" fontId="30" fillId="0" borderId="24" xfId="0" applyFont="1" applyBorder="1" applyProtection="1">
      <protection locked="0"/>
    </xf>
    <xf numFmtId="164" fontId="28" fillId="0" borderId="6" xfId="0" applyNumberFormat="1" applyFont="1" applyBorder="1"/>
    <xf numFmtId="0" fontId="31" fillId="0" borderId="0" xfId="0" applyFont="1" applyProtection="1">
      <protection locked="0"/>
    </xf>
    <xf numFmtId="0" fontId="31" fillId="0" borderId="26" xfId="0" applyFont="1" applyBorder="1" applyProtection="1">
      <protection locked="0"/>
    </xf>
    <xf numFmtId="14" fontId="29" fillId="0" borderId="0" xfId="0" applyNumberFormat="1" applyFont="1" applyProtection="1">
      <protection locked="0"/>
    </xf>
    <xf numFmtId="0" fontId="33" fillId="0" borderId="19" xfId="2" applyFont="1"/>
    <xf numFmtId="4" fontId="33" fillId="0" borderId="19" xfId="2" applyNumberFormat="1" applyFont="1"/>
    <xf numFmtId="43" fontId="0" fillId="0" borderId="19" xfId="5" applyFont="1" applyAlignment="1"/>
    <xf numFmtId="0" fontId="32" fillId="0" borderId="19" xfId="2"/>
    <xf numFmtId="0" fontId="32" fillId="0" borderId="19" xfId="2" applyAlignment="1">
      <alignment wrapText="1"/>
    </xf>
    <xf numFmtId="43" fontId="32" fillId="0" borderId="19" xfId="3" applyFont="1"/>
    <xf numFmtId="2" fontId="38" fillId="9" borderId="19" xfId="2" applyNumberFormat="1" applyFont="1" applyFill="1" applyAlignment="1">
      <alignment vertical="center" wrapText="1"/>
    </xf>
    <xf numFmtId="4" fontId="32" fillId="0" borderId="19" xfId="2" applyNumberFormat="1"/>
    <xf numFmtId="4" fontId="41" fillId="12" borderId="19" xfId="2" applyNumberFormat="1" applyFont="1" applyFill="1" applyAlignment="1">
      <alignment horizontal="center" wrapText="1"/>
    </xf>
    <xf numFmtId="1" fontId="47" fillId="0" borderId="28" xfId="2" quotePrefix="1" applyNumberFormat="1" applyFont="1" applyBorder="1" applyAlignment="1">
      <alignment wrapText="1"/>
    </xf>
    <xf numFmtId="1" fontId="27" fillId="0" borderId="28" xfId="2" quotePrefix="1" applyNumberFormat="1" applyFont="1" applyBorder="1" applyAlignment="1">
      <alignment wrapText="1"/>
    </xf>
    <xf numFmtId="49" fontId="27" fillId="0" borderId="28" xfId="2" applyNumberFormat="1" applyFont="1" applyBorder="1" applyAlignment="1">
      <alignment horizontal="left" vertical="center" wrapText="1"/>
    </xf>
    <xf numFmtId="4" fontId="27" fillId="16" borderId="24" xfId="2" applyNumberFormat="1" applyFont="1" applyFill="1" applyBorder="1" applyAlignment="1">
      <alignment horizontal="right"/>
    </xf>
    <xf numFmtId="4" fontId="33" fillId="15" borderId="24" xfId="2" applyNumberFormat="1" applyFont="1" applyFill="1" applyBorder="1"/>
    <xf numFmtId="1" fontId="47" fillId="0" borderId="24" xfId="2" quotePrefix="1" applyNumberFormat="1" applyFont="1" applyBorder="1" applyAlignment="1">
      <alignment wrapText="1"/>
    </xf>
    <xf numFmtId="0" fontId="29" fillId="0" borderId="24" xfId="4" applyBorder="1" applyAlignment="1">
      <alignment horizontal="left" wrapText="1"/>
    </xf>
    <xf numFmtId="49" fontId="27" fillId="0" borderId="24" xfId="2" applyNumberFormat="1" applyFont="1" applyBorder="1" applyAlignment="1">
      <alignment horizontal="left" vertical="center" wrapText="1"/>
    </xf>
    <xf numFmtId="4" fontId="27" fillId="15" borderId="24" xfId="2" applyNumberFormat="1" applyFont="1" applyFill="1" applyBorder="1" applyAlignment="1">
      <alignment horizontal="right"/>
    </xf>
    <xf numFmtId="43" fontId="33" fillId="15" borderId="24" xfId="5" applyFont="1" applyFill="1" applyBorder="1"/>
    <xf numFmtId="1" fontId="27" fillId="0" borderId="24" xfId="2" quotePrefix="1" applyNumberFormat="1" applyFont="1" applyBorder="1" applyAlignment="1">
      <alignment wrapText="1"/>
    </xf>
    <xf numFmtId="4" fontId="27" fillId="0" borderId="19" xfId="2" applyNumberFormat="1" applyFont="1" applyAlignment="1">
      <alignment horizontal="right"/>
    </xf>
    <xf numFmtId="1" fontId="34" fillId="15" borderId="24" xfId="2" quotePrefix="1" applyNumberFormat="1" applyFont="1" applyFill="1" applyBorder="1"/>
    <xf numFmtId="1" fontId="33" fillId="15" borderId="24" xfId="2" quotePrefix="1" applyNumberFormat="1" applyFont="1" applyFill="1" applyBorder="1" applyAlignment="1">
      <alignment wrapText="1"/>
    </xf>
    <xf numFmtId="49" fontId="27" fillId="15" borderId="24" xfId="2" applyNumberFormat="1" applyFont="1" applyFill="1" applyBorder="1" applyAlignment="1">
      <alignment horizontal="left" vertical="center" wrapText="1"/>
    </xf>
    <xf numFmtId="0" fontId="33" fillId="15" borderId="29" xfId="2" applyFont="1" applyFill="1" applyBorder="1"/>
    <xf numFmtId="1" fontId="33" fillId="15" borderId="24" xfId="2" applyNumberFormat="1" applyFont="1" applyFill="1" applyBorder="1" applyAlignment="1">
      <alignment wrapText="1"/>
    </xf>
    <xf numFmtId="1" fontId="27" fillId="15" borderId="24" xfId="2" quotePrefix="1" applyNumberFormat="1" applyFont="1" applyFill="1" applyBorder="1" applyAlignment="1">
      <alignment wrapText="1"/>
    </xf>
    <xf numFmtId="0" fontId="32" fillId="15" borderId="24" xfId="2" applyFill="1" applyBorder="1"/>
    <xf numFmtId="0" fontId="29" fillId="15" borderId="24" xfId="4" applyFill="1" applyBorder="1" applyAlignment="1">
      <alignment horizontal="left" wrapText="1"/>
    </xf>
    <xf numFmtId="0" fontId="33" fillId="17" borderId="29" xfId="2" applyFont="1" applyFill="1" applyBorder="1"/>
    <xf numFmtId="4" fontId="33" fillId="17" borderId="24" xfId="2" applyNumberFormat="1" applyFont="1" applyFill="1" applyBorder="1"/>
    <xf numFmtId="1" fontId="33" fillId="17" borderId="24" xfId="2" applyNumberFormat="1" applyFont="1" applyFill="1" applyBorder="1" applyAlignment="1">
      <alignment wrapText="1"/>
    </xf>
    <xf numFmtId="49" fontId="27" fillId="17" borderId="24" xfId="2" applyNumberFormat="1" applyFont="1" applyFill="1" applyBorder="1" applyAlignment="1">
      <alignment horizontal="left" vertical="center" wrapText="1"/>
    </xf>
    <xf numFmtId="4" fontId="27" fillId="17" borderId="24" xfId="2" applyNumberFormat="1" applyFont="1" applyFill="1" applyBorder="1" applyAlignment="1">
      <alignment horizontal="right"/>
    </xf>
    <xf numFmtId="43" fontId="33" fillId="17" borderId="24" xfId="5" applyFont="1" applyFill="1" applyBorder="1"/>
    <xf numFmtId="0" fontId="48" fillId="0" borderId="29" xfId="2" applyFont="1" applyBorder="1"/>
    <xf numFmtId="166" fontId="49" fillId="0" borderId="24" xfId="2" applyNumberFormat="1" applyFont="1" applyBorder="1"/>
    <xf numFmtId="1" fontId="33" fillId="18" borderId="24" xfId="2" quotePrefix="1" applyNumberFormat="1" applyFont="1" applyFill="1" applyBorder="1" applyAlignment="1">
      <alignment wrapText="1"/>
    </xf>
    <xf numFmtId="49" fontId="27" fillId="18" borderId="24" xfId="2" applyNumberFormat="1" applyFont="1" applyFill="1" applyBorder="1" applyAlignment="1">
      <alignment horizontal="left" vertical="center" wrapText="1"/>
    </xf>
    <xf numFmtId="4" fontId="27" fillId="18" borderId="24" xfId="2" applyNumberFormat="1" applyFont="1" applyFill="1" applyBorder="1" applyAlignment="1">
      <alignment horizontal="right"/>
    </xf>
    <xf numFmtId="0" fontId="33" fillId="0" borderId="29" xfId="2" applyFont="1" applyBorder="1"/>
    <xf numFmtId="0" fontId="34" fillId="0" borderId="24" xfId="2" applyFont="1" applyBorder="1"/>
    <xf numFmtId="4" fontId="33" fillId="0" borderId="24" xfId="2" applyNumberFormat="1" applyFont="1" applyBorder="1"/>
    <xf numFmtId="4" fontId="27" fillId="0" borderId="24" xfId="2" applyNumberFormat="1" applyFont="1" applyBorder="1" applyAlignment="1">
      <alignment horizontal="right"/>
    </xf>
    <xf numFmtId="43" fontId="33" fillId="0" borderId="24" xfId="5" applyFont="1" applyFill="1" applyBorder="1"/>
    <xf numFmtId="1" fontId="33" fillId="0" borderId="24" xfId="2" quotePrefix="1" applyNumberFormat="1" applyFont="1" applyBorder="1" applyAlignment="1">
      <alignment wrapText="1"/>
    </xf>
    <xf numFmtId="0" fontId="46" fillId="15" borderId="29" xfId="2" applyFont="1" applyFill="1" applyBorder="1"/>
    <xf numFmtId="0" fontId="37" fillId="15" borderId="24" xfId="2" applyFont="1" applyFill="1" applyBorder="1" applyAlignment="1">
      <alignment wrapText="1"/>
    </xf>
    <xf numFmtId="49" fontId="47" fillId="15" borderId="24" xfId="2" applyNumberFormat="1" applyFont="1" applyFill="1" applyBorder="1" applyAlignment="1">
      <alignment horizontal="left" vertical="center" wrapText="1"/>
    </xf>
    <xf numFmtId="4" fontId="47" fillId="16" borderId="24" xfId="2" applyNumberFormat="1" applyFont="1" applyFill="1" applyBorder="1" applyAlignment="1">
      <alignment horizontal="right"/>
    </xf>
    <xf numFmtId="0" fontId="46" fillId="15" borderId="24" xfId="2" applyFont="1" applyFill="1" applyBorder="1" applyAlignment="1">
      <alignment wrapText="1"/>
    </xf>
    <xf numFmtId="43" fontId="33" fillId="18" borderId="24" xfId="5" applyFont="1" applyFill="1" applyBorder="1"/>
    <xf numFmtId="1" fontId="33" fillId="17" borderId="24" xfId="2" quotePrefix="1" applyNumberFormat="1" applyFont="1" applyFill="1" applyBorder="1" applyAlignment="1">
      <alignment wrapText="1"/>
    </xf>
    <xf numFmtId="0" fontId="32" fillId="17" borderId="19" xfId="2" applyFill="1"/>
    <xf numFmtId="43" fontId="33" fillId="15" borderId="24" xfId="5" quotePrefix="1" applyFont="1" applyFill="1" applyBorder="1" applyAlignment="1">
      <alignment wrapText="1"/>
    </xf>
    <xf numFmtId="4" fontId="27" fillId="16" borderId="24" xfId="2" applyNumberFormat="1" applyFont="1" applyFill="1" applyBorder="1" applyAlignment="1">
      <alignment horizontal="left"/>
    </xf>
    <xf numFmtId="1" fontId="33" fillId="0" borderId="24" xfId="2" applyNumberFormat="1" applyFont="1" applyBorder="1" applyAlignment="1">
      <alignment wrapText="1"/>
    </xf>
    <xf numFmtId="4" fontId="29" fillId="0" borderId="24" xfId="4" applyNumberFormat="1" applyBorder="1" applyAlignment="1">
      <alignment horizontal="left"/>
    </xf>
    <xf numFmtId="4" fontId="47" fillId="18" borderId="24" xfId="2" applyNumberFormat="1" applyFont="1" applyFill="1" applyBorder="1" applyAlignment="1">
      <alignment horizontal="right"/>
    </xf>
    <xf numFmtId="43" fontId="33" fillId="0" borderId="24" xfId="5" applyFont="1" applyBorder="1"/>
    <xf numFmtId="0" fontId="32" fillId="0" borderId="24" xfId="2" applyBorder="1"/>
    <xf numFmtId="166" fontId="29" fillId="0" borderId="24" xfId="4" applyNumberFormat="1" applyBorder="1"/>
    <xf numFmtId="0" fontId="46" fillId="0" borderId="29" xfId="4" applyFont="1" applyBorder="1" applyAlignment="1">
      <alignment horizontal="center"/>
    </xf>
    <xf numFmtId="0" fontId="46" fillId="0" borderId="24" xfId="4" applyFont="1" applyBorder="1" applyAlignment="1">
      <alignment horizontal="justify" vertical="top" wrapText="1"/>
    </xf>
    <xf numFmtId="1" fontId="33" fillId="0" borderId="24" xfId="2" applyNumberFormat="1" applyFont="1" applyBorder="1"/>
    <xf numFmtId="0" fontId="46" fillId="0" borderId="24" xfId="4" applyFont="1" applyBorder="1" applyAlignment="1">
      <alignment horizontal="center"/>
    </xf>
    <xf numFmtId="4" fontId="29" fillId="0" borderId="24" xfId="4" applyNumberFormat="1" applyBorder="1"/>
    <xf numFmtId="4" fontId="33" fillId="0" borderId="30" xfId="2" applyNumberFormat="1" applyFont="1" applyBorder="1"/>
    <xf numFmtId="0" fontId="46" fillId="0" borderId="24" xfId="4" applyFont="1" applyBorder="1" applyAlignment="1">
      <alignment horizontal="left"/>
    </xf>
    <xf numFmtId="0" fontId="46" fillId="0" borderId="29" xfId="2" applyFont="1" applyBorder="1"/>
    <xf numFmtId="0" fontId="37" fillId="0" borderId="24" xfId="2" applyFont="1" applyBorder="1" applyAlignment="1">
      <alignment wrapText="1"/>
    </xf>
    <xf numFmtId="1" fontId="47" fillId="15" borderId="24" xfId="2" quotePrefix="1" applyNumberFormat="1" applyFont="1" applyFill="1" applyBorder="1" applyAlignment="1">
      <alignment wrapText="1"/>
    </xf>
    <xf numFmtId="0" fontId="32" fillId="0" borderId="24" xfId="2" applyBorder="1" applyAlignment="1">
      <alignment wrapText="1"/>
    </xf>
    <xf numFmtId="0" fontId="34" fillId="0" borderId="29" xfId="2" applyFont="1" applyBorder="1"/>
    <xf numFmtId="0" fontId="34" fillId="0" borderId="24" xfId="2" applyFont="1" applyBorder="1" applyAlignment="1">
      <alignment wrapText="1"/>
    </xf>
    <xf numFmtId="0" fontId="33" fillId="0" borderId="24" xfId="2" applyFont="1" applyBorder="1" applyAlignment="1">
      <alignment wrapText="1"/>
    </xf>
    <xf numFmtId="0" fontId="33" fillId="20" borderId="29" xfId="2" applyFont="1" applyFill="1" applyBorder="1"/>
    <xf numFmtId="4" fontId="33" fillId="20" borderId="24" xfId="2" applyNumberFormat="1" applyFont="1" applyFill="1" applyBorder="1"/>
    <xf numFmtId="1" fontId="33" fillId="20" borderId="24" xfId="2" applyNumberFormat="1" applyFont="1" applyFill="1" applyBorder="1" applyAlignment="1">
      <alignment wrapText="1"/>
    </xf>
    <xf numFmtId="49" fontId="27" fillId="20" borderId="24" xfId="2" applyNumberFormat="1" applyFont="1" applyFill="1" applyBorder="1" applyAlignment="1">
      <alignment horizontal="left" vertical="center" wrapText="1"/>
    </xf>
    <xf numFmtId="4" fontId="27" fillId="20" borderId="24" xfId="2" applyNumberFormat="1" applyFont="1" applyFill="1" applyBorder="1" applyAlignment="1">
      <alignment horizontal="right"/>
    </xf>
    <xf numFmtId="0" fontId="32" fillId="20" borderId="19" xfId="2" applyFill="1"/>
    <xf numFmtId="0" fontId="33" fillId="16" borderId="29" xfId="2" applyFont="1" applyFill="1" applyBorder="1"/>
    <xf numFmtId="4" fontId="33" fillId="16" borderId="24" xfId="2" applyNumberFormat="1" applyFont="1" applyFill="1" applyBorder="1"/>
    <xf numFmtId="1" fontId="33" fillId="16" borderId="24" xfId="2" applyNumberFormat="1" applyFont="1" applyFill="1" applyBorder="1" applyAlignment="1">
      <alignment wrapText="1"/>
    </xf>
    <xf numFmtId="49" fontId="27" fillId="16" borderId="24" xfId="2" applyNumberFormat="1" applyFont="1" applyFill="1" applyBorder="1" applyAlignment="1">
      <alignment horizontal="left" vertical="center" wrapText="1"/>
    </xf>
    <xf numFmtId="0" fontId="32" fillId="16" borderId="19" xfId="2" applyFill="1"/>
    <xf numFmtId="0" fontId="33" fillId="18" borderId="29" xfId="2" applyFont="1" applyFill="1" applyBorder="1"/>
    <xf numFmtId="4" fontId="33" fillId="18" borderId="24" xfId="2" applyNumberFormat="1" applyFont="1" applyFill="1" applyBorder="1"/>
    <xf numFmtId="1" fontId="33" fillId="18" borderId="24" xfId="2" applyNumberFormat="1" applyFont="1" applyFill="1" applyBorder="1" applyAlignment="1">
      <alignment wrapText="1"/>
    </xf>
    <xf numFmtId="0" fontId="32" fillId="18" borderId="19" xfId="2" applyFill="1"/>
    <xf numFmtId="167" fontId="46" fillId="0" borderId="24" xfId="4" applyNumberFormat="1" applyFont="1" applyBorder="1"/>
    <xf numFmtId="49" fontId="27" fillId="0" borderId="24" xfId="2" applyNumberFormat="1" applyFont="1" applyBorder="1" applyAlignment="1">
      <alignment horizontal="center" vertical="center" wrapText="1"/>
    </xf>
    <xf numFmtId="43" fontId="46" fillId="0" borderId="24" xfId="7" applyFont="1" applyFill="1" applyBorder="1" applyAlignment="1">
      <alignment wrapText="1"/>
    </xf>
    <xf numFmtId="0" fontId="46" fillId="0" borderId="29" xfId="4" applyFont="1" applyBorder="1"/>
    <xf numFmtId="0" fontId="46" fillId="0" borderId="24" xfId="4" applyFont="1" applyBorder="1"/>
    <xf numFmtId="43" fontId="46" fillId="0" borderId="24" xfId="7" applyFont="1" applyFill="1" applyBorder="1" applyAlignment="1"/>
    <xf numFmtId="4" fontId="29" fillId="0" borderId="24" xfId="4" applyNumberFormat="1" applyBorder="1" applyAlignment="1">
      <alignment horizontal="left" wrapText="1"/>
    </xf>
    <xf numFmtId="43" fontId="46" fillId="0" borderId="29" xfId="7" applyFont="1" applyFill="1" applyBorder="1" applyAlignment="1"/>
    <xf numFmtId="0" fontId="33" fillId="0" borderId="31" xfId="2" applyFont="1" applyBorder="1"/>
    <xf numFmtId="4" fontId="33" fillId="0" borderId="32" xfId="2" applyNumberFormat="1" applyFont="1" applyBorder="1"/>
    <xf numFmtId="1" fontId="33" fillId="0" borderId="32" xfId="2" applyNumberFormat="1" applyFont="1" applyBorder="1" applyAlignment="1">
      <alignment wrapText="1"/>
    </xf>
    <xf numFmtId="49" fontId="27" fillId="0" borderId="32" xfId="2" applyNumberFormat="1" applyFont="1" applyBorder="1" applyAlignment="1">
      <alignment horizontal="left" vertical="center" wrapText="1"/>
    </xf>
    <xf numFmtId="4" fontId="27" fillId="0" borderId="32" xfId="2" applyNumberFormat="1" applyFont="1" applyBorder="1" applyAlignment="1">
      <alignment horizontal="right"/>
    </xf>
    <xf numFmtId="0" fontId="46" fillId="0" borderId="19" xfId="2" applyFont="1" applyAlignment="1">
      <alignment horizontal="left" wrapText="1"/>
    </xf>
    <xf numFmtId="0" fontId="29" fillId="0" borderId="33" xfId="2" applyFont="1" applyBorder="1" applyAlignment="1">
      <alignment horizontal="left" wrapText="1"/>
    </xf>
    <xf numFmtId="1" fontId="33" fillId="0" borderId="19" xfId="2" applyNumberFormat="1" applyFont="1" applyAlignment="1">
      <alignment wrapText="1"/>
    </xf>
    <xf numFmtId="49" fontId="27" fillId="0" borderId="19" xfId="2" applyNumberFormat="1" applyFont="1" applyAlignment="1">
      <alignment horizontal="left" vertical="center" wrapText="1"/>
    </xf>
    <xf numFmtId="43" fontId="0" fillId="0" borderId="19" xfId="3" applyFont="1"/>
    <xf numFmtId="0" fontId="27" fillId="0" borderId="6" xfId="0" applyFont="1" applyBorder="1" applyAlignment="1">
      <alignment vertical="center" wrapText="1"/>
    </xf>
    <xf numFmtId="0" fontId="46" fillId="0" borderId="24" xfId="0" applyFont="1" applyBorder="1" applyAlignment="1" applyProtection="1">
      <alignment horizontal="justify" vertical="top" wrapText="1"/>
      <protection locked="0"/>
    </xf>
    <xf numFmtId="4" fontId="46" fillId="0" borderId="24" xfId="0" applyNumberFormat="1" applyFont="1" applyBorder="1" applyProtection="1">
      <protection locked="0"/>
    </xf>
    <xf numFmtId="4" fontId="33" fillId="0" borderId="24" xfId="0" applyNumberFormat="1" applyFont="1" applyBorder="1"/>
    <xf numFmtId="49" fontId="27" fillId="0" borderId="24" xfId="0" applyNumberFormat="1" applyFont="1" applyBorder="1" applyAlignment="1">
      <alignment horizontal="center" vertical="center" wrapText="1"/>
    </xf>
    <xf numFmtId="43" fontId="27" fillId="0" borderId="24" xfId="7" applyFont="1" applyFill="1" applyBorder="1" applyAlignment="1">
      <alignment horizontal="right"/>
    </xf>
    <xf numFmtId="1" fontId="27" fillId="0" borderId="6" xfId="0" applyNumberFormat="1" applyFont="1" applyBorder="1" applyAlignment="1">
      <alignment horizontal="center" vertical="center"/>
    </xf>
    <xf numFmtId="4" fontId="27" fillId="0" borderId="6" xfId="0" applyNumberFormat="1" applyFont="1" applyBorder="1" applyAlignment="1">
      <alignment vertical="center"/>
    </xf>
    <xf numFmtId="43" fontId="51" fillId="0" borderId="6" xfId="5" applyFont="1" applyBorder="1" applyAlignment="1">
      <alignment vertical="center"/>
    </xf>
    <xf numFmtId="4" fontId="46" fillId="0" borderId="24" xfId="0" applyNumberFormat="1" applyFont="1" applyBorder="1"/>
    <xf numFmtId="0" fontId="27" fillId="0" borderId="6" xfId="0" applyFont="1" applyBorder="1" applyAlignment="1">
      <alignment vertical="center"/>
    </xf>
    <xf numFmtId="166" fontId="29" fillId="0" borderId="24" xfId="8" applyNumberFormat="1" applyBorder="1"/>
    <xf numFmtId="1" fontId="27" fillId="0" borderId="6" xfId="0" applyNumberFormat="1" applyFont="1" applyBorder="1" applyAlignment="1">
      <alignment horizontal="center" vertical="center" wrapText="1"/>
    </xf>
    <xf numFmtId="49" fontId="27" fillId="0" borderId="6" xfId="0" applyNumberFormat="1" applyFont="1" applyBorder="1" applyAlignment="1">
      <alignment horizontal="center" vertical="center" wrapText="1"/>
    </xf>
    <xf numFmtId="4" fontId="27" fillId="0" borderId="6" xfId="0" applyNumberFormat="1" applyFont="1" applyBorder="1" applyAlignment="1">
      <alignment horizontal="center" vertical="center"/>
    </xf>
    <xf numFmtId="0" fontId="4" fillId="0" borderId="18" xfId="0" applyFont="1" applyBorder="1"/>
    <xf numFmtId="2" fontId="36" fillId="0" borderId="0" xfId="0" applyNumberFormat="1" applyFont="1" applyAlignment="1">
      <alignment horizontal="center" vertical="center"/>
    </xf>
    <xf numFmtId="49" fontId="27" fillId="0" borderId="0" xfId="0" applyNumberFormat="1" applyFont="1" applyAlignment="1">
      <alignment horizontal="center" vertical="center"/>
    </xf>
    <xf numFmtId="49" fontId="45" fillId="13" borderId="4" xfId="0" applyNumberFormat="1" applyFont="1" applyFill="1" applyBorder="1" applyAlignment="1">
      <alignment horizontal="center" vertical="center" wrapText="1"/>
    </xf>
    <xf numFmtId="43" fontId="19" fillId="0" borderId="0" xfId="1" applyFont="1" applyAlignment="1">
      <alignment horizontal="center" vertical="center"/>
    </xf>
    <xf numFmtId="43" fontId="12" fillId="0" borderId="0" xfId="1" applyFont="1" applyAlignment="1">
      <alignment horizontal="center" vertical="center"/>
    </xf>
    <xf numFmtId="43" fontId="27" fillId="0" borderId="6" xfId="1" applyFont="1" applyBorder="1" applyAlignment="1">
      <alignment horizontal="center" vertical="center"/>
    </xf>
    <xf numFmtId="43" fontId="51" fillId="0" borderId="6" xfId="1" applyFont="1" applyBorder="1" applyAlignment="1">
      <alignment vertical="center"/>
    </xf>
    <xf numFmtId="43" fontId="27" fillId="0" borderId="6" xfId="1" applyFont="1" applyBorder="1" applyAlignment="1">
      <alignment vertical="center"/>
    </xf>
    <xf numFmtId="43" fontId="12" fillId="0" borderId="6" xfId="1" applyFont="1" applyBorder="1" applyAlignment="1">
      <alignment vertical="center"/>
    </xf>
    <xf numFmtId="43" fontId="15" fillId="0" borderId="0" xfId="1" applyFont="1"/>
    <xf numFmtId="43" fontId="8" fillId="0" borderId="6" xfId="1" applyFont="1" applyBorder="1" applyAlignment="1">
      <alignment vertical="center"/>
    </xf>
    <xf numFmtId="0" fontId="28" fillId="4" borderId="5" xfId="0" applyFont="1" applyFill="1" applyBorder="1" applyAlignment="1">
      <alignment wrapText="1"/>
    </xf>
    <xf numFmtId="0" fontId="28" fillId="4" borderId="5" xfId="0" applyFont="1" applyFill="1" applyBorder="1"/>
    <xf numFmtId="0" fontId="40" fillId="11" borderId="19" xfId="2" applyFont="1" applyFill="1" applyAlignment="1">
      <alignment horizontal="center" wrapText="1"/>
    </xf>
    <xf numFmtId="0" fontId="41" fillId="11" borderId="19" xfId="2" applyFont="1" applyFill="1" applyAlignment="1">
      <alignment horizontal="center"/>
    </xf>
    <xf numFmtId="4" fontId="42" fillId="11" borderId="19" xfId="2" applyNumberFormat="1" applyFont="1" applyFill="1" applyAlignment="1">
      <alignment horizontal="center" wrapText="1"/>
    </xf>
    <xf numFmtId="4" fontId="41" fillId="12" borderId="19" xfId="2" applyNumberFormat="1" applyFont="1" applyFill="1" applyAlignment="1">
      <alignment horizontal="center"/>
    </xf>
    <xf numFmtId="4" fontId="43" fillId="12" borderId="19" xfId="2" applyNumberFormat="1" applyFont="1" applyFill="1" applyAlignment="1">
      <alignment horizontal="center" wrapText="1"/>
    </xf>
    <xf numFmtId="4" fontId="41" fillId="12" borderId="19" xfId="2" applyNumberFormat="1" applyFont="1" applyFill="1" applyAlignment="1">
      <alignment horizontal="left" wrapText="1"/>
    </xf>
    <xf numFmtId="0" fontId="32" fillId="0" borderId="19" xfId="2" applyAlignment="1">
      <alignment horizontal="left" wrapText="1"/>
    </xf>
    <xf numFmtId="43" fontId="45" fillId="12" borderId="23" xfId="5" applyFont="1" applyFill="1" applyBorder="1" applyAlignment="1">
      <alignment horizontal="center" vertical="center" wrapText="1"/>
    </xf>
    <xf numFmtId="43" fontId="29" fillId="0" borderId="16" xfId="5" applyFont="1" applyBorder="1"/>
    <xf numFmtId="2" fontId="38" fillId="9" borderId="19" xfId="2" applyNumberFormat="1" applyFont="1" applyFill="1" applyAlignment="1">
      <alignment horizontal="left" vertical="center" wrapText="1"/>
    </xf>
    <xf numFmtId="0" fontId="4" fillId="0" borderId="19" xfId="9"/>
    <xf numFmtId="0" fontId="4" fillId="0" borderId="19" xfId="9" applyAlignment="1">
      <alignment horizontal="left"/>
    </xf>
    <xf numFmtId="0" fontId="29" fillId="0" borderId="19" xfId="9" applyFont="1" applyAlignment="1">
      <alignment wrapText="1"/>
    </xf>
    <xf numFmtId="4" fontId="4" fillId="0" borderId="19" xfId="9" applyNumberFormat="1"/>
    <xf numFmtId="43" fontId="33" fillId="0" borderId="19" xfId="5" applyFont="1" applyBorder="1" applyAlignment="1"/>
    <xf numFmtId="43" fontId="33" fillId="0" borderId="24" xfId="5" applyFont="1" applyBorder="1" applyAlignment="1"/>
    <xf numFmtId="1" fontId="33" fillId="18" borderId="24" xfId="2" applyNumberFormat="1" applyFont="1" applyFill="1" applyBorder="1"/>
    <xf numFmtId="0" fontId="33" fillId="18" borderId="24" xfId="2" applyFont="1" applyFill="1" applyBorder="1"/>
    <xf numFmtId="1" fontId="33" fillId="16" borderId="24" xfId="2" applyNumberFormat="1" applyFont="1" applyFill="1" applyBorder="1"/>
    <xf numFmtId="0" fontId="33" fillId="16" borderId="24" xfId="2" applyFont="1" applyFill="1" applyBorder="1"/>
    <xf numFmtId="0" fontId="33" fillId="0" borderId="24" xfId="2" applyFont="1" applyBorder="1"/>
    <xf numFmtId="0" fontId="33" fillId="0" borderId="19" xfId="2" applyFont="1" applyAlignment="1">
      <alignment wrapText="1"/>
    </xf>
    <xf numFmtId="1" fontId="33" fillId="17" borderId="24" xfId="2" applyNumberFormat="1" applyFont="1" applyFill="1" applyBorder="1"/>
    <xf numFmtId="0" fontId="33" fillId="17" borderId="24" xfId="2" applyFont="1" applyFill="1" applyBorder="1"/>
    <xf numFmtId="0" fontId="33" fillId="0" borderId="32" xfId="2" applyFont="1" applyBorder="1"/>
    <xf numFmtId="1" fontId="33" fillId="20" borderId="24" xfId="2" applyNumberFormat="1" applyFont="1" applyFill="1" applyBorder="1"/>
    <xf numFmtId="0" fontId="33" fillId="20" borderId="24" xfId="2" applyFont="1" applyFill="1" applyBorder="1"/>
    <xf numFmtId="4" fontId="29" fillId="0" borderId="19" xfId="9" applyNumberFormat="1" applyFont="1" applyAlignment="1">
      <alignment horizontal="left" wrapText="1"/>
    </xf>
    <xf numFmtId="4" fontId="27" fillId="14" borderId="24" xfId="2" applyNumberFormat="1" applyFont="1" applyFill="1" applyBorder="1" applyAlignment="1">
      <alignment horizontal="right"/>
    </xf>
    <xf numFmtId="4" fontId="29" fillId="19" borderId="24" xfId="4" applyNumberFormat="1" applyFill="1" applyBorder="1"/>
    <xf numFmtId="4" fontId="29" fillId="21" borderId="24" xfId="4" applyNumberFormat="1" applyFill="1" applyBorder="1"/>
    <xf numFmtId="4" fontId="32" fillId="0" borderId="24" xfId="2" applyNumberFormat="1" applyBorder="1"/>
    <xf numFmtId="167" fontId="32" fillId="0" borderId="19" xfId="2" applyNumberFormat="1"/>
    <xf numFmtId="1" fontId="33" fillId="17" borderId="24" xfId="2" quotePrefix="1" applyNumberFormat="1" applyFont="1" applyFill="1" applyBorder="1"/>
    <xf numFmtId="4" fontId="32" fillId="0" borderId="24" xfId="2" applyNumberFormat="1" applyBorder="1" applyAlignment="1">
      <alignment wrapText="1"/>
    </xf>
    <xf numFmtId="43" fontId="46" fillId="0" borderId="33" xfId="10" applyFont="1" applyFill="1" applyBorder="1" applyAlignment="1"/>
    <xf numFmtId="1" fontId="33" fillId="15" borderId="24" xfId="2" applyNumberFormat="1" applyFont="1" applyFill="1" applyBorder="1"/>
    <xf numFmtId="0" fontId="33" fillId="15" borderId="24" xfId="2" applyFont="1" applyFill="1" applyBorder="1"/>
    <xf numFmtId="4" fontId="29" fillId="15" borderId="19" xfId="9" applyNumberFormat="1" applyFont="1" applyFill="1" applyAlignment="1">
      <alignment horizontal="left" wrapText="1"/>
    </xf>
    <xf numFmtId="0" fontId="29" fillId="15" borderId="24" xfId="9" applyFont="1" applyFill="1" applyBorder="1" applyAlignment="1">
      <alignment horizontal="left" wrapText="1"/>
    </xf>
    <xf numFmtId="4" fontId="29" fillId="15" borderId="24" xfId="9" applyNumberFormat="1" applyFont="1" applyFill="1" applyBorder="1" applyAlignment="1">
      <alignment horizontal="left" wrapText="1"/>
    </xf>
    <xf numFmtId="1" fontId="27" fillId="15" borderId="19" xfId="2" quotePrefix="1" applyNumberFormat="1" applyFont="1" applyFill="1" applyAlignment="1">
      <alignment wrapText="1"/>
    </xf>
    <xf numFmtId="0" fontId="29" fillId="15" borderId="19" xfId="9" applyFont="1" applyFill="1" applyAlignment="1">
      <alignment horizontal="left" wrapText="1"/>
    </xf>
    <xf numFmtId="0" fontId="29" fillId="0" borderId="19" xfId="9" applyFont="1" applyAlignment="1">
      <alignment horizontal="left" wrapText="1"/>
    </xf>
    <xf numFmtId="0" fontId="29" fillId="16" borderId="19" xfId="9" applyFont="1" applyFill="1" applyAlignment="1">
      <alignment horizontal="left" wrapText="1"/>
    </xf>
    <xf numFmtId="4" fontId="50" fillId="0" borderId="24" xfId="2" applyNumberFormat="1" applyFont="1" applyBorder="1" applyAlignment="1" applyProtection="1">
      <alignment vertical="top" wrapText="1"/>
      <protection locked="0"/>
    </xf>
    <xf numFmtId="166" fontId="4" fillId="0" borderId="19" xfId="9" applyNumberFormat="1"/>
    <xf numFmtId="4" fontId="29" fillId="14" borderId="24" xfId="4" applyNumberFormat="1" applyFill="1" applyBorder="1"/>
    <xf numFmtId="166" fontId="29" fillId="14" borderId="24" xfId="4" applyNumberFormat="1" applyFill="1" applyBorder="1"/>
    <xf numFmtId="1" fontId="33" fillId="0" borderId="24" xfId="2" applyNumberFormat="1" applyFont="1" applyBorder="1" applyAlignment="1">
      <alignment horizontal="left"/>
    </xf>
    <xf numFmtId="1" fontId="33" fillId="0" borderId="24" xfId="2" quotePrefix="1" applyNumberFormat="1" applyFont="1" applyBorder="1"/>
    <xf numFmtId="0" fontId="32" fillId="15" borderId="24" xfId="2" applyFill="1" applyBorder="1" applyAlignment="1">
      <alignment wrapText="1"/>
    </xf>
    <xf numFmtId="4" fontId="29" fillId="15" borderId="24" xfId="4" applyNumberFormat="1" applyFill="1" applyBorder="1"/>
    <xf numFmtId="43" fontId="33" fillId="15" borderId="24" xfId="5" quotePrefix="1" applyFont="1" applyFill="1" applyBorder="1" applyAlignment="1"/>
    <xf numFmtId="1" fontId="33" fillId="18" borderId="24" xfId="2" quotePrefix="1" applyNumberFormat="1" applyFont="1" applyFill="1" applyBorder="1"/>
    <xf numFmtId="0" fontId="49" fillId="0" borderId="24" xfId="2" applyFont="1" applyBorder="1"/>
    <xf numFmtId="1" fontId="33" fillId="15" borderId="24" xfId="2" quotePrefix="1" applyNumberFormat="1" applyFont="1" applyFill="1" applyBorder="1"/>
    <xf numFmtId="0" fontId="29" fillId="0" borderId="24" xfId="9" applyFont="1" applyBorder="1" applyAlignment="1">
      <alignment horizontal="left" wrapText="1"/>
    </xf>
    <xf numFmtId="4" fontId="29" fillId="14" borderId="24" xfId="4" applyNumberFormat="1" applyFill="1" applyBorder="1" applyAlignment="1">
      <alignment horizontal="left" wrapText="1"/>
    </xf>
    <xf numFmtId="1" fontId="33" fillId="14" borderId="24" xfId="2" quotePrefix="1" applyNumberFormat="1" applyFont="1" applyFill="1" applyBorder="1"/>
    <xf numFmtId="1" fontId="33" fillId="14" borderId="24" xfId="2" applyNumberFormat="1" applyFont="1" applyFill="1" applyBorder="1" applyAlignment="1">
      <alignment wrapText="1"/>
    </xf>
    <xf numFmtId="1" fontId="33" fillId="14" borderId="24" xfId="2" applyNumberFormat="1" applyFont="1" applyFill="1" applyBorder="1"/>
    <xf numFmtId="1" fontId="33" fillId="14" borderId="24" xfId="2" quotePrefix="1" applyNumberFormat="1" applyFont="1" applyFill="1" applyBorder="1" applyAlignment="1">
      <alignment wrapText="1"/>
    </xf>
    <xf numFmtId="1" fontId="27" fillId="14" borderId="24" xfId="2" quotePrefix="1" applyNumberFormat="1" applyFont="1" applyFill="1" applyBorder="1" applyAlignment="1">
      <alignment wrapText="1"/>
    </xf>
    <xf numFmtId="0" fontId="33" fillId="14" borderId="24" xfId="2" quotePrefix="1" applyFont="1" applyFill="1" applyBorder="1"/>
    <xf numFmtId="0" fontId="27" fillId="0" borderId="24" xfId="2" applyFont="1" applyBorder="1"/>
    <xf numFmtId="0" fontId="27" fillId="0" borderId="29" xfId="2" applyFont="1" applyBorder="1"/>
    <xf numFmtId="43" fontId="4" fillId="0" borderId="19" xfId="9" applyNumberFormat="1"/>
    <xf numFmtId="43" fontId="4" fillId="14" borderId="19" xfId="9" applyNumberFormat="1" applyFill="1"/>
    <xf numFmtId="4" fontId="27" fillId="0" borderId="24" xfId="2" applyNumberFormat="1" applyFont="1" applyBorder="1"/>
    <xf numFmtId="43" fontId="0" fillId="14" borderId="19" xfId="3" applyFont="1" applyFill="1" applyAlignment="1"/>
    <xf numFmtId="4" fontId="47" fillId="18" borderId="28" xfId="2" applyNumberFormat="1" applyFont="1" applyFill="1" applyBorder="1" applyAlignment="1">
      <alignment horizontal="right"/>
    </xf>
    <xf numFmtId="43" fontId="33" fillId="0" borderId="28" xfId="5" applyFont="1" applyFill="1" applyBorder="1"/>
    <xf numFmtId="4" fontId="33" fillId="0" borderId="28" xfId="2" applyNumberFormat="1" applyFont="1" applyBorder="1"/>
    <xf numFmtId="0" fontId="46" fillId="0" borderId="28" xfId="4" applyFont="1" applyBorder="1" applyAlignment="1">
      <alignment horizontal="left"/>
    </xf>
    <xf numFmtId="0" fontId="46" fillId="0" borderId="27" xfId="4" applyFont="1" applyBorder="1" applyAlignment="1">
      <alignment horizontal="center"/>
    </xf>
    <xf numFmtId="4" fontId="40" fillId="12" borderId="19" xfId="2" applyNumberFormat="1" applyFont="1" applyFill="1" applyAlignment="1">
      <alignment horizontal="center" wrapText="1"/>
    </xf>
    <xf numFmtId="4" fontId="4" fillId="14" borderId="19" xfId="9" applyNumberFormat="1" applyFill="1"/>
    <xf numFmtId="2" fontId="53" fillId="9" borderId="19" xfId="2" applyNumberFormat="1" applyFont="1" applyFill="1" applyAlignment="1">
      <alignment horizontal="left" vertical="center" wrapText="1"/>
    </xf>
    <xf numFmtId="0" fontId="33" fillId="0" borderId="19" xfId="2" applyFont="1" applyAlignment="1">
      <alignment horizontal="left"/>
    </xf>
    <xf numFmtId="4" fontId="33" fillId="0" borderId="19" xfId="2" applyNumberFormat="1" applyFont="1" applyAlignment="1">
      <alignment wrapText="1"/>
    </xf>
    <xf numFmtId="164" fontId="7" fillId="0" borderId="0" xfId="1" applyNumberFormat="1" applyFont="1"/>
    <xf numFmtId="165" fontId="7" fillId="0" borderId="0" xfId="0" applyNumberFormat="1" applyFont="1"/>
    <xf numFmtId="165" fontId="2" fillId="0" borderId="2" xfId="0" applyNumberFormat="1" applyFont="1" applyBorder="1"/>
    <xf numFmtId="164" fontId="8" fillId="22" borderId="5" xfId="0" applyNumberFormat="1" applyFont="1" applyFill="1" applyBorder="1" applyAlignment="1">
      <alignment horizontal="right" wrapText="1"/>
    </xf>
    <xf numFmtId="164" fontId="2" fillId="22" borderId="5" xfId="0" applyNumberFormat="1" applyFont="1" applyFill="1" applyBorder="1"/>
    <xf numFmtId="4" fontId="29" fillId="0" borderId="24" xfId="0" applyNumberFormat="1" applyFont="1" applyBorder="1" applyProtection="1">
      <protection locked="0"/>
    </xf>
    <xf numFmtId="0" fontId="6" fillId="0" borderId="0" xfId="0" applyFont="1" applyAlignment="1">
      <alignment wrapText="1"/>
    </xf>
    <xf numFmtId="0" fontId="0" fillId="0" borderId="0" xfId="0"/>
    <xf numFmtId="0" fontId="8" fillId="0" borderId="0" xfId="0" applyFont="1" applyAlignment="1">
      <alignment wrapText="1"/>
    </xf>
    <xf numFmtId="0" fontId="7" fillId="0" borderId="0" xfId="0" applyFont="1"/>
    <xf numFmtId="0" fontId="5" fillId="3" borderId="1" xfId="0" applyFont="1" applyFill="1" applyBorder="1" applyAlignment="1">
      <alignment horizontal="center"/>
    </xf>
    <xf numFmtId="0" fontId="4" fillId="0" borderId="1" xfId="0" applyFont="1" applyBorder="1"/>
    <xf numFmtId="0" fontId="1" fillId="2" borderId="0" xfId="0" applyFont="1" applyFill="1" applyAlignment="1">
      <alignment horizontal="center"/>
    </xf>
    <xf numFmtId="0" fontId="3" fillId="2" borderId="1" xfId="0" applyFont="1" applyFill="1" applyBorder="1" applyAlignment="1">
      <alignment horizontal="center"/>
    </xf>
    <xf numFmtId="0" fontId="5" fillId="3" borderId="1" xfId="0" applyFont="1" applyFill="1" applyBorder="1" applyAlignment="1">
      <alignment horizontal="left"/>
    </xf>
    <xf numFmtId="0" fontId="16" fillId="2" borderId="9" xfId="0" applyFont="1" applyFill="1" applyBorder="1" applyAlignment="1">
      <alignment horizontal="center" vertical="center" wrapText="1"/>
    </xf>
    <xf numFmtId="0" fontId="4" fillId="0" borderId="10" xfId="0" applyFont="1" applyBorder="1"/>
    <xf numFmtId="0" fontId="4" fillId="0" borderId="15" xfId="0" applyFont="1" applyBorder="1"/>
    <xf numFmtId="0" fontId="12" fillId="0" borderId="0" xfId="0" applyFont="1"/>
    <xf numFmtId="0" fontId="1" fillId="2" borderId="7" xfId="0" applyFont="1" applyFill="1" applyBorder="1" applyAlignment="1">
      <alignment horizontal="center" vertical="center"/>
    </xf>
    <xf numFmtId="0" fontId="4" fillId="0" borderId="8" xfId="0" applyFont="1" applyBorder="1"/>
    <xf numFmtId="2" fontId="14" fillId="9" borderId="7" xfId="0" applyNumberFormat="1" applyFont="1" applyFill="1" applyBorder="1" applyAlignment="1">
      <alignment horizontal="left" vertical="center" wrapText="1"/>
    </xf>
    <xf numFmtId="0" fontId="41" fillId="12" borderId="17" xfId="2" applyFont="1" applyFill="1" applyBorder="1" applyAlignment="1">
      <alignment horizontal="center"/>
    </xf>
    <xf numFmtId="0" fontId="41" fillId="12" borderId="18" xfId="2" applyFont="1" applyFill="1" applyBorder="1" applyAlignment="1">
      <alignment horizontal="center"/>
    </xf>
    <xf numFmtId="2" fontId="35" fillId="0" borderId="19" xfId="2" applyNumberFormat="1" applyFont="1" applyAlignment="1">
      <alignment horizontal="center"/>
    </xf>
    <xf numFmtId="2" fontId="36" fillId="0" borderId="19" xfId="2" applyNumberFormat="1" applyFont="1" applyAlignment="1">
      <alignment horizontal="center"/>
    </xf>
    <xf numFmtId="0" fontId="54" fillId="0" borderId="19" xfId="2" applyFont="1" applyAlignment="1">
      <alignment horizontal="center"/>
    </xf>
    <xf numFmtId="0" fontId="39" fillId="11" borderId="20" xfId="2" applyFont="1" applyFill="1" applyBorder="1" applyAlignment="1">
      <alignment horizontal="center"/>
    </xf>
    <xf numFmtId="0" fontId="39" fillId="11" borderId="21" xfId="2" applyFont="1" applyFill="1" applyBorder="1" applyAlignment="1">
      <alignment horizontal="center"/>
    </xf>
    <xf numFmtId="0" fontId="39" fillId="11" borderId="22" xfId="2" applyFont="1" applyFill="1" applyBorder="1" applyAlignment="1">
      <alignment horizontal="center"/>
    </xf>
    <xf numFmtId="0" fontId="21" fillId="10" borderId="23" xfId="0" applyFont="1" applyFill="1" applyBorder="1" applyAlignment="1">
      <alignment horizontal="center" vertical="center" wrapText="1"/>
    </xf>
    <xf numFmtId="0" fontId="4" fillId="0" borderId="4" xfId="0" applyFont="1" applyBorder="1"/>
    <xf numFmtId="4" fontId="21" fillId="13" borderId="20" xfId="0" applyNumberFormat="1" applyFont="1" applyFill="1" applyBorder="1" applyAlignment="1">
      <alignment horizontal="center" vertical="center" wrapText="1"/>
    </xf>
    <xf numFmtId="0" fontId="4" fillId="0" borderId="22" xfId="0" applyFont="1" applyBorder="1"/>
    <xf numFmtId="43" fontId="21" fillId="12" borderId="23" xfId="1" applyFont="1" applyFill="1" applyBorder="1" applyAlignment="1">
      <alignment horizontal="center" vertical="center" wrapText="1"/>
    </xf>
    <xf numFmtId="43" fontId="4" fillId="0" borderId="4" xfId="1" applyFont="1" applyBorder="1"/>
    <xf numFmtId="49" fontId="21" fillId="12" borderId="23" xfId="0" applyNumberFormat="1" applyFont="1" applyFill="1" applyBorder="1" applyAlignment="1">
      <alignment horizontal="center" vertical="center" wrapText="1"/>
    </xf>
    <xf numFmtId="2" fontId="19" fillId="0" borderId="0" xfId="0" applyNumberFormat="1" applyFont="1" applyAlignment="1">
      <alignment horizontal="center" vertical="center"/>
    </xf>
    <xf numFmtId="2" fontId="52" fillId="0" borderId="0" xfId="0" applyNumberFormat="1" applyFont="1" applyAlignment="1">
      <alignment horizontal="center" vertical="center"/>
    </xf>
    <xf numFmtId="0" fontId="4" fillId="0" borderId="19" xfId="0" applyFont="1" applyBorder="1"/>
    <xf numFmtId="0" fontId="20" fillId="11" borderId="20" xfId="0" applyFont="1" applyFill="1" applyBorder="1" applyAlignment="1">
      <alignment horizontal="center"/>
    </xf>
    <xf numFmtId="0" fontId="4" fillId="0" borderId="21" xfId="0" applyFont="1" applyBorder="1"/>
    <xf numFmtId="0" fontId="16" fillId="10" borderId="23" xfId="0" applyFont="1" applyFill="1" applyBorder="1" applyAlignment="1">
      <alignment horizontal="center" vertical="center" wrapText="1"/>
    </xf>
    <xf numFmtId="0" fontId="46" fillId="0" borderId="19" xfId="11" applyFont="1" applyAlignment="1">
      <alignment horizontal="center"/>
    </xf>
    <xf numFmtId="0" fontId="4" fillId="0" borderId="19" xfId="11"/>
    <xf numFmtId="0" fontId="56" fillId="0" borderId="19" xfId="11" applyFont="1" applyAlignment="1">
      <alignment horizontal="center"/>
    </xf>
    <xf numFmtId="0" fontId="57" fillId="23" borderId="34" xfId="11" applyFont="1" applyFill="1" applyBorder="1" applyAlignment="1">
      <alignment horizontal="center" wrapText="1"/>
    </xf>
    <xf numFmtId="0" fontId="57" fillId="23" borderId="35" xfId="11" applyFont="1" applyFill="1" applyBorder="1" applyAlignment="1">
      <alignment horizontal="center" wrapText="1"/>
    </xf>
    <xf numFmtId="0" fontId="57" fillId="23" borderId="36" xfId="11" applyFont="1" applyFill="1" applyBorder="1" applyAlignment="1">
      <alignment horizontal="center" wrapText="1"/>
    </xf>
    <xf numFmtId="0" fontId="46" fillId="0" borderId="19" xfId="11" applyFont="1" applyAlignment="1">
      <alignment horizontal="center" wrapText="1"/>
    </xf>
    <xf numFmtId="0" fontId="4" fillId="0" borderId="37" xfId="11" applyBorder="1"/>
    <xf numFmtId="4" fontId="0" fillId="0" borderId="37" xfId="12" applyNumberFormat="1" applyFont="1" applyBorder="1" applyProtection="1"/>
    <xf numFmtId="0" fontId="4" fillId="0" borderId="24" xfId="11" applyBorder="1"/>
    <xf numFmtId="4" fontId="0" fillId="0" borderId="24" xfId="12" applyNumberFormat="1" applyFont="1" applyBorder="1" applyProtection="1"/>
    <xf numFmtId="0" fontId="4" fillId="0" borderId="38" xfId="11" applyBorder="1"/>
    <xf numFmtId="4" fontId="0" fillId="0" borderId="25" xfId="12" applyNumberFormat="1" applyFont="1" applyBorder="1" applyProtection="1"/>
    <xf numFmtId="4" fontId="0" fillId="0" borderId="38" xfId="12" applyNumberFormat="1" applyFont="1" applyBorder="1" applyProtection="1"/>
    <xf numFmtId="0" fontId="46" fillId="0" borderId="24" xfId="11" applyFont="1" applyBorder="1"/>
    <xf numFmtId="4" fontId="46" fillId="0" borderId="24" xfId="11" applyNumberFormat="1" applyFont="1" applyBorder="1"/>
    <xf numFmtId="0" fontId="31" fillId="0" borderId="19" xfId="11" applyFont="1" applyProtection="1">
      <protection locked="0"/>
    </xf>
    <xf numFmtId="0" fontId="31" fillId="0" borderId="19" xfId="11" applyFont="1"/>
    <xf numFmtId="0" fontId="58" fillId="0" borderId="39" xfId="11" applyFont="1" applyBorder="1"/>
    <xf numFmtId="0" fontId="31" fillId="0" borderId="39" xfId="11" applyFont="1" applyBorder="1"/>
    <xf numFmtId="0" fontId="31" fillId="0" borderId="26" xfId="11" applyFont="1" applyBorder="1" applyProtection="1">
      <protection locked="0"/>
    </xf>
    <xf numFmtId="14" fontId="31" fillId="0" borderId="19" xfId="11" applyNumberFormat="1" applyFont="1" applyProtection="1">
      <protection locked="0"/>
    </xf>
    <xf numFmtId="0" fontId="58" fillId="0" borderId="19" xfId="11" applyFont="1"/>
    <xf numFmtId="0" fontId="4" fillId="0" borderId="19" xfId="11" applyProtection="1">
      <protection locked="0"/>
    </xf>
    <xf numFmtId="0" fontId="46" fillId="0" borderId="19" xfId="11" applyFont="1" applyAlignment="1" applyProtection="1">
      <alignment horizontal="center"/>
      <protection locked="0"/>
    </xf>
    <xf numFmtId="168" fontId="55" fillId="0" borderId="28" xfId="12" applyFont="1" applyBorder="1"/>
    <xf numFmtId="168" fontId="0" fillId="0" borderId="28" xfId="12" applyFont="1" applyBorder="1"/>
    <xf numFmtId="4" fontId="4" fillId="0" borderId="37" xfId="12" applyNumberFormat="1" applyFont="1" applyBorder="1" applyAlignment="1" applyProtection="1">
      <alignment horizontal="justify" vertical="justify" wrapText="1"/>
      <protection locked="0"/>
    </xf>
    <xf numFmtId="168" fontId="55" fillId="0" borderId="24" xfId="12" applyFont="1" applyBorder="1"/>
    <xf numFmtId="168" fontId="0" fillId="0" borderId="24" xfId="12" applyFont="1" applyBorder="1"/>
    <xf numFmtId="4" fontId="0" fillId="0" borderId="24" xfId="13" applyNumberFormat="1" applyFont="1" applyBorder="1" applyProtection="1">
      <protection locked="0"/>
    </xf>
    <xf numFmtId="4" fontId="46" fillId="0" borderId="24" xfId="14" applyNumberFormat="1" applyFont="1" applyBorder="1"/>
    <xf numFmtId="4" fontId="46" fillId="0" borderId="24" xfId="11" applyNumberFormat="1" applyFont="1" applyBorder="1" applyProtection="1">
      <protection locked="0"/>
    </xf>
    <xf numFmtId="4" fontId="4" fillId="24" borderId="19" xfId="11" applyNumberFormat="1" applyFill="1"/>
    <xf numFmtId="0" fontId="4" fillId="24" borderId="19" xfId="11" applyFill="1"/>
    <xf numFmtId="4" fontId="0" fillId="0" borderId="37" xfId="13" applyNumberFormat="1" applyFont="1" applyBorder="1" applyProtection="1">
      <protection locked="0"/>
    </xf>
    <xf numFmtId="4" fontId="0" fillId="0" borderId="37" xfId="13" applyNumberFormat="1" applyFont="1" applyBorder="1" applyProtection="1"/>
    <xf numFmtId="4" fontId="0" fillId="0" borderId="24" xfId="13" applyNumberFormat="1" applyFont="1" applyBorder="1" applyProtection="1"/>
    <xf numFmtId="4" fontId="4" fillId="0" borderId="24" xfId="11" applyNumberFormat="1" applyBorder="1"/>
  </cellXfs>
  <cellStyles count="15">
    <cellStyle name="Millares" xfId="1" builtinId="3"/>
    <cellStyle name="Millares 2" xfId="3" xr:uid="{71792C2A-DC04-4F5D-90FB-EA221095156F}"/>
    <cellStyle name="Millares 2 2" xfId="5" xr:uid="{AADE1E3F-370E-460A-AB8F-97E013C16852}"/>
    <cellStyle name="Millares 2 2 2" xfId="13" xr:uid="{EFB6D448-BC64-4F90-8948-06371D8E37E6}"/>
    <cellStyle name="Millares 2 4" xfId="7" xr:uid="{DEA4F374-7ABA-4C96-8FBC-558AEBDAE408}"/>
    <cellStyle name="Millares 3" xfId="10" xr:uid="{DF4932BA-E6A3-4ED1-956F-354320508630}"/>
    <cellStyle name="Millares 3 2" xfId="12" xr:uid="{D1496CA5-4D24-4F3D-AE01-5C58D34ACD54}"/>
    <cellStyle name="Normal" xfId="0" builtinId="0"/>
    <cellStyle name="Normal 2" xfId="2" xr:uid="{93EDB166-39A9-4C56-BC3E-B403E2199DD1}"/>
    <cellStyle name="Normal 2 2" xfId="4" xr:uid="{2F82B7B7-2024-4D8D-BF60-10A433451B44}"/>
    <cellStyle name="Normal 2 2 2" xfId="8" xr:uid="{EE11E224-2E20-434E-A685-E710153B0CF0}"/>
    <cellStyle name="Normal 3" xfId="6" xr:uid="{07310446-91FC-428D-9062-99C70A53CE9B}"/>
    <cellStyle name="Normal 3 2" xfId="11" xr:uid="{D63B6922-6F17-443D-8F3B-4CE8D0E09C8B}"/>
    <cellStyle name="Normal 4" xfId="9" xr:uid="{5282EBBE-4B06-44D3-BFF7-DCD37504B699}"/>
    <cellStyle name="Normal 4 2" xfId="14" xr:uid="{1B23A389-CE75-4CED-B71D-6C31DD7912FA}"/>
  </cellStyles>
  <dxfs count="8">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hyperlink" Target="#'LISTA DE HOJAS'!A1"/></Relationships>
</file>

<file path=xl/drawings/_rels/drawing2.xml.rels><?xml version="1.0" encoding="UTF-8" standalone="yes"?>
<Relationships xmlns="http://schemas.openxmlformats.org/package/2006/relationships"><Relationship Id="rId1" Type="http://schemas.openxmlformats.org/officeDocument/2006/relationships/hyperlink" Target="#'LISTA DE HOJAS'!A1"/></Relationships>
</file>

<file path=xl/drawings/drawing1.xml><?xml version="1.0" encoding="utf-8"?>
<xdr:wsDr xmlns:xdr="http://schemas.openxmlformats.org/drawingml/2006/spreadsheetDrawing" xmlns:a="http://schemas.openxmlformats.org/drawingml/2006/main">
  <xdr:twoCellAnchor>
    <xdr:from>
      <xdr:col>5</xdr:col>
      <xdr:colOff>1343025</xdr:colOff>
      <xdr:row>1</xdr:row>
      <xdr:rowOff>95250</xdr:rowOff>
    </xdr:from>
    <xdr:to>
      <xdr:col>7</xdr:col>
      <xdr:colOff>235744</xdr:colOff>
      <xdr:row>5</xdr:row>
      <xdr:rowOff>40481</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5BE97EA7-76BF-4E85-B351-B24779FE523E}"/>
            </a:ext>
          </a:extLst>
        </xdr:cNvPr>
        <xdr:cNvSpPr>
          <a:spLocks noChangeArrowheads="1"/>
        </xdr:cNvSpPr>
      </xdr:nvSpPr>
      <xdr:spPr bwMode="auto">
        <a:xfrm>
          <a:off x="10598150" y="257175"/>
          <a:ext cx="1337469" cy="592931"/>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264319</xdr:colOff>
      <xdr:row>5</xdr:row>
      <xdr:rowOff>97631</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5B3D802B-7938-42A2-A3C6-80FAE4B51AE2}"/>
            </a:ext>
          </a:extLst>
        </xdr:cNvPr>
        <xdr:cNvSpPr>
          <a:spLocks noChangeArrowheads="1"/>
        </xdr:cNvSpPr>
      </xdr:nvSpPr>
      <xdr:spPr bwMode="auto">
        <a:xfrm>
          <a:off x="12172950" y="323850"/>
          <a:ext cx="1064419" cy="583406"/>
        </a:xfrm>
        <a:prstGeom prst="rect">
          <a:avLst/>
        </a:prstGeom>
        <a:solidFill>
          <a:srgbClr val="E3E3E3"/>
        </a:solidFill>
        <a:ln w="2857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VOLVER A LISTADO  DE HOJAS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unicipalidadalajuela-my.sharepoint.com/respaldo%20Ana%20Maria/Presupuestos%20y%20Modificaciones/Presupuestos%20Extra/PRESUPUESTO%202015/PRESUPUESTO%20EXTRAORDINARIO%201/ORIGINAL/EXPRESION%20FINANCIERA%20PRESUP%202015.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ANA%20MARIA\2023\lquidaci&#243;n%202023\origen%20y%20aplicaci&#243;n\anexo%201%202023.xlsx" TargetMode="External"/><Relationship Id="rId1" Type="http://schemas.openxmlformats.org/officeDocument/2006/relationships/externalLinkPath" Target="/ANA%20MARIA/2023/lquidaci&#243;n%202023/origen%20y%20aplicaci&#243;n/anexo%201%202023.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ANA%20MARIA\2023\presupuesto%20Extaordinarios\Extraordinario%202-2023\matriz\EXPRESION%20FINANCIERA%20PRESUP%202016.xls" TargetMode="External"/><Relationship Id="rId1" Type="http://schemas.openxmlformats.org/officeDocument/2006/relationships/externalLinkPath" Target="/ANA%20MARIA/2023/presupuesto%20Extaordinarios/Extraordinario%202-2023/matriz/EXPRESION%20FINANCIERA%20PRESUP%202016.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municipalidadalajuela-my.sharepoint.com/personal/ana_alvarado_munialajuela_go_cr/Documents/datos/EJECUCION%202023/IV%20TRIMESTRE/Copia%20de%20REPORTE%20DE%20iNGRESOS%20DICIEMBRE.xlsm" TargetMode="External"/><Relationship Id="rId1" Type="http://schemas.openxmlformats.org/officeDocument/2006/relationships/externalLinkPath" Target="https://municipalidadalajuela-my.sharepoint.com/personal/ana_alvarado_munialajuela_go_cr/Documents/datos/EJECUCION%202023/IV%20TRIMESTRE/Copia%20de%20REPORTE%20DE%20iNGRESOS%20DICIEMBRE.xlsm"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ANA%20MARIA\2023\liquidaci&#243;n%202022\anexo1\CONTRALORIA\anexo-1-liquidacion-presupuestaria-municipalidades-2022.xlsx" TargetMode="External"/><Relationship Id="rId1" Type="http://schemas.openxmlformats.org/officeDocument/2006/relationships/externalLinkPath" Target="/ANA%20MARIA/2023/liquidaci&#243;n%202022/DICIEMBRE/anexo1/CONTRALORIA/anexo-1-liquidacion-presupuestaria-municipalidades-2022.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ANA%20MARIA\2023\lquidaci&#243;n%202023\modelo-electronico-liq%20%202023.xlsx" TargetMode="External"/><Relationship Id="rId1" Type="http://schemas.openxmlformats.org/officeDocument/2006/relationships/externalLinkPath" Target="/ANA%20MARIA/2023/lquidaci&#243;n%202023/modelo-electronico-liq%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sific. Económica de Ingresos"/>
      <sheetName val="Detalle General de Egresos"/>
      <sheetName val="ProgramaI"/>
      <sheetName val="Programa II"/>
      <sheetName val="Programa III"/>
      <sheetName val="Programa IV"/>
      <sheetName val="Egresos Programa I General"/>
      <sheetName val="Egresos Programa II General"/>
      <sheetName val="Egresos Programa III General"/>
      <sheetName val="Egresos Programa IV general"/>
      <sheetName val="Origen y Aplicación de Recursos"/>
    </sheetNames>
    <sheetDataSet>
      <sheetData sheetId="0"/>
      <sheetData sheetId="1"/>
      <sheetData sheetId="2"/>
      <sheetData sheetId="3"/>
      <sheetData sheetId="4"/>
      <sheetData sheetId="5"/>
      <sheetData sheetId="6"/>
      <sheetData sheetId="7"/>
      <sheetData sheetId="8">
        <row r="21">
          <cell r="B21" t="str">
            <v>CONSTRUCCION DE I ETAPA SALON MULTIUSOS SECTOR ESTE SAN RAFAEL</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rdinario"/>
      <sheetName val="Extra 01"/>
      <sheetName val="EXTRA 2"/>
      <sheetName val="Origen y Aplicación"/>
      <sheetName val="ejemplo"/>
    </sheetNames>
    <sheetDataSet>
      <sheetData sheetId="0">
        <row r="10">
          <cell r="C10">
            <v>9100000000</v>
          </cell>
        </row>
        <row r="15">
          <cell r="I15">
            <v>182000000</v>
          </cell>
        </row>
        <row r="17">
          <cell r="I17">
            <v>910000000</v>
          </cell>
        </row>
        <row r="20">
          <cell r="I20">
            <v>91000000</v>
          </cell>
        </row>
        <row r="26">
          <cell r="I26">
            <v>30000000</v>
          </cell>
        </row>
        <row r="32">
          <cell r="I32">
            <v>100000000</v>
          </cell>
        </row>
        <row r="34">
          <cell r="I34">
            <v>31625004.981200002</v>
          </cell>
        </row>
        <row r="35">
          <cell r="I35">
            <v>7755309.5187999997</v>
          </cell>
        </row>
        <row r="36">
          <cell r="I36">
            <v>1620000</v>
          </cell>
        </row>
        <row r="37">
          <cell r="I37">
            <v>3764857.53</v>
          </cell>
        </row>
        <row r="40">
          <cell r="I40">
            <v>57486950.297649503</v>
          </cell>
        </row>
        <row r="41">
          <cell r="I41">
            <v>716296665.95410001</v>
          </cell>
        </row>
        <row r="42">
          <cell r="I42">
            <v>5000000</v>
          </cell>
        </row>
        <row r="43">
          <cell r="I43">
            <v>11669204.710000001</v>
          </cell>
        </row>
        <row r="46">
          <cell r="I46">
            <v>341219879.72445571</v>
          </cell>
        </row>
        <row r="47">
          <cell r="I47">
            <v>627246498.05060005</v>
          </cell>
        </row>
        <row r="48">
          <cell r="I48">
            <v>2750000</v>
          </cell>
        </row>
        <row r="49">
          <cell r="I49">
            <v>184250000</v>
          </cell>
        </row>
        <row r="50">
          <cell r="I50">
            <v>13566452.23</v>
          </cell>
        </row>
        <row r="56">
          <cell r="I56">
            <v>70449928.140310556</v>
          </cell>
        </row>
        <row r="57">
          <cell r="I57">
            <v>91435677.100500003</v>
          </cell>
        </row>
        <row r="58">
          <cell r="I58">
            <v>0</v>
          </cell>
        </row>
        <row r="59">
          <cell r="I59">
            <v>5890865.2599999998</v>
          </cell>
        </row>
        <row r="64">
          <cell r="I64">
            <v>53223183.122354992</v>
          </cell>
        </row>
        <row r="65">
          <cell r="I65">
            <v>1200493.1409</v>
          </cell>
        </row>
        <row r="66">
          <cell r="I66">
            <v>2678137.69</v>
          </cell>
        </row>
        <row r="69">
          <cell r="I69">
            <v>271186280.31159997</v>
          </cell>
        </row>
        <row r="70">
          <cell r="I70">
            <v>7876186.8383999998</v>
          </cell>
        </row>
        <row r="71">
          <cell r="I71">
            <v>15745814.66</v>
          </cell>
        </row>
        <row r="73">
          <cell r="I73">
            <v>358089357.69566524</v>
          </cell>
        </row>
        <row r="74">
          <cell r="I74">
            <v>73077003.150199994</v>
          </cell>
        </row>
        <row r="75">
          <cell r="I75">
            <v>23509600</v>
          </cell>
        </row>
        <row r="76">
          <cell r="I76">
            <v>28850000</v>
          </cell>
        </row>
        <row r="77">
          <cell r="I77">
            <v>16878413.800000001</v>
          </cell>
        </row>
        <row r="80">
          <cell r="I80">
            <v>106629164.4989</v>
          </cell>
        </row>
        <row r="81">
          <cell r="I81">
            <v>4235468.0110999998</v>
          </cell>
        </row>
        <row r="82">
          <cell r="I82">
            <v>1420000</v>
          </cell>
        </row>
        <row r="83">
          <cell r="I83">
            <v>2450000</v>
          </cell>
        </row>
        <row r="84">
          <cell r="I84">
            <v>2508423.65</v>
          </cell>
        </row>
        <row r="87">
          <cell r="I87">
            <v>45497872.526772022</v>
          </cell>
        </row>
        <row r="88">
          <cell r="I88">
            <v>141026242.3382</v>
          </cell>
        </row>
        <row r="90">
          <cell r="I90">
            <v>223000000</v>
          </cell>
        </row>
        <row r="91">
          <cell r="I91">
            <v>3250625.24</v>
          </cell>
        </row>
        <row r="99">
          <cell r="I99">
            <v>10000000</v>
          </cell>
        </row>
        <row r="109">
          <cell r="I109">
            <v>487967303.65771085</v>
          </cell>
        </row>
        <row r="110">
          <cell r="I110">
            <v>170699948.19169998</v>
          </cell>
        </row>
        <row r="111">
          <cell r="I111">
            <v>395200781.21000004</v>
          </cell>
        </row>
        <row r="112">
          <cell r="I112">
            <v>97170889.980000004</v>
          </cell>
        </row>
        <row r="113">
          <cell r="I113">
            <v>28362189.579999998</v>
          </cell>
        </row>
        <row r="118">
          <cell r="I118">
            <v>300000000</v>
          </cell>
        </row>
        <row r="119">
          <cell r="I119">
            <v>64000000</v>
          </cell>
        </row>
        <row r="120">
          <cell r="G120" t="str">
            <v>Atención Extraordinaria de mejoras Pluviales</v>
          </cell>
        </row>
        <row r="121">
          <cell r="I121">
            <v>351500000</v>
          </cell>
        </row>
        <row r="123">
          <cell r="I123">
            <v>27000000</v>
          </cell>
        </row>
        <row r="125">
          <cell r="I125">
            <v>587456159.85748816</v>
          </cell>
        </row>
        <row r="126">
          <cell r="I126">
            <v>212188491.8075</v>
          </cell>
        </row>
        <row r="127">
          <cell r="I127">
            <v>246000000</v>
          </cell>
        </row>
        <row r="128">
          <cell r="I128">
            <v>37681949.00000003</v>
          </cell>
        </row>
        <row r="129">
          <cell r="I129">
            <v>7412726.5300000012</v>
          </cell>
        </row>
        <row r="131">
          <cell r="I131">
            <v>60000000</v>
          </cell>
        </row>
        <row r="132">
          <cell r="I132">
            <v>30000000</v>
          </cell>
        </row>
        <row r="133">
          <cell r="I133">
            <v>15000000</v>
          </cell>
        </row>
        <row r="134">
          <cell r="I134">
            <v>15000000</v>
          </cell>
        </row>
        <row r="135">
          <cell r="I135">
            <v>20000000</v>
          </cell>
        </row>
        <row r="136">
          <cell r="I136">
            <v>75000000</v>
          </cell>
        </row>
        <row r="137">
          <cell r="I137">
            <v>30000000</v>
          </cell>
        </row>
        <row r="138">
          <cell r="I138">
            <v>20000000</v>
          </cell>
        </row>
        <row r="150">
          <cell r="I150">
            <v>35000000</v>
          </cell>
        </row>
        <row r="163">
          <cell r="C163">
            <v>130000000</v>
          </cell>
        </row>
        <row r="165">
          <cell r="I165">
            <v>130000000</v>
          </cell>
        </row>
        <row r="180">
          <cell r="C180">
            <v>1100000000</v>
          </cell>
        </row>
        <row r="182">
          <cell r="I182">
            <v>875391685.91999996</v>
          </cell>
        </row>
        <row r="185">
          <cell r="G185" t="str">
            <v>Salón Multiusos los Targuaces, Distrito Desamparados</v>
          </cell>
        </row>
        <row r="186">
          <cell r="I186">
            <v>25000000</v>
          </cell>
        </row>
        <row r="188">
          <cell r="G188" t="str">
            <v>Salón Comunal de  San Martín</v>
          </cell>
        </row>
        <row r="189">
          <cell r="I189">
            <v>15000000</v>
          </cell>
        </row>
        <row r="190">
          <cell r="I190">
            <v>25640000</v>
          </cell>
        </row>
        <row r="191">
          <cell r="G191" t="str">
            <v>Escuela Julia Fernandez Rodriguez  en San Rafael</v>
          </cell>
        </row>
        <row r="192">
          <cell r="I192">
            <v>15000000</v>
          </cell>
        </row>
        <row r="193">
          <cell r="G193" t="str">
            <v>Mejoras de Infraestructura del Liceo de Sabanilla</v>
          </cell>
        </row>
        <row r="194">
          <cell r="I194">
            <v>9000000</v>
          </cell>
        </row>
        <row r="195">
          <cell r="I195">
            <v>90000000</v>
          </cell>
        </row>
        <row r="196">
          <cell r="G196" t="str">
            <v>Mantenimiento Periòdico de la Red Vial Cantonal</v>
          </cell>
        </row>
        <row r="197">
          <cell r="I197">
            <v>968314.08000028133</v>
          </cell>
        </row>
        <row r="198">
          <cell r="G198" t="str">
            <v>Mejoras Canchas Multiusos de la Urbanización Los Portones, Distrito de San Rafael</v>
          </cell>
        </row>
        <row r="199">
          <cell r="I199">
            <v>15000000</v>
          </cell>
        </row>
        <row r="200">
          <cell r="G200" t="str">
            <v>Construcción Cancha Multiuso Residencial Elizabeth</v>
          </cell>
        </row>
        <row r="201">
          <cell r="I201">
            <v>4000000</v>
          </cell>
        </row>
        <row r="204">
          <cell r="I204">
            <v>5000000</v>
          </cell>
        </row>
        <row r="205">
          <cell r="G205" t="str">
            <v>Equipamiento del Salón Comunal de la ADI de San Isidro</v>
          </cell>
        </row>
        <row r="206">
          <cell r="I206">
            <v>3750000</v>
          </cell>
        </row>
        <row r="207">
          <cell r="I207">
            <v>1000000</v>
          </cell>
        </row>
        <row r="208">
          <cell r="I208">
            <v>15250000</v>
          </cell>
        </row>
        <row r="211">
          <cell r="C211">
            <v>100000000</v>
          </cell>
        </row>
        <row r="213">
          <cell r="I213">
            <v>100000000</v>
          </cell>
        </row>
        <row r="221">
          <cell r="C221">
            <v>1000000</v>
          </cell>
        </row>
        <row r="223">
          <cell r="I223">
            <v>1000000</v>
          </cell>
        </row>
        <row r="228">
          <cell r="C228">
            <v>5245000000</v>
          </cell>
        </row>
        <row r="230">
          <cell r="I230">
            <v>1835838594.9443171</v>
          </cell>
        </row>
        <row r="231">
          <cell r="I231">
            <v>1935451530.3018</v>
          </cell>
        </row>
        <row r="232">
          <cell r="I232">
            <v>171668300</v>
          </cell>
        </row>
        <row r="233">
          <cell r="I233">
            <v>485925068.56955522</v>
          </cell>
        </row>
        <row r="236">
          <cell r="I236">
            <v>355155300</v>
          </cell>
        </row>
        <row r="253">
          <cell r="I253">
            <v>34645542.509999998</v>
          </cell>
        </row>
        <row r="255">
          <cell r="I255">
            <v>15000000</v>
          </cell>
        </row>
        <row r="257">
          <cell r="I257">
            <v>100000000</v>
          </cell>
        </row>
        <row r="259">
          <cell r="I259">
            <v>16315663.699999999</v>
          </cell>
        </row>
        <row r="261">
          <cell r="I261">
            <v>295000000</v>
          </cell>
        </row>
        <row r="275">
          <cell r="C275">
            <v>630000000</v>
          </cell>
        </row>
        <row r="277">
          <cell r="I277">
            <v>57524087.620000005</v>
          </cell>
        </row>
        <row r="279">
          <cell r="I279">
            <v>309438197.81777382</v>
          </cell>
        </row>
        <row r="280">
          <cell r="I280">
            <v>21804935.794399999</v>
          </cell>
        </row>
        <row r="281">
          <cell r="I281">
            <v>1232049.52</v>
          </cell>
        </row>
        <row r="282">
          <cell r="I282">
            <v>24210500</v>
          </cell>
        </row>
        <row r="283">
          <cell r="I283">
            <v>6884437.8200000003</v>
          </cell>
        </row>
        <row r="288">
          <cell r="I288">
            <v>136107054.19563168</v>
          </cell>
        </row>
        <row r="289">
          <cell r="I289">
            <v>4970007.7560999999</v>
          </cell>
        </row>
        <row r="290">
          <cell r="I290">
            <v>700000</v>
          </cell>
        </row>
        <row r="291">
          <cell r="I291">
            <v>400000</v>
          </cell>
        </row>
        <row r="292">
          <cell r="I292">
            <v>31728729.48</v>
          </cell>
        </row>
        <row r="294">
          <cell r="I294">
            <v>35000000</v>
          </cell>
        </row>
        <row r="298">
          <cell r="C298">
            <v>115000000</v>
          </cell>
        </row>
        <row r="310">
          <cell r="C310">
            <v>4250000000</v>
          </cell>
        </row>
        <row r="314">
          <cell r="I314">
            <v>1357873102.2179146</v>
          </cell>
        </row>
        <row r="315">
          <cell r="I315">
            <v>539549556.64960003</v>
          </cell>
        </row>
        <row r="316">
          <cell r="I316">
            <v>112400000</v>
          </cell>
        </row>
        <row r="317">
          <cell r="I317">
            <v>0</v>
          </cell>
        </row>
        <row r="318">
          <cell r="I318">
            <v>258753415.91999996</v>
          </cell>
        </row>
        <row r="319">
          <cell r="I319">
            <v>69537809.120000005</v>
          </cell>
        </row>
        <row r="323">
          <cell r="I323">
            <v>375300000</v>
          </cell>
        </row>
        <row r="324">
          <cell r="I324">
            <v>414886116.08999997</v>
          </cell>
        </row>
        <row r="325">
          <cell r="I325">
            <v>696700000</v>
          </cell>
        </row>
        <row r="329">
          <cell r="C329">
            <v>320000000</v>
          </cell>
        </row>
        <row r="334">
          <cell r="I334">
            <v>174897036.94687039</v>
          </cell>
        </row>
        <row r="335">
          <cell r="I335">
            <v>70547344.934</v>
          </cell>
        </row>
        <row r="336">
          <cell r="I336">
            <v>23920000</v>
          </cell>
        </row>
        <row r="337">
          <cell r="I337">
            <v>3500000</v>
          </cell>
        </row>
        <row r="338">
          <cell r="I338">
            <v>15135618.120000001</v>
          </cell>
        </row>
        <row r="347">
          <cell r="C347">
            <v>110000000</v>
          </cell>
        </row>
        <row r="352">
          <cell r="I352">
            <v>110000000</v>
          </cell>
        </row>
        <row r="356">
          <cell r="C356">
            <v>1150000000</v>
          </cell>
        </row>
        <row r="361">
          <cell r="I361">
            <v>232050830.52363044</v>
          </cell>
        </row>
        <row r="362">
          <cell r="I362">
            <v>82881520.041299999</v>
          </cell>
        </row>
        <row r="363">
          <cell r="I363">
            <v>670554.13</v>
          </cell>
        </row>
        <row r="364">
          <cell r="I364">
            <v>17192387.23</v>
          </cell>
        </row>
        <row r="365">
          <cell r="I365">
            <v>67583748.840000004</v>
          </cell>
        </row>
        <row r="369">
          <cell r="I369">
            <v>282620959.24000001</v>
          </cell>
        </row>
        <row r="370">
          <cell r="I370">
            <v>176500000</v>
          </cell>
        </row>
        <row r="371">
          <cell r="I371">
            <v>175500000</v>
          </cell>
        </row>
        <row r="375">
          <cell r="C375">
            <v>1100000000</v>
          </cell>
        </row>
        <row r="380">
          <cell r="I380">
            <v>335007866.00600868</v>
          </cell>
        </row>
        <row r="381">
          <cell r="I381">
            <v>235063580.917</v>
          </cell>
        </row>
        <row r="382">
          <cell r="I382">
            <v>209139291.81999999</v>
          </cell>
        </row>
        <row r="383">
          <cell r="I383">
            <v>537909.39</v>
          </cell>
        </row>
        <row r="384">
          <cell r="I384">
            <v>25000000</v>
          </cell>
        </row>
        <row r="385">
          <cell r="I385">
            <v>27620590.079999998</v>
          </cell>
        </row>
        <row r="386">
          <cell r="I386">
            <v>157630761.78999999</v>
          </cell>
        </row>
        <row r="389">
          <cell r="C389">
            <v>300000000</v>
          </cell>
        </row>
        <row r="394">
          <cell r="I394">
            <v>270000000</v>
          </cell>
        </row>
        <row r="399">
          <cell r="C399">
            <v>4400000000</v>
          </cell>
        </row>
        <row r="404">
          <cell r="I404">
            <v>313354717.53016764</v>
          </cell>
        </row>
        <row r="405">
          <cell r="I405">
            <v>3212919788.0324001</v>
          </cell>
        </row>
        <row r="406">
          <cell r="I406">
            <v>23500000</v>
          </cell>
        </row>
        <row r="407">
          <cell r="I407">
            <v>0</v>
          </cell>
        </row>
        <row r="408">
          <cell r="I408">
            <v>9712121.629999999</v>
          </cell>
        </row>
        <row r="410">
          <cell r="I410">
            <v>400513372.81</v>
          </cell>
        </row>
        <row r="414">
          <cell r="C414">
            <v>900000000</v>
          </cell>
        </row>
        <row r="419">
          <cell r="I419">
            <v>258459051.53354689</v>
          </cell>
        </row>
        <row r="420">
          <cell r="I420">
            <v>494218117.55989993</v>
          </cell>
        </row>
        <row r="421">
          <cell r="I421">
            <v>13983000</v>
          </cell>
        </row>
        <row r="422">
          <cell r="I422">
            <v>43339830.899999999</v>
          </cell>
        </row>
        <row r="426">
          <cell r="C426">
            <v>350000000</v>
          </cell>
        </row>
        <row r="431">
          <cell r="I431">
            <v>145588260.15306225</v>
          </cell>
        </row>
        <row r="432">
          <cell r="I432">
            <v>150267704.23840001</v>
          </cell>
        </row>
        <row r="433">
          <cell r="I433">
            <v>4792921.2699999996</v>
          </cell>
        </row>
        <row r="435">
          <cell r="I435">
            <v>14351114.34</v>
          </cell>
        </row>
        <row r="440">
          <cell r="C440">
            <v>1000000</v>
          </cell>
        </row>
        <row r="444">
          <cell r="I444">
            <v>900000</v>
          </cell>
        </row>
        <row r="454">
          <cell r="C454">
            <v>15000000</v>
          </cell>
        </row>
        <row r="457">
          <cell r="I457">
            <v>15000000</v>
          </cell>
        </row>
        <row r="461">
          <cell r="C461">
            <v>100000000</v>
          </cell>
        </row>
        <row r="466">
          <cell r="I466">
            <v>90000000.002226353</v>
          </cell>
        </row>
        <row r="474">
          <cell r="C474">
            <v>5000000</v>
          </cell>
        </row>
        <row r="479">
          <cell r="I479">
            <v>4499999.9980706722</v>
          </cell>
        </row>
        <row r="485">
          <cell r="C485">
            <v>500000000</v>
          </cell>
        </row>
        <row r="487">
          <cell r="I487">
            <v>99206.38</v>
          </cell>
        </row>
        <row r="489">
          <cell r="I489">
            <v>423231297.75</v>
          </cell>
        </row>
        <row r="494">
          <cell r="I494">
            <v>6669495.8700000048</v>
          </cell>
        </row>
        <row r="496">
          <cell r="I496">
            <v>70000000</v>
          </cell>
        </row>
        <row r="529">
          <cell r="C529">
            <v>100000000</v>
          </cell>
        </row>
        <row r="534">
          <cell r="I534">
            <v>85879511.802989453</v>
          </cell>
        </row>
        <row r="535">
          <cell r="I535">
            <v>11820488.1962</v>
          </cell>
        </row>
        <row r="536">
          <cell r="I536">
            <v>2300000</v>
          </cell>
        </row>
        <row r="542">
          <cell r="C542">
            <v>500000000</v>
          </cell>
        </row>
        <row r="547">
          <cell r="I547">
            <v>35000000</v>
          </cell>
        </row>
        <row r="552">
          <cell r="I552">
            <v>465000000</v>
          </cell>
        </row>
        <row r="559">
          <cell r="C559">
            <v>150000000</v>
          </cell>
        </row>
        <row r="565">
          <cell r="I565">
            <v>109749947.01939477</v>
          </cell>
        </row>
        <row r="566">
          <cell r="I566">
            <v>27999824.300700001</v>
          </cell>
        </row>
        <row r="567">
          <cell r="I567">
            <v>3855000</v>
          </cell>
        </row>
        <row r="568">
          <cell r="I568">
            <v>5395228.6799999997</v>
          </cell>
        </row>
        <row r="569">
          <cell r="I569">
            <v>3000000</v>
          </cell>
        </row>
        <row r="574">
          <cell r="C574">
            <v>700000000</v>
          </cell>
        </row>
        <row r="577">
          <cell r="I577">
            <v>160461613.95690003</v>
          </cell>
        </row>
        <row r="580">
          <cell r="I580">
            <v>539538386.04139996</v>
          </cell>
        </row>
        <row r="591">
          <cell r="C591">
            <v>78000000</v>
          </cell>
        </row>
        <row r="593">
          <cell r="I593">
            <v>77999999.996322274</v>
          </cell>
        </row>
        <row r="604">
          <cell r="C604">
            <v>65653460.359999999</v>
          </cell>
        </row>
        <row r="606">
          <cell r="I606">
            <v>65653460.359999999</v>
          </cell>
        </row>
        <row r="623">
          <cell r="C623">
            <v>7000000</v>
          </cell>
        </row>
        <row r="625">
          <cell r="I625">
            <v>7000000</v>
          </cell>
        </row>
        <row r="629">
          <cell r="C629">
            <v>1194580859.8800001</v>
          </cell>
        </row>
        <row r="633">
          <cell r="I633">
            <v>1194580859.8800001</v>
          </cell>
        </row>
        <row r="639">
          <cell r="C639">
            <v>500000000</v>
          </cell>
        </row>
        <row r="642">
          <cell r="I642">
            <v>211910966.62</v>
          </cell>
        </row>
        <row r="643">
          <cell r="I643">
            <v>56627680.25</v>
          </cell>
        </row>
        <row r="647">
          <cell r="I647">
            <v>27000000</v>
          </cell>
        </row>
        <row r="649">
          <cell r="I649">
            <v>64961353.130000003</v>
          </cell>
        </row>
        <row r="653">
          <cell r="I653">
            <v>84000000</v>
          </cell>
        </row>
        <row r="658">
          <cell r="C658">
            <v>14443665.02</v>
          </cell>
        </row>
        <row r="660">
          <cell r="I660">
            <v>14443665.02</v>
          </cell>
        </row>
        <row r="676">
          <cell r="I676">
            <v>5000000000</v>
          </cell>
        </row>
        <row r="678">
          <cell r="I678">
            <v>3000000</v>
          </cell>
        </row>
        <row r="679">
          <cell r="I679">
            <v>25000000</v>
          </cell>
        </row>
        <row r="681">
          <cell r="I681">
            <v>3061736563.4299998</v>
          </cell>
        </row>
        <row r="683">
          <cell r="I683">
            <v>50000000</v>
          </cell>
        </row>
        <row r="685">
          <cell r="I685">
            <v>100000000</v>
          </cell>
        </row>
        <row r="687">
          <cell r="I687">
            <v>15000000</v>
          </cell>
        </row>
        <row r="689">
          <cell r="I689">
            <v>25000000</v>
          </cell>
        </row>
        <row r="691">
          <cell r="I691">
            <v>101653378.85999998</v>
          </cell>
        </row>
        <row r="693">
          <cell r="I693">
            <v>150000000</v>
          </cell>
        </row>
        <row r="696">
          <cell r="I696">
            <v>415000000</v>
          </cell>
        </row>
        <row r="698">
          <cell r="I698">
            <v>70000000</v>
          </cell>
        </row>
        <row r="704">
          <cell r="C704">
            <v>9016389942.2900009</v>
          </cell>
        </row>
        <row r="716">
          <cell r="C716">
            <v>199957361.97</v>
          </cell>
        </row>
        <row r="717">
          <cell r="I717">
            <v>194797361.97</v>
          </cell>
        </row>
        <row r="718">
          <cell r="I718">
            <v>5160000</v>
          </cell>
        </row>
        <row r="720">
          <cell r="C720">
            <v>199957361.97</v>
          </cell>
        </row>
        <row r="723">
          <cell r="C723">
            <v>132960527.41</v>
          </cell>
        </row>
        <row r="724">
          <cell r="I724">
            <v>132960527.41</v>
          </cell>
        </row>
        <row r="727">
          <cell r="C727">
            <v>132960527.41</v>
          </cell>
        </row>
        <row r="730">
          <cell r="C730">
            <v>49542963.25</v>
          </cell>
        </row>
        <row r="732">
          <cell r="I732">
            <v>49542963.25</v>
          </cell>
        </row>
        <row r="734">
          <cell r="C734">
            <v>49542963.25</v>
          </cell>
        </row>
        <row r="739">
          <cell r="C739">
            <v>42630528780.180008</v>
          </cell>
          <cell r="I739">
            <v>42630528780.176262</v>
          </cell>
        </row>
      </sheetData>
      <sheetData sheetId="1">
        <row r="342">
          <cell r="C342">
            <v>320135224.63</v>
          </cell>
        </row>
        <row r="344">
          <cell r="C344">
            <v>11263127322.124001</v>
          </cell>
        </row>
        <row r="348">
          <cell r="G348" t="str">
            <v>Auditoria General</v>
          </cell>
        </row>
        <row r="350">
          <cell r="H350">
            <v>8724412</v>
          </cell>
        </row>
        <row r="352">
          <cell r="H352">
            <v>17000000</v>
          </cell>
        </row>
        <row r="354">
          <cell r="G354" t="str">
            <v>Junta Administrativa del Registro Nacional, 3% del IBI, Leyes 7509 y 7729</v>
          </cell>
          <cell r="H354">
            <v>1000000</v>
          </cell>
        </row>
        <row r="358">
          <cell r="H358">
            <v>800000000</v>
          </cell>
        </row>
        <row r="364">
          <cell r="H364">
            <v>381107279.69</v>
          </cell>
        </row>
        <row r="365">
          <cell r="H365">
            <v>3500000</v>
          </cell>
        </row>
        <row r="366">
          <cell r="H366">
            <v>46500000</v>
          </cell>
        </row>
        <row r="368">
          <cell r="H368">
            <v>153327052.05000001</v>
          </cell>
        </row>
        <row r="370">
          <cell r="H370">
            <v>3553275</v>
          </cell>
        </row>
        <row r="372">
          <cell r="H372">
            <v>4000000</v>
          </cell>
        </row>
        <row r="376">
          <cell r="H376">
            <v>12467880</v>
          </cell>
        </row>
        <row r="377">
          <cell r="H377">
            <v>42120857</v>
          </cell>
        </row>
        <row r="381">
          <cell r="H381">
            <v>195805000</v>
          </cell>
        </row>
        <row r="387">
          <cell r="H387">
            <v>370000000</v>
          </cell>
        </row>
        <row r="389">
          <cell r="H389">
            <v>142000000</v>
          </cell>
        </row>
        <row r="391">
          <cell r="H391">
            <v>17497350.699999999</v>
          </cell>
        </row>
        <row r="392">
          <cell r="H392">
            <v>753601598.54999995</v>
          </cell>
        </row>
        <row r="394">
          <cell r="H394">
            <v>18000000</v>
          </cell>
        </row>
        <row r="395">
          <cell r="H395">
            <v>80095550.239999995</v>
          </cell>
        </row>
        <row r="397">
          <cell r="H397">
            <v>144210331.95999995</v>
          </cell>
        </row>
        <row r="399">
          <cell r="H399">
            <v>2000000</v>
          </cell>
        </row>
        <row r="400">
          <cell r="H400">
            <v>28000000</v>
          </cell>
        </row>
        <row r="402">
          <cell r="H402">
            <v>152745330</v>
          </cell>
        </row>
        <row r="404">
          <cell r="H404">
            <v>10567472.43</v>
          </cell>
        </row>
        <row r="406">
          <cell r="H406">
            <v>41178208.799999997</v>
          </cell>
        </row>
        <row r="408">
          <cell r="H408">
            <v>3518351.55</v>
          </cell>
        </row>
        <row r="410">
          <cell r="H410">
            <v>50000000</v>
          </cell>
        </row>
        <row r="411">
          <cell r="H411">
            <v>410209458.75</v>
          </cell>
        </row>
        <row r="413">
          <cell r="H413">
            <v>30000000</v>
          </cell>
        </row>
        <row r="415">
          <cell r="H415">
            <v>10000000</v>
          </cell>
        </row>
        <row r="417">
          <cell r="H417">
            <v>180000000</v>
          </cell>
        </row>
        <row r="419">
          <cell r="H419">
            <v>24415205</v>
          </cell>
        </row>
        <row r="421">
          <cell r="H421">
            <v>579081</v>
          </cell>
        </row>
        <row r="424">
          <cell r="H424">
            <v>2294783</v>
          </cell>
        </row>
        <row r="426">
          <cell r="H426">
            <v>2085567</v>
          </cell>
        </row>
        <row r="428">
          <cell r="H428">
            <v>1980677</v>
          </cell>
        </row>
        <row r="430">
          <cell r="H430">
            <v>111778025.62</v>
          </cell>
        </row>
        <row r="432">
          <cell r="H432">
            <v>51464831.920000002</v>
          </cell>
        </row>
        <row r="434">
          <cell r="H434">
            <v>12000000</v>
          </cell>
        </row>
        <row r="435">
          <cell r="H435">
            <v>43000000</v>
          </cell>
        </row>
        <row r="437">
          <cell r="H437">
            <v>15000000</v>
          </cell>
        </row>
        <row r="438">
          <cell r="H438">
            <v>120173387.56999999</v>
          </cell>
        </row>
        <row r="440">
          <cell r="H440">
            <v>850000</v>
          </cell>
        </row>
        <row r="441">
          <cell r="H441">
            <v>7650000</v>
          </cell>
        </row>
        <row r="443">
          <cell r="H443">
            <v>393919.49</v>
          </cell>
        </row>
        <row r="445">
          <cell r="H445">
            <v>975642.31</v>
          </cell>
        </row>
        <row r="447">
          <cell r="H447">
            <v>40767184.960000001</v>
          </cell>
        </row>
        <row r="449">
          <cell r="H449">
            <v>70000000</v>
          </cell>
        </row>
        <row r="451">
          <cell r="H451">
            <v>40767184.960000001</v>
          </cell>
        </row>
        <row r="453">
          <cell r="H453">
            <v>10894699.949999999</v>
          </cell>
        </row>
        <row r="456">
          <cell r="H456">
            <v>130000000</v>
          </cell>
        </row>
        <row r="458">
          <cell r="H458">
            <v>60000000</v>
          </cell>
        </row>
        <row r="460">
          <cell r="H460">
            <v>8000000</v>
          </cell>
        </row>
        <row r="461">
          <cell r="H461">
            <v>28295721.059999999</v>
          </cell>
        </row>
        <row r="463">
          <cell r="H463">
            <v>36079399.369999997</v>
          </cell>
        </row>
        <row r="465">
          <cell r="H465">
            <v>8000000</v>
          </cell>
        </row>
        <row r="466">
          <cell r="H466">
            <v>22000000</v>
          </cell>
        </row>
        <row r="468">
          <cell r="H468">
            <v>10000000</v>
          </cell>
        </row>
        <row r="469">
          <cell r="H469">
            <v>26295722</v>
          </cell>
        </row>
        <row r="471">
          <cell r="H471">
            <v>179800277</v>
          </cell>
        </row>
        <row r="473">
          <cell r="H473">
            <v>38791169.479999997</v>
          </cell>
        </row>
        <row r="481">
          <cell r="H481">
            <v>70000000</v>
          </cell>
        </row>
        <row r="482">
          <cell r="H482">
            <v>32500000</v>
          </cell>
        </row>
        <row r="486">
          <cell r="H486">
            <v>1504709393.2400002</v>
          </cell>
        </row>
        <row r="489">
          <cell r="H489">
            <v>50000000</v>
          </cell>
        </row>
        <row r="492">
          <cell r="H492">
            <v>55000000</v>
          </cell>
        </row>
        <row r="494">
          <cell r="H494">
            <v>200000000</v>
          </cell>
        </row>
        <row r="496">
          <cell r="H496">
            <v>70000000</v>
          </cell>
        </row>
        <row r="499">
          <cell r="H499">
            <v>1237702.3999999999</v>
          </cell>
        </row>
        <row r="501">
          <cell r="H501">
            <v>95000000</v>
          </cell>
        </row>
        <row r="503">
          <cell r="H503">
            <v>9574883</v>
          </cell>
        </row>
        <row r="510">
          <cell r="H510">
            <v>93050000</v>
          </cell>
        </row>
        <row r="512">
          <cell r="H512">
            <v>20000000</v>
          </cell>
        </row>
        <row r="528">
          <cell r="H528">
            <v>79424998</v>
          </cell>
        </row>
        <row r="530">
          <cell r="H530">
            <v>36114458.259999998</v>
          </cell>
        </row>
        <row r="534">
          <cell r="H534">
            <v>197954600.74000001</v>
          </cell>
        </row>
        <row r="536">
          <cell r="H536">
            <v>3000000</v>
          </cell>
        </row>
        <row r="537">
          <cell r="H537">
            <v>4500000</v>
          </cell>
        </row>
        <row r="540">
          <cell r="H540">
            <v>30000000</v>
          </cell>
        </row>
        <row r="544">
          <cell r="H544">
            <v>400000000</v>
          </cell>
        </row>
        <row r="546">
          <cell r="H546">
            <v>19259729</v>
          </cell>
        </row>
        <row r="548">
          <cell r="H548">
            <v>60000000</v>
          </cell>
        </row>
        <row r="550">
          <cell r="H550">
            <v>16325000</v>
          </cell>
        </row>
        <row r="551">
          <cell r="H551">
            <v>246298060.81999999</v>
          </cell>
        </row>
        <row r="553">
          <cell r="H553">
            <v>15000000</v>
          </cell>
        </row>
        <row r="554">
          <cell r="H554">
            <v>85000000</v>
          </cell>
        </row>
        <row r="556">
          <cell r="H556">
            <v>29800280.57</v>
          </cell>
        </row>
        <row r="558">
          <cell r="H558">
            <v>29800277</v>
          </cell>
        </row>
        <row r="560">
          <cell r="H560">
            <v>38760000</v>
          </cell>
        </row>
        <row r="562">
          <cell r="H562">
            <v>38760000</v>
          </cell>
        </row>
        <row r="564">
          <cell r="H564">
            <v>30294876.879999999</v>
          </cell>
        </row>
        <row r="571">
          <cell r="H571">
            <v>10000000</v>
          </cell>
        </row>
        <row r="572">
          <cell r="H572">
            <v>6000000</v>
          </cell>
        </row>
        <row r="573">
          <cell r="H573">
            <v>61442419.590000004</v>
          </cell>
        </row>
        <row r="575">
          <cell r="H575">
            <v>31149255.510000002</v>
          </cell>
        </row>
        <row r="583">
          <cell r="H583">
            <v>18744793.66</v>
          </cell>
        </row>
        <row r="585">
          <cell r="H585">
            <v>13270218.533</v>
          </cell>
        </row>
        <row r="586">
          <cell r="H586">
            <v>60145573.130000003</v>
          </cell>
        </row>
        <row r="588">
          <cell r="H588">
            <v>29500000</v>
          </cell>
        </row>
        <row r="589">
          <cell r="H589">
            <v>24000000</v>
          </cell>
        </row>
        <row r="590">
          <cell r="H590">
            <v>630100000</v>
          </cell>
        </row>
        <row r="592">
          <cell r="H592">
            <v>100000000</v>
          </cell>
        </row>
        <row r="593">
          <cell r="H593">
            <v>100000000</v>
          </cell>
        </row>
        <row r="595">
          <cell r="H595">
            <v>2250000</v>
          </cell>
        </row>
        <row r="596">
          <cell r="H596">
            <v>2560500</v>
          </cell>
        </row>
        <row r="598">
          <cell r="H598">
            <v>22786026.84</v>
          </cell>
        </row>
        <row r="600">
          <cell r="H600">
            <v>137000000</v>
          </cell>
        </row>
        <row r="607">
          <cell r="H607">
            <v>350000000</v>
          </cell>
        </row>
        <row r="609">
          <cell r="H609">
            <v>150000000</v>
          </cell>
        </row>
        <row r="611">
          <cell r="H611">
            <v>410354.9</v>
          </cell>
        </row>
        <row r="613">
          <cell r="H613">
            <v>24353142</v>
          </cell>
        </row>
        <row r="615">
          <cell r="H615">
            <v>3276719.73</v>
          </cell>
        </row>
        <row r="617">
          <cell r="H617">
            <v>45000000</v>
          </cell>
        </row>
        <row r="619">
          <cell r="H619">
            <v>2417801</v>
          </cell>
        </row>
        <row r="622">
          <cell r="H622">
            <v>5000000</v>
          </cell>
        </row>
        <row r="623">
          <cell r="H623">
            <v>30000000</v>
          </cell>
        </row>
        <row r="625">
          <cell r="H625">
            <v>10000000</v>
          </cell>
        </row>
        <row r="626">
          <cell r="H626">
            <v>30000000</v>
          </cell>
        </row>
        <row r="628">
          <cell r="H628">
            <v>10000000</v>
          </cell>
        </row>
        <row r="629">
          <cell r="H629">
            <v>30767184.960000001</v>
          </cell>
        </row>
        <row r="631">
          <cell r="H631">
            <v>10000000</v>
          </cell>
        </row>
        <row r="632">
          <cell r="H632">
            <v>60000000</v>
          </cell>
        </row>
        <row r="635">
          <cell r="H635">
            <v>35000000</v>
          </cell>
        </row>
        <row r="637">
          <cell r="H637">
            <v>34000000</v>
          </cell>
        </row>
        <row r="639">
          <cell r="H639">
            <v>66767184.960000001</v>
          </cell>
        </row>
        <row r="641">
          <cell r="H641">
            <v>38760000</v>
          </cell>
        </row>
        <row r="643">
          <cell r="H643">
            <v>1206000</v>
          </cell>
        </row>
        <row r="644">
          <cell r="H644">
            <v>28794000</v>
          </cell>
        </row>
        <row r="646">
          <cell r="H646">
            <v>10000000</v>
          </cell>
        </row>
        <row r="669">
          <cell r="H669">
            <v>20000000</v>
          </cell>
        </row>
        <row r="670">
          <cell r="H670">
            <v>240000000</v>
          </cell>
        </row>
        <row r="682">
          <cell r="C682">
            <v>1915199794.5599999</v>
          </cell>
        </row>
        <row r="683">
          <cell r="H683">
            <v>1790400172.3599999</v>
          </cell>
        </row>
        <row r="685">
          <cell r="H685">
            <v>8580000</v>
          </cell>
        </row>
        <row r="686">
          <cell r="H686">
            <v>2746750</v>
          </cell>
        </row>
        <row r="688">
          <cell r="H688">
            <v>113472872.2</v>
          </cell>
        </row>
        <row r="691">
          <cell r="C691">
            <v>78679197.900000006</v>
          </cell>
        </row>
        <row r="693">
          <cell r="H693">
            <v>78679197.900000006</v>
          </cell>
        </row>
        <row r="698">
          <cell r="C698">
            <v>257892131.25</v>
          </cell>
        </row>
        <row r="700">
          <cell r="H700">
            <v>257892131.25</v>
          </cell>
        </row>
        <row r="707">
          <cell r="C707">
            <v>6722773948.2700005</v>
          </cell>
        </row>
        <row r="708">
          <cell r="H708">
            <v>123500000</v>
          </cell>
        </row>
        <row r="709">
          <cell r="H709">
            <v>1000000</v>
          </cell>
        </row>
        <row r="710">
          <cell r="H710">
            <v>6000000</v>
          </cell>
        </row>
        <row r="713">
          <cell r="H713">
            <v>494000000</v>
          </cell>
        </row>
        <row r="714">
          <cell r="H714">
            <v>529181368.49000001</v>
          </cell>
        </row>
        <row r="715">
          <cell r="H715">
            <v>5569092579.7799997</v>
          </cell>
        </row>
        <row r="720">
          <cell r="C720">
            <v>24214139.629999999</v>
          </cell>
        </row>
        <row r="726">
          <cell r="H726">
            <v>8000000</v>
          </cell>
        </row>
        <row r="728">
          <cell r="G728" t="str">
            <v>Ley 8316 Mejoras Pluviales Barrio Don Bosco, Turrúcares</v>
          </cell>
        </row>
        <row r="729">
          <cell r="H729">
            <v>16214139.630000001</v>
          </cell>
        </row>
        <row r="739">
          <cell r="C739">
            <v>2330374521.9400001</v>
          </cell>
        </row>
        <row r="742">
          <cell r="H742">
            <v>2330374521.9400001</v>
          </cell>
        </row>
        <row r="748">
          <cell r="C748">
            <v>130940</v>
          </cell>
        </row>
        <row r="749">
          <cell r="H749">
            <v>130940</v>
          </cell>
        </row>
        <row r="752">
          <cell r="C752">
            <v>55150298.149999999</v>
          </cell>
        </row>
        <row r="753">
          <cell r="H753">
            <v>55150298.149999999</v>
          </cell>
        </row>
        <row r="756">
          <cell r="C756">
            <v>49102.5</v>
          </cell>
        </row>
        <row r="757">
          <cell r="H757">
            <v>49102.5</v>
          </cell>
        </row>
        <row r="760">
          <cell r="C760">
            <v>1105751491.27</v>
          </cell>
        </row>
        <row r="761">
          <cell r="H761">
            <v>1105751491.27</v>
          </cell>
        </row>
        <row r="764">
          <cell r="C764">
            <v>27575149.079999998</v>
          </cell>
        </row>
        <row r="765">
          <cell r="H765">
            <v>27575149.079999998</v>
          </cell>
        </row>
        <row r="774">
          <cell r="C774">
            <v>158949415.75</v>
          </cell>
        </row>
        <row r="776">
          <cell r="H776">
            <v>158949415.75</v>
          </cell>
        </row>
        <row r="780">
          <cell r="C780">
            <v>311343780.37</v>
          </cell>
        </row>
        <row r="782">
          <cell r="H782">
            <v>304343780.37</v>
          </cell>
        </row>
        <row r="783">
          <cell r="H783">
            <v>2500000</v>
          </cell>
        </row>
        <row r="784">
          <cell r="H784">
            <v>4500000</v>
          </cell>
        </row>
        <row r="791">
          <cell r="C791">
            <v>4343219.7</v>
          </cell>
        </row>
        <row r="792">
          <cell r="H792">
            <v>4343219.7</v>
          </cell>
        </row>
        <row r="795">
          <cell r="C795">
            <v>27362284.079999998</v>
          </cell>
        </row>
        <row r="796">
          <cell r="H796">
            <v>27362284.079999998</v>
          </cell>
        </row>
        <row r="818">
          <cell r="C818">
            <v>285312039.83999997</v>
          </cell>
        </row>
        <row r="820">
          <cell r="H820">
            <v>278912039.83999997</v>
          </cell>
        </row>
        <row r="821">
          <cell r="H821">
            <v>6100000</v>
          </cell>
        </row>
        <row r="822">
          <cell r="H822">
            <v>300000</v>
          </cell>
        </row>
        <row r="826">
          <cell r="C826">
            <v>595460933.34000003</v>
          </cell>
        </row>
        <row r="828">
          <cell r="H828">
            <v>250000000</v>
          </cell>
        </row>
        <row r="829">
          <cell r="H829">
            <v>95460933.340000004</v>
          </cell>
        </row>
        <row r="830">
          <cell r="H830">
            <v>157000000</v>
          </cell>
        </row>
        <row r="832">
          <cell r="H832">
            <v>33000000</v>
          </cell>
        </row>
        <row r="834">
          <cell r="H834">
            <v>60000000</v>
          </cell>
        </row>
        <row r="848">
          <cell r="C848">
            <v>1200000000</v>
          </cell>
        </row>
        <row r="849">
          <cell r="H849">
            <v>149999999.99700001</v>
          </cell>
        </row>
        <row r="850">
          <cell r="H850">
            <v>1050000000.0000001</v>
          </cell>
        </row>
        <row r="856">
          <cell r="C856">
            <v>552874733.38346696</v>
          </cell>
        </row>
        <row r="858">
          <cell r="H858">
            <v>400000000</v>
          </cell>
        </row>
        <row r="859">
          <cell r="H859">
            <v>152874733.38</v>
          </cell>
        </row>
        <row r="862">
          <cell r="B862" t="str">
            <v>Atención de Emergencias Cantonales</v>
          </cell>
          <cell r="C862">
            <v>309530309.67155808</v>
          </cell>
        </row>
        <row r="863">
          <cell r="G863" t="str">
            <v>Atención Emergencias Cantonales</v>
          </cell>
        </row>
        <row r="864">
          <cell r="H864">
            <v>179112240.44999999</v>
          </cell>
        </row>
        <row r="865">
          <cell r="H865">
            <v>13146069.220000001</v>
          </cell>
        </row>
        <row r="866">
          <cell r="H866">
            <v>117272000</v>
          </cell>
        </row>
        <row r="874">
          <cell r="C874">
            <v>27546230021.469032</v>
          </cell>
          <cell r="H874">
            <v>27546230021.4715</v>
          </cell>
        </row>
      </sheetData>
      <sheetData sheetId="2">
        <row r="270">
          <cell r="A270" t="str">
            <v>1.4.1.2.02,00.0.0.000</v>
          </cell>
          <cell r="B270" t="str">
            <v>Programas comites cantonales de la Persona Joven</v>
          </cell>
          <cell r="C270">
            <v>8545782</v>
          </cell>
        </row>
        <row r="271">
          <cell r="G271" t="str">
            <v>Servicios Sociales Complementarios</v>
          </cell>
          <cell r="H271">
            <v>8545782</v>
          </cell>
        </row>
        <row r="345">
          <cell r="C345">
            <v>5573689251.1289701</v>
          </cell>
        </row>
        <row r="347">
          <cell r="H347">
            <v>138285861.47</v>
          </cell>
        </row>
        <row r="348">
          <cell r="H348">
            <v>14570185.75</v>
          </cell>
        </row>
        <row r="351">
          <cell r="H351">
            <v>5351500</v>
          </cell>
        </row>
        <row r="353">
          <cell r="H353">
            <v>48641823.079999998</v>
          </cell>
        </row>
        <row r="365">
          <cell r="H365">
            <v>41387936.240000002</v>
          </cell>
        </row>
        <row r="369">
          <cell r="H369">
            <v>31781547.820000004</v>
          </cell>
        </row>
        <row r="373">
          <cell r="H373">
            <v>65991102.979999997</v>
          </cell>
        </row>
        <row r="377">
          <cell r="H377">
            <v>23609309.710000001</v>
          </cell>
        </row>
        <row r="379">
          <cell r="H379">
            <v>876245.78</v>
          </cell>
        </row>
        <row r="380">
          <cell r="G380" t="str">
            <v>Proteccion del Medio Ambiente</v>
          </cell>
        </row>
        <row r="381">
          <cell r="H381">
            <v>876245.78</v>
          </cell>
        </row>
        <row r="389">
          <cell r="H389">
            <v>48474000</v>
          </cell>
        </row>
        <row r="393">
          <cell r="H393">
            <v>20000000</v>
          </cell>
        </row>
        <row r="394">
          <cell r="H394">
            <v>92128046.959999993</v>
          </cell>
        </row>
        <row r="398">
          <cell r="H398">
            <v>2590980</v>
          </cell>
        </row>
        <row r="424">
          <cell r="H424">
            <v>8852609</v>
          </cell>
        </row>
        <row r="426">
          <cell r="H426">
            <v>42100000</v>
          </cell>
        </row>
        <row r="456">
          <cell r="H456">
            <v>59906293</v>
          </cell>
        </row>
        <row r="474">
          <cell r="G474" t="str">
            <v>Mejoras Infraestructura en el CENCINAI de Viila Bonita</v>
          </cell>
        </row>
        <row r="475">
          <cell r="H475">
            <v>6263398.2000000002</v>
          </cell>
        </row>
        <row r="476">
          <cell r="G476" t="str">
            <v>Restauracion De Planta Fisica De La Escuela Invu Las Cañas</v>
          </cell>
        </row>
        <row r="477">
          <cell r="H477">
            <v>20000000</v>
          </cell>
        </row>
        <row r="478">
          <cell r="G478" t="str">
            <v>Mejoras de Cancha Multiusos de Rincón Chiquito</v>
          </cell>
        </row>
        <row r="479">
          <cell r="H479">
            <v>29990000</v>
          </cell>
        </row>
        <row r="480">
          <cell r="G480" t="str">
            <v>Mejoras Escuela Guadalajara Pueblo Nuevo</v>
          </cell>
        </row>
        <row r="481">
          <cell r="H481">
            <v>5760597.9800000004</v>
          </cell>
        </row>
        <row r="482">
          <cell r="H482">
            <v>89424584.370000005</v>
          </cell>
        </row>
        <row r="483">
          <cell r="G483" t="str">
            <v xml:space="preserve"> Consolidación Bodega Municipal</v>
          </cell>
        </row>
        <row r="486">
          <cell r="H486">
            <v>212407515</v>
          </cell>
        </row>
        <row r="487">
          <cell r="G487" t="str">
            <v>Mejoras Infraestructura Escuela De Itiquis</v>
          </cell>
        </row>
        <row r="488">
          <cell r="H488">
            <v>5155049</v>
          </cell>
        </row>
        <row r="490">
          <cell r="H490">
            <v>28172390.260000002</v>
          </cell>
        </row>
        <row r="491">
          <cell r="H491">
            <v>16975451.27</v>
          </cell>
        </row>
        <row r="492">
          <cell r="H492">
            <v>22993970.5</v>
          </cell>
        </row>
        <row r="494">
          <cell r="H494">
            <v>1609523597.54</v>
          </cell>
        </row>
        <row r="502">
          <cell r="H502">
            <v>78294603.219999999</v>
          </cell>
        </row>
        <row r="503">
          <cell r="G503" t="str">
            <v>Mejoras a la conducción Pluvial el Erizo</v>
          </cell>
        </row>
        <row r="504">
          <cell r="H504">
            <v>15139500.77</v>
          </cell>
        </row>
        <row r="505">
          <cell r="G505" t="str">
            <v>Construcción Puente Peatonal Escuela De Quebradas</v>
          </cell>
        </row>
        <row r="507">
          <cell r="H507">
            <v>14312034</v>
          </cell>
        </row>
        <row r="538">
          <cell r="H538">
            <v>299999232</v>
          </cell>
        </row>
        <row r="548">
          <cell r="H548">
            <v>763828882.83000004</v>
          </cell>
        </row>
        <row r="549">
          <cell r="G549" t="str">
            <v xml:space="preserve">Mejoras Sistema Pluvial Calle Nuestro Amo en Etapas </v>
          </cell>
        </row>
        <row r="551">
          <cell r="H551">
            <v>8130123.5099999998</v>
          </cell>
        </row>
        <row r="552">
          <cell r="G552" t="str">
            <v>Mejoras Pluviales en Guácima Centro</v>
          </cell>
        </row>
        <row r="553">
          <cell r="H553">
            <v>159560014.55000001</v>
          </cell>
        </row>
        <row r="554">
          <cell r="G554" t="str">
            <v>Mejoras Pluviales en lagos del Coyol</v>
          </cell>
        </row>
        <row r="555">
          <cell r="H555">
            <v>220771.86</v>
          </cell>
        </row>
        <row r="556">
          <cell r="G556" t="str">
            <v>Mejoras Pluviales en Villa Bonita</v>
          </cell>
        </row>
        <row r="557">
          <cell r="H557">
            <v>1124809538.7</v>
          </cell>
        </row>
        <row r="558">
          <cell r="G558" t="str">
            <v>Sistema de Riego Plaza Villa Bonita</v>
          </cell>
        </row>
        <row r="559">
          <cell r="H559">
            <v>35000000</v>
          </cell>
        </row>
        <row r="572">
          <cell r="H572">
            <v>84463902.379999995</v>
          </cell>
        </row>
        <row r="573">
          <cell r="H573">
            <v>124797342.60000001</v>
          </cell>
        </row>
        <row r="574">
          <cell r="H574">
            <v>26184170.02</v>
          </cell>
        </row>
        <row r="576">
          <cell r="H576">
            <v>7238648.7999999998</v>
          </cell>
        </row>
        <row r="583">
          <cell r="G583" t="str">
            <v xml:space="preserve">Play Infantil Lotes Murillo </v>
          </cell>
        </row>
        <row r="584">
          <cell r="H584">
            <v>10000000</v>
          </cell>
        </row>
        <row r="589">
          <cell r="H589">
            <v>9500004</v>
          </cell>
        </row>
        <row r="591">
          <cell r="H591">
            <v>25940874.91</v>
          </cell>
        </row>
        <row r="599">
          <cell r="H599">
            <v>3047259.29</v>
          </cell>
        </row>
        <row r="603">
          <cell r="H603">
            <v>17582199</v>
          </cell>
        </row>
        <row r="604">
          <cell r="G604" t="str">
            <v>Mejoras en Parque la Loma Urbanización la Trinidad</v>
          </cell>
        </row>
        <row r="605">
          <cell r="H605">
            <v>31643800</v>
          </cell>
        </row>
        <row r="606">
          <cell r="G606" t="str">
            <v>Mejoras Centro de Deportes de Cinco Esquinas de Carrizal</v>
          </cell>
        </row>
        <row r="607">
          <cell r="H607">
            <v>26906107</v>
          </cell>
        </row>
        <row r="615">
          <cell r="G615" t="str">
            <v>Parque San Martin de Turrucares</v>
          </cell>
        </row>
        <row r="616">
          <cell r="H616">
            <v>15000000</v>
          </cell>
        </row>
        <row r="679">
          <cell r="C679">
            <v>7935402.6400000006</v>
          </cell>
        </row>
        <row r="681">
          <cell r="H681">
            <v>7935402.6399999997</v>
          </cell>
        </row>
        <row r="685">
          <cell r="C685">
            <v>777856856.61000001</v>
          </cell>
        </row>
        <row r="686">
          <cell r="H686">
            <v>566840323.50999999</v>
          </cell>
        </row>
        <row r="688">
          <cell r="H688">
            <v>6242583.0999999996</v>
          </cell>
        </row>
        <row r="691">
          <cell r="H691">
            <v>204773950</v>
          </cell>
        </row>
        <row r="694">
          <cell r="C694">
            <v>24791096</v>
          </cell>
        </row>
        <row r="698">
          <cell r="H698">
            <v>21138096</v>
          </cell>
        </row>
        <row r="701">
          <cell r="C701">
            <v>435654110.29000002</v>
          </cell>
        </row>
        <row r="702">
          <cell r="H702">
            <v>129668</v>
          </cell>
        </row>
        <row r="704">
          <cell r="H704">
            <v>126442550.16000001</v>
          </cell>
        </row>
        <row r="705">
          <cell r="H705">
            <v>162120235.02000001</v>
          </cell>
        </row>
        <row r="706">
          <cell r="H706">
            <v>82794595.199999988</v>
          </cell>
        </row>
        <row r="708">
          <cell r="H708">
            <v>64167061.909999996</v>
          </cell>
        </row>
        <row r="714">
          <cell r="C714">
            <v>1120753637.9000001</v>
          </cell>
        </row>
        <row r="715">
          <cell r="H715">
            <v>30272693.760000002</v>
          </cell>
        </row>
        <row r="716">
          <cell r="H716">
            <v>70000000</v>
          </cell>
        </row>
        <row r="717">
          <cell r="H717">
            <v>107993022.59999999</v>
          </cell>
        </row>
        <row r="720">
          <cell r="H720">
            <v>202391750.50999999</v>
          </cell>
        </row>
        <row r="721">
          <cell r="H721">
            <v>29022993.5</v>
          </cell>
        </row>
        <row r="722">
          <cell r="H722">
            <v>661073177.52999997</v>
          </cell>
        </row>
        <row r="723">
          <cell r="H723">
            <v>20000000</v>
          </cell>
        </row>
        <row r="727">
          <cell r="C727">
            <v>188926502.00999999</v>
          </cell>
        </row>
        <row r="732">
          <cell r="H732">
            <v>145518341.25999999</v>
          </cell>
        </row>
        <row r="735">
          <cell r="G735" t="str">
            <v xml:space="preserve">Ley 8316 Mejoramiento Sistema Pluvial Urbanización Villa Nueva, Río Segundo </v>
          </cell>
        </row>
        <row r="736">
          <cell r="H736">
            <v>4158191.95</v>
          </cell>
        </row>
        <row r="737">
          <cell r="G737" t="str">
            <v xml:space="preserve">Ley 8316 Mejoramiento Alcantarillado Pluvial el Roble de Alajuela </v>
          </cell>
        </row>
        <row r="739">
          <cell r="H739">
            <v>39249968.799999997</v>
          </cell>
        </row>
        <row r="749">
          <cell r="C749">
            <v>257899826.69</v>
          </cell>
        </row>
        <row r="752">
          <cell r="H752">
            <v>257899826.69</v>
          </cell>
        </row>
        <row r="790">
          <cell r="C790">
            <v>173988121.85999998</v>
          </cell>
        </row>
        <row r="792">
          <cell r="H792">
            <v>173943121.86000001</v>
          </cell>
        </row>
        <row r="793">
          <cell r="H793">
            <v>45000</v>
          </cell>
        </row>
        <row r="828">
          <cell r="C828">
            <v>35756446</v>
          </cell>
        </row>
        <row r="830">
          <cell r="H830">
            <v>22618506</v>
          </cell>
        </row>
        <row r="831">
          <cell r="H831">
            <v>13137940</v>
          </cell>
        </row>
        <row r="836">
          <cell r="C836">
            <v>217290543.91999999</v>
          </cell>
        </row>
        <row r="838">
          <cell r="H838">
            <v>5817302.1900000004</v>
          </cell>
        </row>
        <row r="839">
          <cell r="H839">
            <v>22501005.359999999</v>
          </cell>
        </row>
        <row r="840">
          <cell r="H840">
            <v>55859889.75999999</v>
          </cell>
        </row>
        <row r="841">
          <cell r="G841" t="str">
            <v>Diseño y Contratación de mejoras Viales y Pluviales en Calle Montenegro, Fraijanes</v>
          </cell>
        </row>
        <row r="842">
          <cell r="H842">
            <v>64112346.609999999</v>
          </cell>
        </row>
        <row r="843">
          <cell r="G843" t="str">
            <v>Mejoras Pluviales en Villa Bonita</v>
          </cell>
        </row>
        <row r="844">
          <cell r="H844">
            <v>69000000</v>
          </cell>
        </row>
        <row r="853">
          <cell r="C853">
            <v>13500000</v>
          </cell>
        </row>
        <row r="855">
          <cell r="H855">
            <v>13500000</v>
          </cell>
        </row>
        <row r="862">
          <cell r="C862">
            <v>2733587.91</v>
          </cell>
          <cell r="G862" t="str">
            <v>Servicios Sociales Complementarios</v>
          </cell>
        </row>
        <row r="863">
          <cell r="H863">
            <v>2733587.91</v>
          </cell>
        </row>
        <row r="872">
          <cell r="C872">
            <v>123554063.22</v>
          </cell>
        </row>
        <row r="874">
          <cell r="H874">
            <v>99193225</v>
          </cell>
        </row>
        <row r="876">
          <cell r="H876">
            <v>24360838.219999999</v>
          </cell>
        </row>
        <row r="884">
          <cell r="C884">
            <v>8962875228.1789684</v>
          </cell>
          <cell r="H884">
            <v>8962875228.1799984</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lasific. Económica de Ingresos"/>
      <sheetName val="Detalle General de Egresos"/>
      <sheetName val="ProgramaI"/>
      <sheetName val="Programa II"/>
      <sheetName val="Programa III"/>
      <sheetName val="Programa IV"/>
      <sheetName val="Egresos Programa I General"/>
      <sheetName val="Egresos Programa II General"/>
      <sheetName val="Egresos Programa IV General"/>
      <sheetName val="Egresos Programa III General"/>
      <sheetName val="Origen y Aplicación"/>
    </sheetNames>
    <sheetDataSet>
      <sheetData sheetId="0">
        <row r="16">
          <cell r="A16" t="str">
            <v>1.1.2.1.01.00.0.0.000</v>
          </cell>
        </row>
      </sheetData>
      <sheetData sheetId="1">
        <row r="7">
          <cell r="E7">
            <v>8962875228.1800003</v>
          </cell>
        </row>
      </sheetData>
      <sheetData sheetId="2">
        <row r="22">
          <cell r="B22" t="str">
            <v xml:space="preserve">Organo Normalización Técnica M.de Hacienda </v>
          </cell>
        </row>
      </sheetData>
      <sheetData sheetId="3"/>
      <sheetData sheetId="4">
        <row r="30">
          <cell r="B30" t="str">
            <v>Transferencias de Capital al Gobierno Central</v>
          </cell>
        </row>
      </sheetData>
      <sheetData sheetId="5"/>
      <sheetData sheetId="6">
        <row r="16">
          <cell r="E16">
            <v>206849370.30000001</v>
          </cell>
        </row>
      </sheetData>
      <sheetData sheetId="7">
        <row r="11">
          <cell r="B11" t="str">
            <v>Aseo de Vías y Sitios Públicos</v>
          </cell>
        </row>
      </sheetData>
      <sheetData sheetId="8"/>
      <sheetData sheetId="9">
        <row r="14">
          <cell r="B14" t="str">
            <v>Construcción de Edificio para la Policia Municipal en Meza</v>
          </cell>
        </row>
      </sheetData>
      <sheetData sheetId="10">
        <row r="697">
          <cell r="H697">
            <v>3653000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I"/>
    </sheetNames>
    <sheetDataSet>
      <sheetData sheetId="0">
        <row r="147">
          <cell r="L147">
            <v>10626026023.129999</v>
          </cell>
          <cell r="M147">
            <v>20345274853.709995</v>
          </cell>
        </row>
        <row r="178">
          <cell r="M178">
            <v>90280764024.339996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1_Liquidación"/>
      <sheetName val="2_Morosidad"/>
      <sheetName val="3Detalle de Origen y Aplicación"/>
      <sheetName val="4_OyA Transferencias Gob Cent"/>
      <sheetName val="Ejemplo Detalle de origen y apl"/>
      <sheetName val="Ejemplo OyA Transferencias Gob "/>
    </sheetNames>
    <sheetDataSet>
      <sheetData sheetId="0"/>
      <sheetData sheetId="1"/>
      <sheetData sheetId="2">
        <row r="426">
          <cell r="E426">
            <v>72637413.760000005</v>
          </cell>
        </row>
        <row r="450">
          <cell r="K450">
            <v>224926902.66999999</v>
          </cell>
        </row>
        <row r="452">
          <cell r="K452">
            <v>51977399.439999998</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 DE HOJAS"/>
      <sheetName val="INGRESOS"/>
      <sheetName val="EGRESOS"/>
      <sheetName val="ING-GASTO"/>
      <sheetName val="LIQUID-INGRES"/>
      <sheetName val="PARTIDAS ESPECÍFICAS"/>
      <sheetName val="COMPROBACION"/>
      <sheetName val="Formulario 4-Compromisos"/>
      <sheetName val="Formulario 5-Compromisos"/>
      <sheetName val="FODESAF"/>
      <sheetName val="RED DE CUIDO"/>
      <sheetName val="PRESTAMOS"/>
      <sheetName val="LIQUIDACION PRELIMINAR"/>
      <sheetName val="ANEXO1-LIQUIDACION"/>
      <sheetName val="ANEXO2-MOROSIDAD"/>
      <sheetName val="ANEXO3-SALDO EN CAJA"/>
      <sheetName val="ANEXO5-TRANSFERENCIAS"/>
      <sheetName val="ANEXO6 INDIC GESTIÓN PRESUP"/>
      <sheetName val="ANEXO7 ESTRUC. ORGAN"/>
      <sheetName val="ANEXO 8 ENDEUDAMIENTO"/>
      <sheetName val="ANEXO 9 CUMPL METAS"/>
      <sheetName val="Ejemplo"/>
      <sheetName val="Anexo 10 Cuadro DOA"/>
    </sheetNames>
    <sheetDataSet>
      <sheetData sheetId="0">
        <row r="1">
          <cell r="A1" t="str">
            <v>MUNICIPALIDAD DE ALAJUELA</v>
          </cell>
        </row>
      </sheetData>
      <sheetData sheetId="1"/>
      <sheetData sheetId="2">
        <row r="9">
          <cell r="B9">
            <v>10301851279.1</v>
          </cell>
        </row>
        <row r="10">
          <cell r="B10">
            <v>13726708444.950001</v>
          </cell>
        </row>
        <row r="11">
          <cell r="B11">
            <v>17126245207.49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3"/>
  <sheetViews>
    <sheetView showGridLines="0" view="pageBreakPreview" topLeftCell="A56" zoomScale="96" zoomScaleNormal="100" zoomScaleSheetLayoutView="100" workbookViewId="0">
      <selection activeCell="G62" sqref="G62:G63"/>
    </sheetView>
  </sheetViews>
  <sheetFormatPr baseColWidth="10" defaultColWidth="12.54296875" defaultRowHeight="15" customHeight="1"/>
  <cols>
    <col min="1" max="1" width="44.36328125" customWidth="1"/>
    <col min="2" max="2" width="33.1796875" customWidth="1"/>
    <col min="3" max="3" width="25.90625" customWidth="1"/>
    <col min="4" max="4" width="23.36328125" customWidth="1"/>
    <col min="5" max="5" width="25.90625" customWidth="1"/>
    <col min="6" max="6" width="24.90625" customWidth="1"/>
    <col min="7" max="7" width="16.6328125" bestFit="1" customWidth="1"/>
  </cols>
  <sheetData>
    <row r="1" spans="1:17" ht="17.5">
      <c r="A1" s="1"/>
      <c r="B1" s="1"/>
      <c r="C1" s="1"/>
      <c r="D1" s="1"/>
      <c r="E1" s="2"/>
      <c r="F1" s="2"/>
      <c r="G1" s="2"/>
      <c r="H1" s="2"/>
      <c r="I1" s="2"/>
      <c r="J1" s="2"/>
      <c r="K1" s="2"/>
      <c r="L1" s="2"/>
      <c r="M1" s="2"/>
      <c r="N1" s="2"/>
      <c r="O1" s="2"/>
      <c r="P1" s="2"/>
      <c r="Q1" s="2"/>
    </row>
    <row r="2" spans="1:17" ht="17.5">
      <c r="A2" s="313" t="s">
        <v>0</v>
      </c>
      <c r="B2" s="308"/>
      <c r="C2" s="308"/>
      <c r="D2" s="308"/>
      <c r="E2" s="2"/>
      <c r="F2" s="2"/>
      <c r="G2" s="2"/>
      <c r="H2" s="2"/>
      <c r="I2" s="2"/>
      <c r="J2" s="2"/>
      <c r="K2" s="2"/>
      <c r="L2" s="2"/>
      <c r="M2" s="2"/>
      <c r="N2" s="2"/>
      <c r="O2" s="2"/>
      <c r="P2" s="2"/>
      <c r="Q2" s="2"/>
    </row>
    <row r="3" spans="1:17" ht="17.5">
      <c r="A3" s="313" t="s">
        <v>115</v>
      </c>
      <c r="B3" s="308"/>
      <c r="C3" s="308"/>
      <c r="D3" s="308"/>
      <c r="E3" s="2"/>
      <c r="F3" s="2"/>
      <c r="G3" s="2"/>
      <c r="H3" s="2"/>
      <c r="I3" s="2"/>
      <c r="J3" s="2"/>
      <c r="K3" s="2"/>
      <c r="L3" s="2"/>
      <c r="M3" s="2"/>
      <c r="N3" s="2"/>
      <c r="O3" s="2"/>
      <c r="P3" s="2"/>
      <c r="Q3" s="2"/>
    </row>
    <row r="4" spans="1:17" ht="17.5">
      <c r="A4" s="313" t="s">
        <v>730</v>
      </c>
      <c r="B4" s="308"/>
      <c r="C4" s="308"/>
      <c r="D4" s="308"/>
      <c r="E4" s="2"/>
      <c r="F4" s="2"/>
      <c r="G4" s="2"/>
      <c r="H4" s="2"/>
      <c r="I4" s="2"/>
      <c r="J4" s="2"/>
      <c r="K4" s="2"/>
      <c r="L4" s="2"/>
      <c r="M4" s="2"/>
      <c r="N4" s="2"/>
      <c r="O4" s="2"/>
      <c r="P4" s="2"/>
      <c r="Q4" s="2"/>
    </row>
    <row r="5" spans="1:17" ht="13.5">
      <c r="A5" s="314" t="s">
        <v>1</v>
      </c>
      <c r="B5" s="312"/>
      <c r="C5" s="312"/>
      <c r="D5" s="312"/>
      <c r="E5" s="2"/>
      <c r="F5" s="2"/>
      <c r="G5" s="2"/>
      <c r="H5" s="2"/>
      <c r="I5" s="2"/>
      <c r="J5" s="2"/>
      <c r="K5" s="2"/>
      <c r="L5" s="2"/>
      <c r="M5" s="2"/>
      <c r="N5" s="2"/>
      <c r="O5" s="2"/>
      <c r="P5" s="2"/>
      <c r="Q5" s="2"/>
    </row>
    <row r="6" spans="1:17" ht="24" customHeight="1">
      <c r="A6" s="315" t="s">
        <v>2</v>
      </c>
      <c r="B6" s="312"/>
      <c r="C6" s="312"/>
      <c r="D6" s="312"/>
      <c r="E6" s="2"/>
      <c r="F6" s="2"/>
      <c r="G6" s="2"/>
      <c r="H6" s="2"/>
      <c r="I6" s="2"/>
      <c r="J6" s="2"/>
      <c r="K6" s="2"/>
      <c r="L6" s="2"/>
      <c r="M6" s="2"/>
      <c r="N6" s="2"/>
      <c r="O6" s="2"/>
      <c r="P6" s="2"/>
      <c r="Q6" s="2"/>
    </row>
    <row r="7" spans="1:17" ht="17.5">
      <c r="A7" s="311" t="s">
        <v>3</v>
      </c>
      <c r="B7" s="312"/>
      <c r="C7" s="312"/>
      <c r="D7" s="312"/>
      <c r="E7" s="2"/>
      <c r="F7" s="2"/>
      <c r="G7" s="2"/>
      <c r="H7" s="2"/>
      <c r="I7" s="2"/>
      <c r="J7" s="2"/>
      <c r="K7" s="2"/>
      <c r="L7" s="2"/>
      <c r="M7" s="2"/>
      <c r="N7" s="2"/>
      <c r="O7" s="2"/>
      <c r="P7" s="2"/>
      <c r="Q7" s="2"/>
    </row>
    <row r="8" spans="1:17" ht="14">
      <c r="A8" s="2"/>
      <c r="B8" s="2"/>
      <c r="C8" s="3" t="s">
        <v>4</v>
      </c>
      <c r="D8" s="3" t="s">
        <v>5</v>
      </c>
      <c r="E8" s="2"/>
      <c r="F8" s="4"/>
      <c r="G8" s="2"/>
      <c r="H8" s="2"/>
      <c r="I8" s="2"/>
      <c r="J8" s="2"/>
      <c r="K8" s="2"/>
      <c r="L8" s="2"/>
      <c r="M8" s="2"/>
      <c r="N8" s="2"/>
      <c r="O8" s="2"/>
      <c r="P8" s="2"/>
      <c r="Q8" s="2"/>
    </row>
    <row r="9" spans="1:17" ht="12.5">
      <c r="A9" s="2"/>
      <c r="B9" s="5"/>
      <c r="C9" s="5"/>
      <c r="D9" s="5"/>
      <c r="E9" s="2"/>
      <c r="F9" s="2"/>
      <c r="G9" s="2"/>
      <c r="H9" s="2"/>
      <c r="I9" s="2"/>
      <c r="J9" s="2"/>
      <c r="K9" s="2"/>
      <c r="L9" s="2"/>
      <c r="M9" s="2"/>
      <c r="N9" s="2"/>
      <c r="O9" s="2"/>
      <c r="P9" s="2"/>
      <c r="Q9" s="2"/>
    </row>
    <row r="10" spans="1:17" ht="14">
      <c r="A10" s="307" t="s">
        <v>6</v>
      </c>
      <c r="B10" s="308"/>
      <c r="C10" s="6">
        <v>79139634029.828003</v>
      </c>
      <c r="D10" s="6">
        <f>63697679899.02+89026185.29</f>
        <v>63786706084.309998</v>
      </c>
      <c r="E10" s="2"/>
      <c r="G10" s="2"/>
      <c r="H10" s="2"/>
      <c r="I10" s="2"/>
      <c r="J10" s="2"/>
      <c r="K10" s="2"/>
      <c r="L10" s="2"/>
      <c r="M10" s="2"/>
      <c r="N10" s="2"/>
      <c r="O10" s="2"/>
      <c r="P10" s="2"/>
      <c r="Q10" s="2"/>
    </row>
    <row r="11" spans="1:17" ht="13.5">
      <c r="A11" s="7" t="s">
        <v>7</v>
      </c>
      <c r="B11" s="5"/>
      <c r="C11" s="5"/>
      <c r="D11" s="8"/>
      <c r="E11" s="2"/>
      <c r="F11" s="2"/>
      <c r="G11" s="2"/>
      <c r="H11" s="2"/>
      <c r="I11" s="2"/>
      <c r="J11" s="2"/>
      <c r="K11" s="2"/>
      <c r="L11" s="2"/>
      <c r="M11" s="2"/>
      <c r="N11" s="2"/>
      <c r="O11" s="2"/>
      <c r="P11" s="2"/>
      <c r="Q11" s="2"/>
    </row>
    <row r="12" spans="1:17" ht="12.5">
      <c r="A12" s="2"/>
      <c r="B12" s="5"/>
      <c r="C12" s="5"/>
      <c r="D12" s="8"/>
      <c r="E12" s="2"/>
      <c r="F12" s="2"/>
      <c r="G12" s="2"/>
      <c r="H12" s="2"/>
      <c r="I12" s="2"/>
      <c r="J12" s="2"/>
      <c r="K12" s="2"/>
      <c r="L12" s="2"/>
      <c r="M12" s="2"/>
      <c r="N12" s="2"/>
      <c r="O12" s="2"/>
      <c r="P12" s="2"/>
      <c r="Q12" s="2"/>
    </row>
    <row r="13" spans="1:17" ht="14">
      <c r="A13" s="307" t="s">
        <v>8</v>
      </c>
      <c r="B13" s="308"/>
      <c r="C13" s="6">
        <v>79139634029.828003</v>
      </c>
      <c r="D13" s="9">
        <f>SUM(D14:D15)</f>
        <v>41154804931.540001</v>
      </c>
      <c r="E13" s="5"/>
      <c r="F13" s="2"/>
      <c r="G13" s="2"/>
      <c r="H13" s="2"/>
      <c r="I13" s="2"/>
      <c r="J13" s="2"/>
      <c r="K13" s="2"/>
      <c r="L13" s="2"/>
      <c r="M13" s="2"/>
      <c r="N13" s="2"/>
      <c r="O13" s="2"/>
      <c r="P13" s="2"/>
      <c r="Q13" s="2"/>
    </row>
    <row r="14" spans="1:17" ht="13.5">
      <c r="A14" s="7" t="s">
        <v>9</v>
      </c>
      <c r="B14" s="2"/>
      <c r="C14" s="5"/>
      <c r="D14" s="10">
        <f>41154804931.54-D15</f>
        <v>27745915596.110001</v>
      </c>
      <c r="E14" s="2"/>
      <c r="F14" s="2"/>
      <c r="G14" s="2"/>
      <c r="H14" s="2"/>
      <c r="I14" s="2"/>
      <c r="J14" s="2"/>
      <c r="K14" s="2"/>
      <c r="L14" s="2"/>
      <c r="M14" s="2"/>
      <c r="N14" s="2"/>
      <c r="O14" s="2"/>
      <c r="P14" s="2"/>
      <c r="Q14" s="2"/>
    </row>
    <row r="15" spans="1:17" ht="13.5">
      <c r="A15" s="309" t="s">
        <v>10</v>
      </c>
      <c r="B15" s="308"/>
      <c r="C15" s="5"/>
      <c r="D15" s="10">
        <v>13408889335.43</v>
      </c>
      <c r="E15" s="2"/>
      <c r="F15" s="2"/>
      <c r="G15" s="2"/>
      <c r="H15" s="2"/>
      <c r="I15" s="2"/>
      <c r="J15" s="2"/>
      <c r="K15" s="2"/>
      <c r="L15" s="2"/>
      <c r="M15" s="2"/>
      <c r="N15" s="2"/>
      <c r="O15" s="2"/>
      <c r="P15" s="2"/>
      <c r="Q15" s="2"/>
    </row>
    <row r="16" spans="1:17" ht="12.5">
      <c r="A16" s="2"/>
      <c r="B16" s="5"/>
      <c r="C16" s="5"/>
      <c r="D16" s="5"/>
      <c r="E16" s="2"/>
      <c r="F16" s="2"/>
      <c r="G16" s="2"/>
      <c r="H16" s="2"/>
      <c r="I16" s="2"/>
      <c r="J16" s="2"/>
      <c r="K16" s="2"/>
      <c r="L16" s="2"/>
      <c r="M16" s="2"/>
      <c r="N16" s="2"/>
      <c r="O16" s="2"/>
      <c r="P16" s="2"/>
      <c r="Q16" s="2"/>
    </row>
    <row r="17" spans="1:26" ht="14">
      <c r="A17" s="310" t="s">
        <v>3</v>
      </c>
      <c r="B17" s="308"/>
      <c r="C17" s="11"/>
      <c r="D17" s="9">
        <f>D10-D13</f>
        <v>22631901152.769997</v>
      </c>
      <c r="E17" s="11">
        <f>+'3_Detalle Origen y Aplicación'!N503</f>
        <v>22631901152.767586</v>
      </c>
      <c r="F17" s="4"/>
      <c r="G17" s="4"/>
      <c r="H17" s="4"/>
      <c r="I17" s="4"/>
      <c r="J17" s="4"/>
      <c r="K17" s="4"/>
      <c r="L17" s="4"/>
      <c r="M17" s="4"/>
      <c r="N17" s="4"/>
      <c r="O17" s="4"/>
      <c r="P17" s="4"/>
      <c r="Q17" s="4"/>
      <c r="R17" s="12"/>
      <c r="S17" s="12"/>
      <c r="T17" s="12"/>
      <c r="U17" s="12"/>
      <c r="V17" s="12"/>
      <c r="W17" s="12"/>
      <c r="X17" s="12"/>
      <c r="Y17" s="12"/>
      <c r="Z17" s="12"/>
    </row>
    <row r="18" spans="1:26" ht="12.5">
      <c r="A18" s="2"/>
      <c r="B18" s="5"/>
      <c r="C18" s="5"/>
      <c r="D18" s="5" t="s">
        <v>11</v>
      </c>
      <c r="E18" s="5">
        <f>+D17-E17</f>
        <v>2.410888671875E-3</v>
      </c>
      <c r="F18" s="2"/>
      <c r="G18" s="2"/>
      <c r="H18" s="2"/>
      <c r="I18" s="2"/>
      <c r="J18" s="2"/>
      <c r="K18" s="2"/>
      <c r="L18" s="2"/>
      <c r="M18" s="2"/>
      <c r="N18" s="2"/>
      <c r="O18" s="2"/>
      <c r="P18" s="2"/>
      <c r="Q18" s="2"/>
    </row>
    <row r="19" spans="1:26" ht="14">
      <c r="A19" s="309" t="s">
        <v>12</v>
      </c>
      <c r="B19" s="308"/>
      <c r="C19" s="5"/>
      <c r="D19" s="13">
        <f>+D60</f>
        <v>11481962466.34</v>
      </c>
      <c r="E19" s="5">
        <f>+'3_Detalle Origen y Aplicación'!N502</f>
        <v>12091641544.629206</v>
      </c>
      <c r="F19" s="5">
        <f>+D19-E19</f>
        <v>-609679078.28920555</v>
      </c>
      <c r="G19" s="2"/>
      <c r="H19" s="2"/>
      <c r="I19" s="2"/>
      <c r="J19" s="2"/>
      <c r="K19" s="2"/>
      <c r="L19" s="2"/>
      <c r="M19" s="2"/>
      <c r="N19" s="2"/>
      <c r="O19" s="2"/>
      <c r="P19" s="2"/>
      <c r="Q19" s="2"/>
    </row>
    <row r="20" spans="1:26" ht="12.5">
      <c r="A20" s="2"/>
      <c r="B20" s="5"/>
      <c r="C20" s="5"/>
      <c r="D20" s="5"/>
      <c r="E20" s="2"/>
      <c r="F20" s="2"/>
      <c r="G20" s="5">
        <f>+'3_Detalle Origen y Aplicación'!N398+'3_Detalle Origen y Aplicación'!N400+'3_Detalle Origen y Aplicación'!N402+'3_Detalle Origen y Aplicación'!N403+'3_Detalle Origen y Aplicación'!N409+'3_Detalle Origen y Aplicación'!N408-748000+292556.42</f>
        <v>1785530360.184994</v>
      </c>
      <c r="H20" s="2"/>
      <c r="I20" s="2"/>
      <c r="J20" s="2"/>
      <c r="K20" s="2"/>
      <c r="L20" s="2"/>
      <c r="M20" s="2"/>
      <c r="N20" s="2"/>
      <c r="O20" s="2"/>
      <c r="P20" s="2"/>
      <c r="Q20" s="2"/>
    </row>
    <row r="21" spans="1:26" ht="14">
      <c r="A21" s="310" t="s">
        <v>13</v>
      </c>
      <c r="B21" s="308"/>
      <c r="C21" s="11"/>
      <c r="D21" s="14">
        <f>D17-D19</f>
        <v>11149938686.429996</v>
      </c>
      <c r="E21" s="301"/>
      <c r="F21" s="4"/>
      <c r="G21" s="302" t="e">
        <f>+D34+D35++#REF!+D59+D28</f>
        <v>#REF!</v>
      </c>
      <c r="H21" s="4"/>
      <c r="I21" s="4"/>
      <c r="J21" s="4"/>
      <c r="K21" s="4"/>
      <c r="L21" s="4"/>
      <c r="M21" s="4"/>
      <c r="N21" s="4"/>
      <c r="O21" s="4"/>
      <c r="P21" s="4"/>
      <c r="Q21" s="4"/>
      <c r="R21" s="12"/>
      <c r="S21" s="12"/>
      <c r="T21" s="12"/>
      <c r="U21" s="12"/>
      <c r="V21" s="12"/>
      <c r="W21" s="12"/>
      <c r="X21" s="12"/>
      <c r="Y21" s="12"/>
      <c r="Z21" s="12"/>
    </row>
    <row r="22" spans="1:26" ht="12.5">
      <c r="A22" s="2"/>
      <c r="B22" s="5"/>
      <c r="C22" s="5"/>
      <c r="D22" s="5"/>
      <c r="E22" s="70"/>
      <c r="F22" s="2"/>
      <c r="G22" s="70" t="e">
        <f>+G20-G21</f>
        <v>#REF!</v>
      </c>
      <c r="H22" s="2"/>
      <c r="I22" s="2"/>
      <c r="J22" s="2"/>
      <c r="K22" s="2"/>
      <c r="L22" s="2"/>
      <c r="M22" s="2"/>
      <c r="N22" s="2"/>
      <c r="O22" s="2"/>
      <c r="P22" s="2"/>
      <c r="Q22" s="2"/>
    </row>
    <row r="23" spans="1:26" ht="12.5">
      <c r="A23" s="15"/>
      <c r="B23" s="16"/>
      <c r="C23" s="16"/>
      <c r="D23" s="16"/>
      <c r="E23" s="15"/>
      <c r="F23" s="15"/>
      <c r="G23" s="303" t="e">
        <f>+F19+G22</f>
        <v>#REF!</v>
      </c>
      <c r="H23" s="2"/>
      <c r="I23" s="2"/>
      <c r="J23" s="2"/>
      <c r="K23" s="2"/>
      <c r="L23" s="2"/>
      <c r="M23" s="2"/>
      <c r="N23" s="2"/>
      <c r="O23" s="2"/>
      <c r="P23" s="2"/>
      <c r="Q23" s="2"/>
    </row>
    <row r="24" spans="1:26" ht="12.5">
      <c r="A24" s="17"/>
      <c r="B24" s="5"/>
      <c r="C24" s="5"/>
      <c r="D24" s="5"/>
      <c r="E24" s="2"/>
      <c r="F24" s="2"/>
      <c r="G24" s="2"/>
      <c r="H24" s="2"/>
      <c r="I24" s="2"/>
      <c r="J24" s="2"/>
      <c r="K24" s="2"/>
      <c r="L24" s="2"/>
      <c r="M24" s="2"/>
      <c r="N24" s="2"/>
      <c r="O24" s="2"/>
      <c r="P24" s="2"/>
      <c r="Q24" s="2"/>
    </row>
    <row r="25" spans="1:26" ht="14">
      <c r="A25" s="18" t="s">
        <v>14</v>
      </c>
      <c r="B25" s="5"/>
      <c r="C25" s="5"/>
      <c r="D25" s="5"/>
      <c r="E25" s="2"/>
      <c r="F25" s="2"/>
      <c r="G25" s="2"/>
      <c r="H25" s="2"/>
      <c r="I25" s="2"/>
      <c r="J25" s="2"/>
      <c r="K25" s="2"/>
      <c r="L25" s="2"/>
      <c r="M25" s="2"/>
      <c r="N25" s="2"/>
      <c r="O25" s="2"/>
      <c r="P25" s="2"/>
      <c r="Q25" s="2"/>
    </row>
    <row r="26" spans="1:26" ht="12.5">
      <c r="A26" s="19"/>
      <c r="B26" s="19"/>
      <c r="C26" s="19"/>
      <c r="D26" s="19"/>
      <c r="E26" s="19"/>
      <c r="F26" s="19"/>
      <c r="G26" s="2"/>
      <c r="H26" s="2"/>
      <c r="I26" s="2"/>
      <c r="J26" s="2"/>
      <c r="K26" s="2"/>
      <c r="L26" s="2"/>
      <c r="M26" s="2"/>
      <c r="N26" s="2"/>
      <c r="O26" s="2"/>
      <c r="P26" s="2"/>
      <c r="Q26" s="2"/>
    </row>
    <row r="27" spans="1:26" ht="112">
      <c r="A27" s="20" t="s">
        <v>15</v>
      </c>
      <c r="B27" s="21" t="s">
        <v>16</v>
      </c>
      <c r="C27" s="21" t="s">
        <v>17</v>
      </c>
      <c r="D27" s="21" t="s">
        <v>18</v>
      </c>
      <c r="E27" s="21" t="s">
        <v>544</v>
      </c>
      <c r="F27" s="22" t="s">
        <v>543</v>
      </c>
      <c r="G27" s="2"/>
      <c r="H27" s="2"/>
      <c r="I27" s="2"/>
      <c r="J27" s="2"/>
      <c r="K27" s="2"/>
      <c r="L27" s="2"/>
      <c r="M27" s="2"/>
      <c r="N27" s="2"/>
      <c r="O27" s="2"/>
      <c r="P27" s="2"/>
      <c r="Q27" s="2"/>
    </row>
    <row r="28" spans="1:26" ht="25">
      <c r="A28" s="71" t="s">
        <v>86</v>
      </c>
      <c r="B28" s="72" t="s">
        <v>117</v>
      </c>
      <c r="C28" s="23" t="s">
        <v>539</v>
      </c>
      <c r="D28" s="304">
        <v>-130940</v>
      </c>
      <c r="E28" s="24">
        <v>130940</v>
      </c>
      <c r="F28" s="25">
        <f>+D28+E28</f>
        <v>0</v>
      </c>
      <c r="G28" s="2"/>
      <c r="H28" s="2"/>
      <c r="I28" s="2"/>
      <c r="J28" s="2"/>
      <c r="K28" s="2"/>
      <c r="L28" s="2"/>
      <c r="M28" s="2"/>
      <c r="N28" s="2"/>
      <c r="O28" s="2"/>
      <c r="P28" s="2"/>
      <c r="Q28" s="2"/>
    </row>
    <row r="29" spans="1:26" ht="25">
      <c r="A29" s="72" t="s">
        <v>87</v>
      </c>
      <c r="B29" s="72" t="s">
        <v>117</v>
      </c>
      <c r="C29" s="23" t="s">
        <v>535</v>
      </c>
      <c r="D29" s="26">
        <v>60791660.130000003</v>
      </c>
      <c r="E29" s="26"/>
      <c r="F29" s="25">
        <f t="shared" ref="F29:F59" si="0">+D29+E29</f>
        <v>60791660.130000003</v>
      </c>
      <c r="G29" s="2"/>
      <c r="H29" s="2"/>
      <c r="I29" s="2"/>
      <c r="J29" s="2"/>
      <c r="K29" s="2"/>
      <c r="L29" s="2"/>
      <c r="M29" s="2"/>
      <c r="N29" s="2"/>
      <c r="O29" s="2"/>
      <c r="P29" s="2"/>
      <c r="Q29" s="2"/>
    </row>
    <row r="30" spans="1:26" ht="25">
      <c r="A30" s="71" t="s">
        <v>88</v>
      </c>
      <c r="B30" s="72" t="s">
        <v>118</v>
      </c>
      <c r="C30" s="23" t="s">
        <v>539</v>
      </c>
      <c r="D30" s="26">
        <v>10448.44</v>
      </c>
      <c r="E30" s="24"/>
      <c r="F30" s="25">
        <f t="shared" si="0"/>
        <v>10448.44</v>
      </c>
      <c r="G30" s="2"/>
      <c r="H30" s="2"/>
      <c r="I30" s="2"/>
      <c r="J30" s="2"/>
      <c r="K30" s="2"/>
      <c r="L30" s="2"/>
      <c r="M30" s="2"/>
      <c r="N30" s="2"/>
      <c r="O30" s="2"/>
      <c r="P30" s="2"/>
      <c r="Q30" s="2"/>
    </row>
    <row r="31" spans="1:26" ht="25">
      <c r="A31" s="71" t="s">
        <v>89</v>
      </c>
      <c r="B31" s="218" t="s">
        <v>541</v>
      </c>
      <c r="C31" s="219" t="s">
        <v>527</v>
      </c>
      <c r="D31" s="26">
        <v>1215248292.22</v>
      </c>
      <c r="E31" s="24"/>
      <c r="F31" s="25">
        <f t="shared" si="0"/>
        <v>1215248292.22</v>
      </c>
      <c r="G31" s="2"/>
      <c r="H31" s="2"/>
      <c r="I31" s="2"/>
      <c r="J31" s="2"/>
      <c r="K31" s="2"/>
      <c r="L31" s="2"/>
      <c r="M31" s="2"/>
      <c r="N31" s="2"/>
      <c r="O31" s="2"/>
      <c r="P31" s="2"/>
      <c r="Q31" s="2"/>
    </row>
    <row r="32" spans="1:26" ht="25">
      <c r="A32" s="71" t="s">
        <v>90</v>
      </c>
      <c r="B32" s="72" t="s">
        <v>119</v>
      </c>
      <c r="C32" s="23" t="s">
        <v>528</v>
      </c>
      <c r="D32" s="26">
        <v>30524829.219999999</v>
      </c>
      <c r="E32" s="24"/>
      <c r="F32" s="25">
        <f t="shared" si="0"/>
        <v>30524829.219999999</v>
      </c>
      <c r="G32" s="2"/>
      <c r="H32" s="2"/>
      <c r="I32" s="2"/>
      <c r="J32" s="2"/>
      <c r="K32" s="2"/>
      <c r="L32" s="2"/>
      <c r="M32" s="2"/>
      <c r="N32" s="2"/>
      <c r="O32" s="2"/>
      <c r="P32" s="2"/>
      <c r="Q32" s="2"/>
    </row>
    <row r="33" spans="1:17" ht="13.5">
      <c r="A33" s="72" t="s">
        <v>91</v>
      </c>
      <c r="B33" s="72" t="s">
        <v>120</v>
      </c>
      <c r="C33" s="23" t="s">
        <v>538</v>
      </c>
      <c r="D33" s="26"/>
      <c r="E33" s="24">
        <v>31911613.670000002</v>
      </c>
      <c r="F33" s="25">
        <f t="shared" si="0"/>
        <v>31911613.670000002</v>
      </c>
      <c r="G33" s="2"/>
      <c r="H33" s="2"/>
      <c r="I33" s="2"/>
      <c r="J33" s="2"/>
      <c r="K33" s="2"/>
      <c r="L33" s="2"/>
      <c r="M33" s="2"/>
      <c r="N33" s="2"/>
      <c r="O33" s="2"/>
      <c r="P33" s="2"/>
      <c r="Q33" s="2"/>
    </row>
    <row r="34" spans="1:17" ht="13.5">
      <c r="A34" s="71" t="s">
        <v>92</v>
      </c>
      <c r="B34" s="72" t="s">
        <v>121</v>
      </c>
      <c r="C34" s="23" t="s">
        <v>537</v>
      </c>
      <c r="D34" s="304">
        <v>316130482.54000002</v>
      </c>
      <c r="E34" s="24"/>
      <c r="F34" s="25">
        <f t="shared" si="0"/>
        <v>316130482.54000002</v>
      </c>
      <c r="G34" s="2"/>
      <c r="H34" s="2"/>
      <c r="I34" s="2"/>
      <c r="J34" s="2"/>
      <c r="K34" s="2"/>
      <c r="L34" s="2"/>
      <c r="M34" s="2"/>
      <c r="N34" s="2"/>
      <c r="O34" s="2"/>
      <c r="P34" s="2"/>
      <c r="Q34" s="2"/>
    </row>
    <row r="35" spans="1:17" ht="25">
      <c r="A35" s="71" t="s">
        <v>93</v>
      </c>
      <c r="B35" s="72" t="s">
        <v>122</v>
      </c>
      <c r="C35" s="23" t="s">
        <v>532</v>
      </c>
      <c r="D35" s="304">
        <v>168319194</v>
      </c>
      <c r="E35" s="24"/>
      <c r="F35" s="25">
        <f t="shared" si="0"/>
        <v>168319194</v>
      </c>
      <c r="G35" s="2"/>
      <c r="H35" s="2"/>
      <c r="I35" s="2"/>
      <c r="J35" s="2"/>
      <c r="K35" s="2"/>
      <c r="L35" s="2"/>
      <c r="M35" s="2"/>
      <c r="N35" s="2"/>
      <c r="O35" s="2"/>
      <c r="P35" s="2"/>
      <c r="Q35" s="2"/>
    </row>
    <row r="36" spans="1:17" ht="13.5">
      <c r="A36" s="71" t="s">
        <v>94</v>
      </c>
      <c r="B36" s="72" t="s">
        <v>123</v>
      </c>
      <c r="C36" s="23" t="s">
        <v>536</v>
      </c>
      <c r="D36" s="26">
        <v>4382770.0999999996</v>
      </c>
      <c r="E36" s="24"/>
      <c r="F36" s="25">
        <f t="shared" si="0"/>
        <v>4382770.0999999996</v>
      </c>
      <c r="G36" s="2"/>
      <c r="H36" s="2"/>
      <c r="I36" s="2"/>
      <c r="J36" s="2"/>
      <c r="K36" s="2"/>
      <c r="L36" s="2"/>
      <c r="M36" s="2"/>
      <c r="N36" s="2"/>
      <c r="O36" s="2"/>
      <c r="P36" s="2"/>
      <c r="Q36" s="2"/>
    </row>
    <row r="37" spans="1:17" ht="25">
      <c r="A37" s="72" t="s">
        <v>95</v>
      </c>
      <c r="B37" s="72" t="s">
        <v>123</v>
      </c>
      <c r="C37" s="23" t="s">
        <v>536</v>
      </c>
      <c r="D37" s="26">
        <v>27611451.600000001</v>
      </c>
      <c r="E37" s="26"/>
      <c r="F37" s="25">
        <f t="shared" si="0"/>
        <v>27611451.600000001</v>
      </c>
      <c r="G37" s="2"/>
      <c r="H37" s="2"/>
      <c r="I37" s="2"/>
      <c r="J37" s="2"/>
      <c r="K37" s="2"/>
      <c r="L37" s="2"/>
      <c r="M37" s="2"/>
      <c r="N37" s="2"/>
      <c r="O37" s="2"/>
      <c r="P37" s="2"/>
      <c r="Q37" s="2"/>
    </row>
    <row r="38" spans="1:17" ht="25">
      <c r="A38" s="71" t="s">
        <v>96</v>
      </c>
      <c r="B38" s="72" t="s">
        <v>124</v>
      </c>
      <c r="C38" s="23" t="s">
        <v>534</v>
      </c>
      <c r="D38" s="26">
        <f>3234769398.09-E38</f>
        <v>646495049.46000004</v>
      </c>
      <c r="E38" s="26">
        <v>2588274348.6300001</v>
      </c>
      <c r="F38" s="25">
        <f t="shared" si="0"/>
        <v>3234769398.0900002</v>
      </c>
      <c r="G38" s="2"/>
      <c r="H38" s="2"/>
      <c r="I38" s="2"/>
      <c r="J38" s="2"/>
      <c r="K38" s="2"/>
      <c r="L38" s="2"/>
      <c r="M38" s="2"/>
      <c r="N38" s="2"/>
      <c r="O38" s="2"/>
      <c r="P38" s="2"/>
      <c r="Q38" s="2"/>
    </row>
    <row r="39" spans="1:17" ht="25">
      <c r="A39" s="71" t="s">
        <v>358</v>
      </c>
      <c r="B39" s="72" t="s">
        <v>725</v>
      </c>
      <c r="C39" s="23" t="s">
        <v>739</v>
      </c>
      <c r="D39" s="26">
        <v>20786746.620000001</v>
      </c>
      <c r="E39" s="26"/>
      <c r="F39" s="25">
        <f t="shared" si="0"/>
        <v>20786746.620000001</v>
      </c>
      <c r="G39" s="2"/>
      <c r="H39" s="2"/>
      <c r="I39" s="2"/>
      <c r="J39" s="2"/>
      <c r="K39" s="2"/>
      <c r="L39" s="2"/>
      <c r="M39" s="2"/>
      <c r="N39" s="2"/>
      <c r="O39" s="2"/>
      <c r="P39" s="2"/>
      <c r="Q39" s="2"/>
    </row>
    <row r="40" spans="1:17" ht="12.5">
      <c r="A40" s="71" t="s">
        <v>97</v>
      </c>
      <c r="B40" s="72" t="s">
        <v>125</v>
      </c>
      <c r="C40" s="23" t="s">
        <v>533</v>
      </c>
      <c r="D40" s="26">
        <f>11279369.91-E40</f>
        <v>8545782</v>
      </c>
      <c r="E40" s="26">
        <v>2733587.91</v>
      </c>
      <c r="F40" s="25">
        <f t="shared" si="0"/>
        <v>11279369.91</v>
      </c>
      <c r="G40" s="2"/>
      <c r="H40" s="2"/>
      <c r="I40" s="2"/>
      <c r="J40" s="2"/>
      <c r="K40" s="2"/>
      <c r="L40" s="2"/>
      <c r="M40" s="2"/>
      <c r="N40" s="2"/>
      <c r="O40" s="2"/>
      <c r="P40" s="2"/>
      <c r="Q40" s="2"/>
    </row>
    <row r="41" spans="1:17" ht="25">
      <c r="A41" s="71" t="s">
        <v>98</v>
      </c>
      <c r="B41" s="72" t="s">
        <v>126</v>
      </c>
      <c r="C41" s="23" t="s">
        <v>531</v>
      </c>
      <c r="D41" s="26">
        <v>-214610656.50999999</v>
      </c>
      <c r="E41" s="24">
        <v>214610656.50999999</v>
      </c>
      <c r="F41" s="25">
        <f t="shared" si="0"/>
        <v>0</v>
      </c>
      <c r="G41" s="2"/>
      <c r="H41" s="2"/>
      <c r="I41" s="2"/>
      <c r="J41" s="2"/>
      <c r="K41" s="2"/>
      <c r="L41" s="2"/>
      <c r="M41" s="2"/>
      <c r="N41" s="2"/>
      <c r="O41" s="2"/>
      <c r="P41" s="2"/>
      <c r="Q41" s="2"/>
    </row>
    <row r="42" spans="1:17" ht="37.5">
      <c r="A42" s="72" t="s">
        <v>99</v>
      </c>
      <c r="B42" s="72" t="s">
        <v>127</v>
      </c>
      <c r="C42" s="23" t="s">
        <v>526</v>
      </c>
      <c r="D42" s="26">
        <f>1153241321.1-E42</f>
        <v>1117015780.0799999</v>
      </c>
      <c r="E42" s="24">
        <v>36225541.019999981</v>
      </c>
      <c r="F42" s="25">
        <f t="shared" si="0"/>
        <v>1153241321.0999999</v>
      </c>
      <c r="G42" s="2"/>
      <c r="H42" s="2"/>
      <c r="I42" s="2"/>
      <c r="J42" s="2"/>
      <c r="K42" s="2"/>
      <c r="L42" s="2"/>
      <c r="M42" s="2"/>
      <c r="N42" s="2"/>
      <c r="O42" s="2"/>
      <c r="P42" s="2"/>
      <c r="Q42" s="2"/>
    </row>
    <row r="43" spans="1:17" ht="37.5">
      <c r="A43" s="71" t="s">
        <v>100</v>
      </c>
      <c r="B43" s="72" t="s">
        <v>127</v>
      </c>
      <c r="C43" s="23" t="s">
        <v>526</v>
      </c>
      <c r="D43" s="26">
        <f>2861357595.99-E43</f>
        <v>2597177364.3599997</v>
      </c>
      <c r="E43" s="26">
        <v>264180231.62999997</v>
      </c>
      <c r="F43" s="25">
        <f t="shared" si="0"/>
        <v>2861357595.9899998</v>
      </c>
      <c r="G43" s="2"/>
      <c r="H43" s="2"/>
      <c r="I43" s="2"/>
      <c r="J43" s="2"/>
      <c r="K43" s="2"/>
      <c r="L43" s="2"/>
      <c r="M43" s="2"/>
      <c r="N43" s="2"/>
      <c r="O43" s="2"/>
      <c r="P43" s="2"/>
      <c r="Q43" s="2"/>
    </row>
    <row r="44" spans="1:17" ht="37.5">
      <c r="A44" s="71" t="s">
        <v>101</v>
      </c>
      <c r="B44" s="72" t="s">
        <v>127</v>
      </c>
      <c r="C44" s="23" t="s">
        <v>526</v>
      </c>
      <c r="D44" s="26">
        <f>8273576128.61-E44</f>
        <v>3281186216.8500004</v>
      </c>
      <c r="E44" s="26">
        <v>4992389911.7599993</v>
      </c>
      <c r="F44" s="25">
        <f t="shared" si="0"/>
        <v>8273576128.6099997</v>
      </c>
      <c r="G44" s="2"/>
      <c r="H44" s="2"/>
      <c r="I44" s="2"/>
      <c r="J44" s="2"/>
      <c r="K44" s="2"/>
      <c r="L44" s="2"/>
      <c r="M44" s="2"/>
      <c r="N44" s="2"/>
      <c r="O44" s="2"/>
      <c r="P44" s="2"/>
      <c r="Q44" s="2"/>
    </row>
    <row r="45" spans="1:17" ht="37.5">
      <c r="A45" s="71" t="s">
        <v>102</v>
      </c>
      <c r="B45" s="72" t="s">
        <v>127</v>
      </c>
      <c r="C45" s="23" t="s">
        <v>526</v>
      </c>
      <c r="D45" s="26">
        <f>92441527.79-E45</f>
        <v>68672115.87000002</v>
      </c>
      <c r="E45" s="24">
        <v>23769411.919999987</v>
      </c>
      <c r="F45" s="25">
        <f t="shared" si="0"/>
        <v>92441527.790000007</v>
      </c>
      <c r="G45" s="2"/>
      <c r="H45" s="2"/>
      <c r="I45" s="2"/>
      <c r="J45" s="2"/>
      <c r="K45" s="2"/>
      <c r="L45" s="2"/>
      <c r="M45" s="2"/>
      <c r="N45" s="2"/>
      <c r="O45" s="2"/>
      <c r="P45" s="2"/>
      <c r="Q45" s="2"/>
    </row>
    <row r="46" spans="1:17" ht="37.5">
      <c r="A46" s="72" t="s">
        <v>103</v>
      </c>
      <c r="B46" s="72" t="s">
        <v>127</v>
      </c>
      <c r="C46" s="23" t="s">
        <v>526</v>
      </c>
      <c r="D46" s="26">
        <f>456009571.25-E46</f>
        <v>184767092.48000002</v>
      </c>
      <c r="E46" s="24">
        <v>271242478.76999998</v>
      </c>
      <c r="F46" s="25">
        <f t="shared" si="0"/>
        <v>456009571.25</v>
      </c>
      <c r="G46" s="2"/>
      <c r="H46" s="2"/>
      <c r="I46" s="2"/>
      <c r="J46" s="2"/>
      <c r="K46" s="2"/>
      <c r="L46" s="2"/>
      <c r="M46" s="2"/>
      <c r="N46" s="2"/>
      <c r="O46" s="2"/>
      <c r="P46" s="2"/>
      <c r="Q46" s="2"/>
    </row>
    <row r="47" spans="1:17" ht="37.5">
      <c r="A47" s="71" t="s">
        <v>104</v>
      </c>
      <c r="B47" s="72" t="s">
        <v>127</v>
      </c>
      <c r="C47" s="23" t="s">
        <v>526</v>
      </c>
      <c r="D47" s="26">
        <f>721075203.42-E47</f>
        <v>609430373.88999999</v>
      </c>
      <c r="E47" s="24">
        <v>111644829.53</v>
      </c>
      <c r="F47" s="25">
        <f t="shared" si="0"/>
        <v>721075203.41999996</v>
      </c>
      <c r="G47" s="2"/>
      <c r="H47" s="2"/>
      <c r="I47" s="2"/>
      <c r="J47" s="2"/>
      <c r="K47" s="2"/>
      <c r="L47" s="2"/>
      <c r="M47" s="2"/>
      <c r="N47" s="2"/>
      <c r="O47" s="2"/>
      <c r="P47" s="2"/>
      <c r="Q47" s="2"/>
    </row>
    <row r="48" spans="1:17" ht="37.5">
      <c r="A48" s="71" t="s">
        <v>105</v>
      </c>
      <c r="B48" s="72" t="s">
        <v>127</v>
      </c>
      <c r="C48" s="23" t="s">
        <v>526</v>
      </c>
      <c r="D48" s="26">
        <f>589879852.86-E48</f>
        <v>528275989.56</v>
      </c>
      <c r="E48" s="24">
        <v>61603863.300000012</v>
      </c>
      <c r="F48" s="25">
        <f t="shared" si="0"/>
        <v>589879852.86000001</v>
      </c>
      <c r="G48" s="2"/>
      <c r="H48" s="2"/>
      <c r="I48" s="2"/>
      <c r="J48" s="2"/>
      <c r="K48" s="2"/>
      <c r="L48" s="2"/>
      <c r="M48" s="2"/>
      <c r="N48" s="2"/>
      <c r="O48" s="2"/>
      <c r="P48" s="2"/>
      <c r="Q48" s="2"/>
    </row>
    <row r="49" spans="1:17" ht="37.5">
      <c r="A49" s="71" t="s">
        <v>726</v>
      </c>
      <c r="B49" s="72" t="s">
        <v>127</v>
      </c>
      <c r="C49" s="23" t="s">
        <v>526</v>
      </c>
      <c r="D49" s="26">
        <v>119799878.03</v>
      </c>
      <c r="E49" s="24"/>
      <c r="F49" s="25">
        <f t="shared" si="0"/>
        <v>119799878.03</v>
      </c>
      <c r="G49" s="2"/>
      <c r="H49" s="2"/>
      <c r="I49" s="2"/>
      <c r="J49" s="2"/>
      <c r="K49" s="2"/>
      <c r="L49" s="2"/>
      <c r="M49" s="2"/>
      <c r="N49" s="2"/>
      <c r="O49" s="2"/>
      <c r="P49" s="2"/>
      <c r="Q49" s="2"/>
    </row>
    <row r="50" spans="1:17" ht="13.5">
      <c r="A50" s="71" t="s">
        <v>106</v>
      </c>
      <c r="B50" s="72" t="s">
        <v>128</v>
      </c>
      <c r="C50" s="23" t="s">
        <v>527</v>
      </c>
      <c r="D50" s="24"/>
      <c r="E50" s="24">
        <v>113405275.43000001</v>
      </c>
      <c r="F50" s="25">
        <f t="shared" si="0"/>
        <v>113405275.43000001</v>
      </c>
      <c r="G50" s="2"/>
      <c r="H50" s="2"/>
      <c r="I50" s="2"/>
      <c r="J50" s="2"/>
      <c r="K50" s="2"/>
      <c r="L50" s="2"/>
      <c r="M50" s="2"/>
      <c r="N50" s="2"/>
      <c r="O50" s="2"/>
      <c r="P50" s="2"/>
      <c r="Q50" s="2"/>
    </row>
    <row r="51" spans="1:17" ht="13.5">
      <c r="A51" s="72" t="s">
        <v>107</v>
      </c>
      <c r="B51" s="72" t="s">
        <v>129</v>
      </c>
      <c r="C51" s="23"/>
      <c r="D51" s="26"/>
      <c r="E51" s="24">
        <v>131000</v>
      </c>
      <c r="F51" s="25">
        <f t="shared" si="0"/>
        <v>131000</v>
      </c>
      <c r="G51" s="2"/>
      <c r="H51" s="2"/>
      <c r="I51" s="2"/>
      <c r="J51" s="2"/>
      <c r="K51" s="2"/>
      <c r="L51" s="2"/>
      <c r="M51" s="2"/>
      <c r="N51" s="2"/>
      <c r="O51" s="2"/>
      <c r="P51" s="2"/>
      <c r="Q51" s="2"/>
    </row>
    <row r="52" spans="1:17" ht="13.5">
      <c r="A52" s="71" t="s">
        <v>108</v>
      </c>
      <c r="B52" s="72" t="s">
        <v>130</v>
      </c>
      <c r="C52" s="23" t="s">
        <v>540</v>
      </c>
      <c r="D52" s="24"/>
      <c r="E52" s="24">
        <v>44.03</v>
      </c>
      <c r="F52" s="25">
        <f t="shared" si="0"/>
        <v>44.03</v>
      </c>
      <c r="G52" s="2"/>
      <c r="H52" s="2"/>
      <c r="I52" s="2"/>
      <c r="J52" s="2"/>
      <c r="K52" s="2"/>
      <c r="L52" s="2"/>
      <c r="M52" s="2"/>
      <c r="N52" s="2"/>
      <c r="O52" s="2"/>
      <c r="P52" s="2"/>
      <c r="Q52" s="2"/>
    </row>
    <row r="53" spans="1:17" ht="13.5">
      <c r="A53" s="71" t="s">
        <v>109</v>
      </c>
      <c r="B53" s="72"/>
      <c r="C53" s="23"/>
      <c r="D53" s="304">
        <v>205447159.77000001</v>
      </c>
      <c r="E53" s="24">
        <v>86703253.769999996</v>
      </c>
      <c r="F53" s="25">
        <f t="shared" si="0"/>
        <v>292150413.54000002</v>
      </c>
      <c r="G53" s="2"/>
      <c r="H53" s="2"/>
      <c r="I53" s="2"/>
      <c r="J53" s="2"/>
      <c r="K53" s="2"/>
      <c r="L53" s="2"/>
      <c r="M53" s="2"/>
      <c r="N53" s="2"/>
      <c r="O53" s="2"/>
      <c r="P53" s="2"/>
      <c r="Q53" s="2"/>
    </row>
    <row r="54" spans="1:17" ht="13.5">
      <c r="A54" s="71" t="s">
        <v>135</v>
      </c>
      <c r="B54" s="72" t="s">
        <v>131</v>
      </c>
      <c r="C54" s="23"/>
      <c r="D54" s="24"/>
      <c r="E54" s="24">
        <v>4605361.1399999997</v>
      </c>
      <c r="F54" s="25">
        <f t="shared" si="0"/>
        <v>4605361.1399999997</v>
      </c>
      <c r="G54" s="2"/>
      <c r="H54" s="2"/>
      <c r="I54" s="2"/>
      <c r="J54" s="2"/>
      <c r="K54" s="2"/>
      <c r="L54" s="2"/>
      <c r="M54" s="2"/>
      <c r="N54" s="2"/>
      <c r="O54" s="2"/>
      <c r="P54" s="2"/>
      <c r="Q54" s="2"/>
    </row>
    <row r="55" spans="1:17" ht="13.5">
      <c r="A55" s="72" t="s">
        <v>136</v>
      </c>
      <c r="B55" s="72" t="s">
        <v>132</v>
      </c>
      <c r="C55" s="23"/>
      <c r="D55" s="26"/>
      <c r="E55" s="24">
        <v>59162684.229999997</v>
      </c>
      <c r="F55" s="25">
        <f t="shared" si="0"/>
        <v>59162684.229999997</v>
      </c>
      <c r="G55" s="2"/>
      <c r="H55" s="2"/>
      <c r="I55" s="2"/>
      <c r="J55" s="2"/>
      <c r="K55" s="2"/>
      <c r="L55" s="2"/>
      <c r="M55" s="2"/>
      <c r="N55" s="2"/>
      <c r="O55" s="2"/>
      <c r="P55" s="2"/>
      <c r="Q55" s="2"/>
    </row>
    <row r="56" spans="1:17" ht="13.5">
      <c r="A56" s="72" t="s">
        <v>137</v>
      </c>
      <c r="B56" s="72" t="s">
        <v>133</v>
      </c>
      <c r="C56" s="23" t="s">
        <v>527</v>
      </c>
      <c r="D56" s="26"/>
      <c r="E56" s="24">
        <v>11224944.119999999</v>
      </c>
      <c r="F56" s="25">
        <f t="shared" si="0"/>
        <v>11224944.119999999</v>
      </c>
      <c r="G56" s="2"/>
      <c r="H56" s="2"/>
      <c r="I56" s="2"/>
      <c r="J56" s="2"/>
      <c r="K56" s="2"/>
      <c r="L56" s="2"/>
      <c r="M56" s="2"/>
      <c r="N56" s="2"/>
      <c r="O56" s="2"/>
      <c r="P56" s="2"/>
      <c r="Q56" s="2"/>
    </row>
    <row r="57" spans="1:17" ht="13.5">
      <c r="A57" s="71" t="s">
        <v>110</v>
      </c>
      <c r="B57" s="72" t="s">
        <v>134</v>
      </c>
      <c r="C57" s="23"/>
      <c r="D57" s="24"/>
      <c r="E57" s="24">
        <v>28313129.969999999</v>
      </c>
      <c r="F57" s="25">
        <f t="shared" si="0"/>
        <v>28313129.969999999</v>
      </c>
      <c r="G57" s="2"/>
      <c r="H57" s="2"/>
      <c r="I57" s="2"/>
      <c r="J57" s="2"/>
      <c r="K57" s="2"/>
      <c r="L57" s="2"/>
      <c r="M57" s="2"/>
      <c r="N57" s="2"/>
      <c r="O57" s="2"/>
      <c r="P57" s="2"/>
      <c r="Q57" s="2"/>
    </row>
    <row r="58" spans="1:17" ht="13.5">
      <c r="A58" s="71" t="s">
        <v>112</v>
      </c>
      <c r="B58" s="72" t="s">
        <v>134</v>
      </c>
      <c r="C58" s="23"/>
      <c r="D58" s="24"/>
      <c r="E58" s="24">
        <v>1199999999.9970002</v>
      </c>
      <c r="F58" s="25">
        <f t="shared" si="0"/>
        <v>1199999999.9970002</v>
      </c>
      <c r="G58" s="2"/>
      <c r="H58" s="2"/>
      <c r="I58" s="2"/>
      <c r="J58" s="2"/>
      <c r="K58" s="2"/>
      <c r="L58" s="2"/>
      <c r="M58" s="2"/>
      <c r="N58" s="2"/>
      <c r="O58" s="2"/>
      <c r="P58" s="2"/>
      <c r="Q58" s="2"/>
    </row>
    <row r="59" spans="1:17" ht="37.5">
      <c r="A59" s="72" t="s">
        <v>113</v>
      </c>
      <c r="B59" s="72" t="s">
        <v>529</v>
      </c>
      <c r="C59" s="72" t="s">
        <v>530</v>
      </c>
      <c r="D59" s="305">
        <f>798960119.01-E59</f>
        <v>486085385.63</v>
      </c>
      <c r="E59" s="24">
        <v>312874733.38</v>
      </c>
      <c r="F59" s="25">
        <f t="shared" si="0"/>
        <v>798960119.00999999</v>
      </c>
      <c r="G59" s="2"/>
      <c r="H59" s="2"/>
      <c r="I59" s="2"/>
      <c r="J59" s="2"/>
      <c r="K59" s="2"/>
      <c r="L59" s="2"/>
      <c r="M59" s="2"/>
      <c r="N59" s="2"/>
      <c r="O59" s="2"/>
      <c r="P59" s="2"/>
      <c r="Q59" s="2"/>
    </row>
    <row r="60" spans="1:17" ht="14">
      <c r="A60" s="73" t="s">
        <v>19</v>
      </c>
      <c r="B60" s="74"/>
      <c r="C60" s="27"/>
      <c r="D60" s="28">
        <f>SUM(D28:D59)</f>
        <v>11481962466.34</v>
      </c>
      <c r="E60" s="28">
        <f>SUM(E28:E59)</f>
        <v>10415137840.716999</v>
      </c>
      <c r="F60" s="29">
        <f>SUM(F28:F59)</f>
        <v>21897100307.056995</v>
      </c>
      <c r="G60" s="2"/>
      <c r="H60" s="2"/>
      <c r="I60" s="2"/>
      <c r="J60" s="2"/>
      <c r="K60" s="2"/>
      <c r="L60" s="2"/>
      <c r="M60" s="2"/>
      <c r="N60" s="2"/>
      <c r="O60" s="2"/>
      <c r="P60" s="2"/>
      <c r="Q60" s="2"/>
    </row>
    <row r="61" spans="1:17" ht="14">
      <c r="A61" s="18" t="s">
        <v>20</v>
      </c>
      <c r="B61" s="2"/>
      <c r="C61" s="2"/>
      <c r="D61" s="9"/>
      <c r="E61" s="2"/>
      <c r="F61" s="2"/>
      <c r="G61" s="2"/>
      <c r="H61" s="2"/>
      <c r="I61" s="2"/>
      <c r="J61" s="2"/>
      <c r="K61" s="2"/>
      <c r="L61" s="2"/>
      <c r="M61" s="2"/>
      <c r="N61" s="2"/>
      <c r="O61" s="2"/>
      <c r="P61" s="2"/>
      <c r="Q61" s="2"/>
    </row>
    <row r="62" spans="1:17" ht="14">
      <c r="A62" s="30"/>
      <c r="B62" s="19"/>
      <c r="C62" s="19"/>
      <c r="D62" s="9"/>
      <c r="E62" s="5">
        <f>+E60-'3_Detalle Origen y Aplicación'!N992</f>
        <v>0</v>
      </c>
      <c r="F62" s="70"/>
      <c r="G62" s="8"/>
      <c r="H62" s="2"/>
      <c r="I62" s="2"/>
      <c r="J62" s="2"/>
      <c r="K62" s="2"/>
      <c r="L62" s="2"/>
      <c r="M62" s="2"/>
      <c r="N62" s="2"/>
      <c r="O62" s="2"/>
      <c r="P62" s="2"/>
      <c r="Q62" s="2"/>
    </row>
    <row r="63" spans="1:17" ht="70">
      <c r="A63" s="20" t="s">
        <v>18</v>
      </c>
      <c r="B63" s="21" t="s">
        <v>21</v>
      </c>
      <c r="C63" s="22" t="s">
        <v>22</v>
      </c>
      <c r="D63" s="2"/>
      <c r="E63" s="70"/>
      <c r="F63" s="2"/>
      <c r="G63" s="2"/>
      <c r="H63" s="2"/>
      <c r="I63" s="2"/>
      <c r="J63" s="2"/>
      <c r="K63" s="2"/>
      <c r="L63" s="2"/>
      <c r="M63" s="2"/>
      <c r="N63" s="2"/>
      <c r="O63" s="2"/>
      <c r="P63" s="2"/>
      <c r="Q63" s="2"/>
    </row>
    <row r="64" spans="1:17" ht="14">
      <c r="A64" s="31">
        <f>D21</f>
        <v>11149938686.429996</v>
      </c>
      <c r="B64" s="32">
        <v>16078920099.540022</v>
      </c>
      <c r="C64" s="33">
        <f>SUM(A64+B64)</f>
        <v>27228858785.970016</v>
      </c>
      <c r="D64" s="70">
        <f>+C64+F60</f>
        <v>49125959093.027008</v>
      </c>
      <c r="E64" s="2"/>
      <c r="F64" s="2"/>
      <c r="G64" s="2"/>
      <c r="H64" s="2"/>
      <c r="I64" s="2"/>
      <c r="J64" s="2"/>
      <c r="K64" s="2"/>
      <c r="L64" s="2"/>
      <c r="M64" s="2"/>
      <c r="N64" s="2"/>
      <c r="O64" s="2"/>
      <c r="P64" s="2"/>
      <c r="Q64" s="2"/>
    </row>
    <row r="65" spans="1:17" ht="12.5">
      <c r="A65" s="2"/>
      <c r="B65" s="2"/>
      <c r="C65" s="5">
        <f>+C64-'3_Detalle Origen y Aplicación'!N1021</f>
        <v>1.6620635986328125E-2</v>
      </c>
      <c r="D65" s="70"/>
      <c r="E65" s="2"/>
      <c r="F65" s="2"/>
      <c r="G65" s="2"/>
      <c r="H65" s="2"/>
      <c r="I65" s="2"/>
      <c r="J65" s="2"/>
      <c r="K65" s="2"/>
      <c r="L65" s="2"/>
      <c r="M65" s="2"/>
      <c r="N65" s="2"/>
      <c r="O65" s="2"/>
      <c r="P65" s="2"/>
      <c r="Q65" s="2"/>
    </row>
    <row r="66" spans="1:17" ht="12.5">
      <c r="A66" s="8"/>
      <c r="B66" s="5"/>
      <c r="C66" s="2"/>
      <c r="D66" s="2"/>
      <c r="E66" s="2"/>
      <c r="F66" s="70"/>
      <c r="G66" s="2"/>
      <c r="H66" s="2"/>
      <c r="I66" s="2"/>
      <c r="J66" s="2"/>
      <c r="K66" s="2"/>
      <c r="L66" s="2"/>
      <c r="M66" s="2"/>
      <c r="N66" s="2"/>
      <c r="O66" s="2"/>
      <c r="P66" s="2"/>
      <c r="Q66" s="2"/>
    </row>
    <row r="67" spans="1:17" ht="12.5">
      <c r="A67" s="2"/>
      <c r="B67" s="5"/>
      <c r="C67" s="2"/>
      <c r="D67" s="2"/>
      <c r="E67" s="2"/>
      <c r="F67" s="2"/>
      <c r="G67" s="2"/>
      <c r="H67" s="2"/>
      <c r="I67" s="2"/>
      <c r="J67" s="2"/>
      <c r="K67" s="2"/>
      <c r="L67" s="2"/>
      <c r="M67" s="2"/>
      <c r="N67" s="2"/>
      <c r="O67" s="2"/>
      <c r="P67" s="2"/>
      <c r="Q67" s="2"/>
    </row>
    <row r="68" spans="1:17" ht="14">
      <c r="A68" s="34" t="s">
        <v>114</v>
      </c>
      <c r="B68" s="2"/>
      <c r="C68" s="2"/>
      <c r="D68" s="2"/>
      <c r="E68" s="2"/>
      <c r="F68" s="2"/>
      <c r="G68" s="2"/>
      <c r="H68" s="2"/>
      <c r="I68" s="2"/>
      <c r="J68" s="2"/>
      <c r="K68" s="2"/>
      <c r="L68" s="2"/>
      <c r="M68" s="2"/>
      <c r="N68" s="2"/>
      <c r="O68" s="2"/>
      <c r="P68" s="2"/>
      <c r="Q68" s="2"/>
    </row>
    <row r="69" spans="1:17" ht="12.5">
      <c r="A69" s="19"/>
      <c r="B69" s="2"/>
      <c r="C69" s="2"/>
      <c r="D69" s="19"/>
      <c r="E69" s="2"/>
      <c r="F69" s="2"/>
      <c r="G69" s="2"/>
      <c r="H69" s="2"/>
      <c r="I69" s="2"/>
      <c r="J69" s="2"/>
      <c r="K69" s="2"/>
      <c r="L69" s="2"/>
      <c r="M69" s="2"/>
      <c r="N69" s="2"/>
      <c r="O69" s="2"/>
      <c r="P69" s="2"/>
      <c r="Q69" s="2"/>
    </row>
    <row r="70" spans="1:17" ht="14">
      <c r="A70" s="34" t="s">
        <v>23</v>
      </c>
      <c r="B70" s="2"/>
      <c r="C70" s="2"/>
      <c r="D70" s="35" t="s">
        <v>24</v>
      </c>
      <c r="E70" s="2"/>
      <c r="F70" s="2"/>
      <c r="G70" s="2"/>
      <c r="H70" s="2"/>
      <c r="I70" s="2"/>
      <c r="J70" s="2"/>
      <c r="K70" s="2"/>
      <c r="L70" s="2"/>
      <c r="M70" s="2"/>
      <c r="N70" s="2"/>
      <c r="O70" s="2"/>
      <c r="P70" s="2"/>
      <c r="Q70" s="2"/>
    </row>
    <row r="71" spans="1:17" ht="12.5">
      <c r="A71" s="2"/>
      <c r="B71" s="2"/>
      <c r="C71" s="2"/>
      <c r="D71" s="2"/>
      <c r="E71" s="2"/>
      <c r="F71" s="2"/>
      <c r="G71" s="2"/>
      <c r="H71" s="2"/>
      <c r="I71" s="2"/>
      <c r="J71" s="2"/>
      <c r="K71" s="2"/>
      <c r="L71" s="2"/>
      <c r="M71" s="2"/>
      <c r="N71" s="2"/>
      <c r="O71" s="2"/>
      <c r="P71" s="2"/>
      <c r="Q71" s="2"/>
    </row>
    <row r="72" spans="1:17" ht="12.5">
      <c r="A72" s="2"/>
      <c r="B72" s="2"/>
      <c r="C72" s="2"/>
      <c r="D72" s="2"/>
      <c r="E72" s="2"/>
      <c r="F72" s="2"/>
      <c r="G72" s="2"/>
      <c r="H72" s="2"/>
      <c r="I72" s="2"/>
      <c r="J72" s="2"/>
      <c r="K72" s="2"/>
      <c r="L72" s="2"/>
      <c r="M72" s="2"/>
      <c r="N72" s="2"/>
      <c r="O72" s="2"/>
      <c r="P72" s="2"/>
      <c r="Q72" s="2"/>
    </row>
    <row r="73" spans="1:17" ht="12.5">
      <c r="A73" s="2"/>
      <c r="B73" s="2"/>
      <c r="C73" s="2"/>
      <c r="D73" s="2"/>
      <c r="E73" s="2"/>
      <c r="F73" s="2"/>
      <c r="G73" s="2"/>
      <c r="H73" s="2"/>
      <c r="I73" s="2"/>
      <c r="J73" s="2"/>
      <c r="K73" s="2"/>
      <c r="L73" s="2"/>
      <c r="M73" s="2"/>
      <c r="N73" s="2"/>
      <c r="O73" s="2"/>
      <c r="P73" s="2"/>
      <c r="Q73" s="2"/>
    </row>
    <row r="74" spans="1:17" ht="14">
      <c r="A74" s="34" t="s">
        <v>542</v>
      </c>
      <c r="B74" s="2"/>
      <c r="C74" s="2"/>
      <c r="D74" s="19"/>
      <c r="E74" s="2"/>
      <c r="F74" s="2"/>
      <c r="G74" s="2"/>
      <c r="H74" s="2"/>
      <c r="I74" s="2"/>
      <c r="J74" s="2"/>
      <c r="K74" s="2"/>
      <c r="L74" s="2"/>
      <c r="M74" s="2"/>
      <c r="N74" s="2"/>
      <c r="O74" s="2"/>
      <c r="P74" s="2"/>
      <c r="Q74" s="2"/>
    </row>
    <row r="75" spans="1:17" ht="14">
      <c r="A75" s="34" t="s">
        <v>25</v>
      </c>
      <c r="B75" s="2"/>
      <c r="C75" s="2"/>
      <c r="D75" s="34" t="s">
        <v>24</v>
      </c>
      <c r="E75" s="2"/>
      <c r="F75" s="2"/>
      <c r="G75" s="2"/>
      <c r="H75" s="2"/>
      <c r="I75" s="2"/>
      <c r="J75" s="2"/>
      <c r="K75" s="2"/>
      <c r="L75" s="2"/>
      <c r="M75" s="2"/>
      <c r="N75" s="2"/>
      <c r="O75" s="2"/>
      <c r="P75" s="2"/>
      <c r="Q75" s="2"/>
    </row>
    <row r="76" spans="1:17" ht="14">
      <c r="A76" s="34" t="s">
        <v>26</v>
      </c>
      <c r="B76" s="2"/>
      <c r="C76" s="2"/>
      <c r="D76" s="2"/>
      <c r="E76" s="2"/>
      <c r="F76" s="2"/>
      <c r="G76" s="2"/>
      <c r="H76" s="2"/>
      <c r="I76" s="2"/>
      <c r="J76" s="2"/>
      <c r="K76" s="2"/>
      <c r="L76" s="2"/>
      <c r="M76" s="2"/>
      <c r="N76" s="2"/>
      <c r="O76" s="2"/>
      <c r="P76" s="2"/>
      <c r="Q76" s="2"/>
    </row>
    <row r="77" spans="1:17" ht="12.5">
      <c r="A77" s="2"/>
      <c r="B77" s="2"/>
      <c r="C77" s="2"/>
      <c r="D77" s="2"/>
      <c r="E77" s="2"/>
      <c r="F77" s="2"/>
      <c r="G77" s="2"/>
      <c r="H77" s="2"/>
      <c r="I77" s="2"/>
      <c r="J77" s="2"/>
      <c r="K77" s="2"/>
      <c r="L77" s="2"/>
      <c r="M77" s="2"/>
      <c r="N77" s="2"/>
      <c r="O77" s="2"/>
      <c r="P77" s="2"/>
      <c r="Q77" s="2"/>
    </row>
    <row r="78" spans="1:17" ht="13">
      <c r="A78" s="4" t="s">
        <v>28</v>
      </c>
      <c r="B78" s="2"/>
      <c r="C78" s="2"/>
      <c r="D78" s="2"/>
      <c r="E78" s="2"/>
      <c r="F78" s="2"/>
      <c r="G78" s="2"/>
      <c r="H78" s="2"/>
      <c r="I78" s="2"/>
      <c r="J78" s="2"/>
      <c r="K78" s="2"/>
      <c r="L78" s="2"/>
      <c r="M78" s="2"/>
      <c r="N78" s="2"/>
      <c r="O78" s="2"/>
      <c r="P78" s="2"/>
      <c r="Q78" s="2"/>
    </row>
    <row r="79" spans="1:17" ht="12.5">
      <c r="A79" s="2"/>
      <c r="B79" s="2"/>
      <c r="C79" s="2"/>
      <c r="D79" s="2"/>
      <c r="E79" s="2"/>
      <c r="F79" s="2"/>
      <c r="G79" s="2"/>
      <c r="H79" s="2"/>
      <c r="I79" s="2"/>
      <c r="J79" s="2"/>
      <c r="K79" s="2"/>
      <c r="L79" s="2"/>
      <c r="M79" s="2"/>
      <c r="N79" s="2"/>
      <c r="O79" s="2"/>
      <c r="P79" s="2"/>
      <c r="Q79" s="2"/>
    </row>
    <row r="80" spans="1:17" ht="12.5">
      <c r="A80" s="2"/>
      <c r="B80" s="2"/>
      <c r="C80" s="2"/>
      <c r="D80" s="2"/>
      <c r="E80" s="2"/>
      <c r="F80" s="2"/>
      <c r="G80" s="2"/>
      <c r="H80" s="2"/>
      <c r="I80" s="2"/>
      <c r="J80" s="2"/>
      <c r="K80" s="2"/>
      <c r="L80" s="2"/>
      <c r="M80" s="2"/>
      <c r="N80" s="2"/>
      <c r="O80" s="2"/>
      <c r="P80" s="2"/>
      <c r="Q80" s="2"/>
    </row>
    <row r="81" spans="1:17" ht="12.5">
      <c r="A81" s="2"/>
      <c r="B81" s="2"/>
      <c r="C81" s="2"/>
      <c r="D81" s="2"/>
      <c r="E81" s="2"/>
      <c r="F81" s="2"/>
      <c r="G81" s="2"/>
      <c r="H81" s="2"/>
      <c r="I81" s="2"/>
      <c r="J81" s="2"/>
      <c r="K81" s="2"/>
      <c r="L81" s="2"/>
      <c r="M81" s="2"/>
      <c r="N81" s="2"/>
      <c r="O81" s="2"/>
      <c r="P81" s="2"/>
      <c r="Q81" s="2"/>
    </row>
    <row r="82" spans="1:17" ht="12.5">
      <c r="A82" s="2"/>
      <c r="B82" s="2"/>
      <c r="C82" s="2"/>
      <c r="D82" s="2"/>
      <c r="E82" s="2"/>
      <c r="F82" s="2"/>
      <c r="G82" s="2"/>
      <c r="H82" s="2"/>
      <c r="I82" s="2"/>
      <c r="J82" s="2"/>
      <c r="K82" s="2"/>
      <c r="L82" s="2"/>
      <c r="M82" s="2"/>
      <c r="N82" s="2"/>
      <c r="O82" s="2"/>
      <c r="P82" s="2"/>
      <c r="Q82" s="2"/>
    </row>
    <row r="83" spans="1:17" ht="12.5">
      <c r="A83" s="2"/>
      <c r="B83" s="2"/>
      <c r="C83" s="2"/>
      <c r="D83" s="2"/>
      <c r="E83" s="2"/>
      <c r="F83" s="2"/>
      <c r="G83" s="2"/>
      <c r="H83" s="2"/>
      <c r="I83" s="2"/>
      <c r="J83" s="2"/>
      <c r="K83" s="2"/>
      <c r="L83" s="2"/>
      <c r="M83" s="2"/>
      <c r="N83" s="2"/>
      <c r="O83" s="2"/>
      <c r="P83" s="2"/>
      <c r="Q83" s="2"/>
    </row>
    <row r="84" spans="1:17" ht="12.5">
      <c r="A84" s="2"/>
      <c r="B84" s="2"/>
      <c r="C84" s="2"/>
      <c r="D84" s="2"/>
      <c r="E84" s="2"/>
      <c r="F84" s="2"/>
      <c r="G84" s="2"/>
      <c r="H84" s="2"/>
      <c r="I84" s="2"/>
      <c r="J84" s="2"/>
      <c r="K84" s="2"/>
      <c r="L84" s="2"/>
      <c r="M84" s="2"/>
      <c r="N84" s="2"/>
      <c r="O84" s="2"/>
      <c r="P84" s="2"/>
      <c r="Q84" s="2"/>
    </row>
    <row r="85" spans="1:17" ht="12.5">
      <c r="A85" s="2"/>
      <c r="B85" s="2"/>
      <c r="C85" s="2"/>
      <c r="D85" s="2"/>
      <c r="E85" s="2"/>
      <c r="F85" s="2"/>
      <c r="G85" s="2"/>
      <c r="H85" s="2"/>
      <c r="I85" s="2"/>
      <c r="J85" s="2"/>
      <c r="K85" s="2"/>
      <c r="L85" s="2"/>
      <c r="M85" s="2"/>
      <c r="N85" s="2"/>
      <c r="O85" s="2"/>
      <c r="P85" s="2"/>
      <c r="Q85" s="2"/>
    </row>
    <row r="86" spans="1:17" ht="12.5">
      <c r="A86" s="2"/>
      <c r="B86" s="2"/>
      <c r="C86" s="2"/>
      <c r="D86" s="2"/>
      <c r="E86" s="2"/>
      <c r="F86" s="2"/>
      <c r="G86" s="2"/>
      <c r="H86" s="2"/>
      <c r="I86" s="2"/>
      <c r="J86" s="2"/>
      <c r="K86" s="2"/>
      <c r="L86" s="2"/>
      <c r="M86" s="2"/>
      <c r="N86" s="2"/>
      <c r="O86" s="2"/>
      <c r="P86" s="2"/>
      <c r="Q86" s="2"/>
    </row>
    <row r="87" spans="1:17" ht="12.5">
      <c r="A87" s="2"/>
      <c r="B87" s="2"/>
      <c r="C87" s="2"/>
      <c r="D87" s="2"/>
      <c r="E87" s="2"/>
      <c r="F87" s="2"/>
      <c r="G87" s="2"/>
      <c r="H87" s="2"/>
      <c r="I87" s="2"/>
      <c r="J87" s="2"/>
      <c r="K87" s="2"/>
      <c r="L87" s="2"/>
      <c r="M87" s="2"/>
      <c r="N87" s="2"/>
      <c r="O87" s="2"/>
      <c r="P87" s="2"/>
      <c r="Q87" s="2"/>
    </row>
    <row r="88" spans="1:17" ht="12.5">
      <c r="A88" s="2"/>
      <c r="B88" s="2"/>
      <c r="C88" s="2"/>
      <c r="D88" s="2"/>
      <c r="E88" s="2"/>
      <c r="F88" s="2"/>
      <c r="G88" s="2"/>
      <c r="H88" s="2"/>
      <c r="I88" s="2"/>
      <c r="J88" s="2"/>
      <c r="K88" s="2"/>
      <c r="L88" s="2"/>
      <c r="M88" s="2"/>
      <c r="N88" s="2"/>
      <c r="O88" s="2"/>
      <c r="P88" s="2"/>
      <c r="Q88" s="2"/>
    </row>
    <row r="89" spans="1:17" ht="12.5">
      <c r="A89" s="2"/>
      <c r="B89" s="2"/>
      <c r="C89" s="2"/>
      <c r="D89" s="2"/>
      <c r="E89" s="2"/>
      <c r="F89" s="2"/>
      <c r="G89" s="2"/>
      <c r="H89" s="2"/>
      <c r="I89" s="2"/>
      <c r="J89" s="2"/>
      <c r="K89" s="2"/>
      <c r="L89" s="2"/>
      <c r="M89" s="2"/>
      <c r="N89" s="2"/>
      <c r="O89" s="2"/>
      <c r="P89" s="2"/>
      <c r="Q89" s="2"/>
    </row>
    <row r="90" spans="1:17" ht="12.5">
      <c r="A90" s="2"/>
      <c r="B90" s="2"/>
      <c r="C90" s="2"/>
      <c r="D90" s="2"/>
      <c r="E90" s="2"/>
      <c r="F90" s="2"/>
      <c r="G90" s="2"/>
      <c r="H90" s="2"/>
      <c r="I90" s="2"/>
      <c r="J90" s="2"/>
      <c r="K90" s="2"/>
      <c r="L90" s="2"/>
      <c r="M90" s="2"/>
      <c r="N90" s="2"/>
      <c r="O90" s="2"/>
      <c r="P90" s="2"/>
      <c r="Q90" s="2"/>
    </row>
    <row r="91" spans="1:17" ht="12.5">
      <c r="A91" s="2"/>
      <c r="B91" s="2"/>
      <c r="C91" s="2"/>
      <c r="D91" s="2"/>
      <c r="E91" s="2"/>
      <c r="F91" s="2"/>
      <c r="G91" s="2"/>
      <c r="H91" s="2"/>
      <c r="I91" s="2"/>
      <c r="J91" s="2"/>
      <c r="K91" s="2"/>
      <c r="L91" s="2"/>
      <c r="M91" s="2"/>
      <c r="N91" s="2"/>
      <c r="O91" s="2"/>
      <c r="P91" s="2"/>
      <c r="Q91" s="2"/>
    </row>
    <row r="92" spans="1:17" ht="12.5">
      <c r="A92" s="2"/>
      <c r="B92" s="2"/>
      <c r="C92" s="2"/>
      <c r="D92" s="2"/>
      <c r="E92" s="2"/>
      <c r="F92" s="2"/>
      <c r="G92" s="2"/>
      <c r="H92" s="2"/>
      <c r="I92" s="2"/>
      <c r="J92" s="2"/>
      <c r="K92" s="2"/>
      <c r="L92" s="2"/>
      <c r="M92" s="2"/>
      <c r="N92" s="2"/>
      <c r="O92" s="2"/>
      <c r="P92" s="2"/>
      <c r="Q92" s="2"/>
    </row>
    <row r="93" spans="1:17" ht="12.5">
      <c r="A93" s="2"/>
      <c r="B93" s="2"/>
      <c r="C93" s="2"/>
      <c r="D93" s="2"/>
      <c r="E93" s="2"/>
      <c r="F93" s="2"/>
      <c r="G93" s="2"/>
      <c r="H93" s="2"/>
      <c r="I93" s="2"/>
      <c r="J93" s="2"/>
      <c r="K93" s="2"/>
      <c r="L93" s="2"/>
      <c r="M93" s="2"/>
      <c r="N93" s="2"/>
      <c r="O93" s="2"/>
      <c r="P93" s="2"/>
      <c r="Q93" s="2"/>
    </row>
    <row r="94" spans="1:17" ht="12.5">
      <c r="A94" s="2"/>
      <c r="B94" s="2"/>
      <c r="C94" s="2"/>
      <c r="D94" s="2"/>
      <c r="E94" s="2"/>
      <c r="F94" s="2"/>
      <c r="G94" s="2"/>
      <c r="H94" s="2"/>
      <c r="I94" s="2"/>
      <c r="J94" s="2"/>
      <c r="K94" s="2"/>
      <c r="L94" s="2"/>
      <c r="M94" s="2"/>
      <c r="N94" s="2"/>
      <c r="O94" s="2"/>
      <c r="P94" s="2"/>
      <c r="Q94" s="2"/>
    </row>
    <row r="95" spans="1:17" ht="12.5">
      <c r="A95" s="2"/>
      <c r="B95" s="2"/>
      <c r="C95" s="2"/>
      <c r="D95" s="2"/>
      <c r="E95" s="2"/>
      <c r="F95" s="2"/>
      <c r="G95" s="2"/>
      <c r="H95" s="2"/>
      <c r="I95" s="2"/>
      <c r="J95" s="2"/>
      <c r="K95" s="2"/>
      <c r="L95" s="2"/>
      <c r="M95" s="2"/>
      <c r="N95" s="2"/>
      <c r="O95" s="2"/>
      <c r="P95" s="2"/>
      <c r="Q95" s="2"/>
    </row>
    <row r="96" spans="1:17" ht="12.5">
      <c r="A96" s="2"/>
      <c r="B96" s="2"/>
      <c r="C96" s="2"/>
      <c r="D96" s="2"/>
      <c r="E96" s="2"/>
      <c r="F96" s="2"/>
      <c r="G96" s="2"/>
      <c r="H96" s="2"/>
      <c r="I96" s="2"/>
      <c r="J96" s="2"/>
      <c r="K96" s="2"/>
      <c r="L96" s="2"/>
      <c r="M96" s="2"/>
      <c r="N96" s="2"/>
      <c r="O96" s="2"/>
      <c r="P96" s="2"/>
      <c r="Q96" s="2"/>
    </row>
    <row r="97" spans="1:17" ht="12.5">
      <c r="A97" s="2"/>
      <c r="B97" s="2"/>
      <c r="C97" s="2"/>
      <c r="D97" s="2"/>
      <c r="E97" s="2"/>
      <c r="F97" s="2"/>
      <c r="G97" s="2"/>
      <c r="H97" s="2"/>
      <c r="I97" s="2"/>
      <c r="J97" s="2"/>
      <c r="K97" s="2"/>
      <c r="L97" s="2"/>
      <c r="M97" s="2"/>
      <c r="N97" s="2"/>
      <c r="O97" s="2"/>
      <c r="P97" s="2"/>
      <c r="Q97" s="2"/>
    </row>
    <row r="98" spans="1:17" ht="12.5">
      <c r="A98" s="2"/>
      <c r="B98" s="2"/>
      <c r="C98" s="2"/>
      <c r="D98" s="2"/>
      <c r="E98" s="2"/>
      <c r="F98" s="2"/>
      <c r="G98" s="2"/>
      <c r="H98" s="2"/>
      <c r="I98" s="2"/>
      <c r="J98" s="2"/>
      <c r="K98" s="2"/>
      <c r="L98" s="2"/>
      <c r="M98" s="2"/>
      <c r="N98" s="2"/>
      <c r="O98" s="2"/>
      <c r="P98" s="2"/>
      <c r="Q98" s="2"/>
    </row>
    <row r="99" spans="1:17" ht="12.5">
      <c r="A99" s="2"/>
      <c r="B99" s="2"/>
      <c r="C99" s="2"/>
      <c r="D99" s="2"/>
      <c r="E99" s="2"/>
      <c r="F99" s="2"/>
      <c r="G99" s="2"/>
      <c r="H99" s="2"/>
      <c r="I99" s="2"/>
      <c r="J99" s="2"/>
      <c r="K99" s="2"/>
      <c r="L99" s="2"/>
      <c r="M99" s="2"/>
      <c r="N99" s="2"/>
      <c r="O99" s="2"/>
      <c r="P99" s="2"/>
      <c r="Q99" s="2"/>
    </row>
    <row r="100" spans="1:17" ht="12.5">
      <c r="A100" s="2"/>
      <c r="B100" s="2"/>
      <c r="C100" s="2"/>
      <c r="D100" s="2"/>
      <c r="E100" s="2"/>
      <c r="F100" s="2"/>
      <c r="G100" s="2"/>
      <c r="H100" s="2"/>
      <c r="I100" s="2"/>
      <c r="J100" s="2"/>
      <c r="K100" s="2"/>
      <c r="L100" s="2"/>
      <c r="M100" s="2"/>
      <c r="N100" s="2"/>
      <c r="O100" s="2"/>
      <c r="P100" s="2"/>
      <c r="Q100" s="2"/>
    </row>
    <row r="101" spans="1:17" ht="12.5">
      <c r="A101" s="2"/>
      <c r="B101" s="2"/>
      <c r="C101" s="2"/>
      <c r="D101" s="2"/>
      <c r="E101" s="2"/>
      <c r="F101" s="2"/>
      <c r="G101" s="2"/>
      <c r="H101" s="2"/>
      <c r="I101" s="2"/>
      <c r="J101" s="2"/>
      <c r="K101" s="2"/>
      <c r="L101" s="2"/>
      <c r="M101" s="2"/>
      <c r="N101" s="2"/>
      <c r="O101" s="2"/>
      <c r="P101" s="2"/>
      <c r="Q101" s="2"/>
    </row>
    <row r="102" spans="1:17" ht="12.5">
      <c r="A102" s="2"/>
      <c r="B102" s="2"/>
      <c r="C102" s="2"/>
      <c r="D102" s="2"/>
      <c r="E102" s="2"/>
      <c r="F102" s="2"/>
      <c r="G102" s="2"/>
      <c r="H102" s="2"/>
      <c r="I102" s="2"/>
      <c r="J102" s="2"/>
      <c r="K102" s="2"/>
      <c r="L102" s="2"/>
      <c r="M102" s="2"/>
      <c r="N102" s="2"/>
      <c r="O102" s="2"/>
      <c r="P102" s="2"/>
      <c r="Q102" s="2"/>
    </row>
    <row r="103" spans="1:17" ht="12.5">
      <c r="A103" s="2"/>
      <c r="B103" s="2"/>
      <c r="C103" s="2"/>
      <c r="D103" s="2"/>
      <c r="E103" s="2"/>
      <c r="F103" s="2"/>
      <c r="G103" s="2"/>
      <c r="H103" s="2"/>
      <c r="I103" s="2"/>
      <c r="J103" s="2"/>
      <c r="K103" s="2"/>
      <c r="L103" s="2"/>
      <c r="M103" s="2"/>
      <c r="N103" s="2"/>
      <c r="O103" s="2"/>
      <c r="P103" s="2"/>
      <c r="Q103" s="2"/>
    </row>
    <row r="104" spans="1:17" ht="12.5">
      <c r="A104" s="2"/>
      <c r="B104" s="2"/>
      <c r="C104" s="2"/>
      <c r="D104" s="2"/>
      <c r="E104" s="2"/>
      <c r="F104" s="2"/>
      <c r="G104" s="2"/>
      <c r="H104" s="2"/>
      <c r="I104" s="2"/>
      <c r="J104" s="2"/>
      <c r="K104" s="2"/>
      <c r="L104" s="2"/>
      <c r="M104" s="2"/>
      <c r="N104" s="2"/>
      <c r="O104" s="2"/>
      <c r="P104" s="2"/>
      <c r="Q104" s="2"/>
    </row>
    <row r="105" spans="1:17" ht="12.5">
      <c r="A105" s="2"/>
      <c r="B105" s="2"/>
      <c r="C105" s="2"/>
      <c r="D105" s="2"/>
      <c r="E105" s="2"/>
      <c r="F105" s="2"/>
      <c r="G105" s="2"/>
      <c r="H105" s="2"/>
      <c r="I105" s="2"/>
      <c r="J105" s="2"/>
      <c r="K105" s="2"/>
      <c r="L105" s="2"/>
      <c r="M105" s="2"/>
      <c r="N105" s="2"/>
      <c r="O105" s="2"/>
      <c r="P105" s="2"/>
      <c r="Q105" s="2"/>
    </row>
    <row r="106" spans="1:17" ht="12.5">
      <c r="A106" s="2"/>
      <c r="B106" s="2"/>
      <c r="C106" s="2"/>
      <c r="D106" s="2"/>
      <c r="E106" s="2"/>
      <c r="F106" s="2"/>
      <c r="G106" s="2"/>
      <c r="H106" s="2"/>
      <c r="I106" s="2"/>
      <c r="J106" s="2"/>
      <c r="K106" s="2"/>
      <c r="L106" s="2"/>
      <c r="M106" s="2"/>
      <c r="N106" s="2"/>
      <c r="O106" s="2"/>
      <c r="P106" s="2"/>
      <c r="Q106" s="2"/>
    </row>
    <row r="107" spans="1:17" ht="12.5">
      <c r="A107" s="2"/>
      <c r="B107" s="2"/>
      <c r="C107" s="2"/>
      <c r="D107" s="2"/>
      <c r="E107" s="2"/>
      <c r="F107" s="2"/>
      <c r="G107" s="2"/>
      <c r="H107" s="2"/>
      <c r="I107" s="2"/>
      <c r="J107" s="2"/>
      <c r="K107" s="2"/>
      <c r="L107" s="2"/>
      <c r="M107" s="2"/>
      <c r="N107" s="2"/>
      <c r="O107" s="2"/>
      <c r="P107" s="2"/>
      <c r="Q107" s="2"/>
    </row>
    <row r="108" spans="1:17" ht="12.5">
      <c r="A108" s="2"/>
      <c r="B108" s="2"/>
      <c r="C108" s="2"/>
      <c r="D108" s="2"/>
      <c r="E108" s="2"/>
      <c r="F108" s="2"/>
      <c r="G108" s="2"/>
      <c r="H108" s="2"/>
      <c r="I108" s="2"/>
      <c r="J108" s="2"/>
      <c r="K108" s="2"/>
      <c r="L108" s="2"/>
      <c r="M108" s="2"/>
      <c r="N108" s="2"/>
      <c r="O108" s="2"/>
      <c r="P108" s="2"/>
      <c r="Q108" s="2"/>
    </row>
    <row r="109" spans="1:17" ht="12.5">
      <c r="A109" s="2"/>
      <c r="B109" s="2"/>
      <c r="C109" s="2"/>
      <c r="D109" s="2"/>
      <c r="E109" s="2"/>
      <c r="F109" s="2"/>
      <c r="G109" s="2"/>
      <c r="H109" s="2"/>
      <c r="I109" s="2"/>
      <c r="J109" s="2"/>
      <c r="K109" s="2"/>
      <c r="L109" s="2"/>
      <c r="M109" s="2"/>
      <c r="N109" s="2"/>
      <c r="O109" s="2"/>
      <c r="P109" s="2"/>
      <c r="Q109" s="2"/>
    </row>
    <row r="110" spans="1:17" ht="12.5">
      <c r="A110" s="2"/>
      <c r="B110" s="2"/>
      <c r="C110" s="2"/>
      <c r="D110" s="2"/>
      <c r="E110" s="2"/>
      <c r="F110" s="2"/>
      <c r="G110" s="2"/>
      <c r="H110" s="2"/>
      <c r="I110" s="2"/>
      <c r="J110" s="2"/>
      <c r="K110" s="2"/>
      <c r="L110" s="2"/>
      <c r="M110" s="2"/>
      <c r="N110" s="2"/>
      <c r="O110" s="2"/>
      <c r="P110" s="2"/>
      <c r="Q110" s="2"/>
    </row>
    <row r="111" spans="1:17" ht="12.5">
      <c r="A111" s="2"/>
      <c r="B111" s="2"/>
      <c r="C111" s="2"/>
      <c r="D111" s="2"/>
      <c r="E111" s="2"/>
      <c r="F111" s="2"/>
      <c r="G111" s="2"/>
      <c r="H111" s="2"/>
      <c r="I111" s="2"/>
      <c r="J111" s="2"/>
      <c r="K111" s="2"/>
      <c r="L111" s="2"/>
      <c r="M111" s="2"/>
      <c r="N111" s="2"/>
      <c r="O111" s="2"/>
      <c r="P111" s="2"/>
      <c r="Q111" s="2"/>
    </row>
    <row r="112" spans="1:17" ht="12.5">
      <c r="A112" s="2"/>
      <c r="B112" s="2"/>
      <c r="C112" s="2"/>
      <c r="D112" s="2"/>
      <c r="E112" s="2"/>
      <c r="F112" s="2"/>
      <c r="G112" s="2"/>
      <c r="H112" s="2"/>
      <c r="I112" s="2"/>
      <c r="J112" s="2"/>
      <c r="K112" s="2"/>
      <c r="L112" s="2"/>
      <c r="M112" s="2"/>
      <c r="N112" s="2"/>
      <c r="O112" s="2"/>
      <c r="P112" s="2"/>
      <c r="Q112" s="2"/>
    </row>
    <row r="113" spans="1:17" ht="12.5">
      <c r="A113" s="2"/>
      <c r="B113" s="2"/>
      <c r="C113" s="2"/>
      <c r="D113" s="2"/>
      <c r="E113" s="2"/>
      <c r="F113" s="2"/>
      <c r="G113" s="2"/>
      <c r="H113" s="2"/>
      <c r="I113" s="2"/>
      <c r="J113" s="2"/>
      <c r="K113" s="2"/>
      <c r="L113" s="2"/>
      <c r="M113" s="2"/>
      <c r="N113" s="2"/>
      <c r="O113" s="2"/>
      <c r="P113" s="2"/>
      <c r="Q113" s="2"/>
    </row>
    <row r="114" spans="1:17" ht="12.5">
      <c r="A114" s="2"/>
      <c r="B114" s="2"/>
      <c r="C114" s="2"/>
      <c r="D114" s="2"/>
      <c r="E114" s="2"/>
      <c r="F114" s="2"/>
      <c r="G114" s="2"/>
      <c r="H114" s="2"/>
      <c r="I114" s="2"/>
      <c r="J114" s="2"/>
      <c r="K114" s="2"/>
      <c r="L114" s="2"/>
      <c r="M114" s="2"/>
      <c r="N114" s="2"/>
      <c r="O114" s="2"/>
      <c r="P114" s="2"/>
      <c r="Q114" s="2"/>
    </row>
    <row r="115" spans="1:17" ht="12.5">
      <c r="A115" s="2"/>
      <c r="B115" s="2"/>
      <c r="C115" s="2"/>
      <c r="D115" s="2"/>
      <c r="E115" s="2"/>
      <c r="F115" s="2"/>
      <c r="G115" s="2"/>
      <c r="H115" s="2"/>
      <c r="I115" s="2"/>
      <c r="J115" s="2"/>
      <c r="K115" s="2"/>
      <c r="L115" s="2"/>
      <c r="M115" s="2"/>
      <c r="N115" s="2"/>
      <c r="O115" s="2"/>
      <c r="P115" s="2"/>
      <c r="Q115" s="2"/>
    </row>
    <row r="116" spans="1:17" ht="12.5">
      <c r="A116" s="2"/>
      <c r="B116" s="2"/>
      <c r="C116" s="2"/>
      <c r="D116" s="2"/>
      <c r="E116" s="2"/>
      <c r="F116" s="2"/>
      <c r="G116" s="2"/>
      <c r="H116" s="2"/>
      <c r="I116" s="2"/>
      <c r="J116" s="2"/>
      <c r="K116" s="2"/>
      <c r="L116" s="2"/>
      <c r="M116" s="2"/>
      <c r="N116" s="2"/>
      <c r="O116" s="2"/>
      <c r="P116" s="2"/>
      <c r="Q116" s="2"/>
    </row>
    <row r="117" spans="1:17" ht="12.5">
      <c r="A117" s="2"/>
      <c r="B117" s="2"/>
      <c r="C117" s="2"/>
      <c r="D117" s="2"/>
      <c r="E117" s="2"/>
      <c r="F117" s="2"/>
      <c r="G117" s="2"/>
      <c r="H117" s="2"/>
      <c r="I117" s="2"/>
      <c r="J117" s="2"/>
      <c r="K117" s="2"/>
      <c r="L117" s="2"/>
      <c r="M117" s="2"/>
      <c r="N117" s="2"/>
      <c r="O117" s="2"/>
      <c r="P117" s="2"/>
      <c r="Q117" s="2"/>
    </row>
    <row r="118" spans="1:17" ht="12.5">
      <c r="A118" s="2"/>
      <c r="B118" s="2"/>
      <c r="C118" s="2"/>
      <c r="D118" s="2"/>
      <c r="E118" s="2"/>
      <c r="F118" s="2"/>
      <c r="G118" s="2"/>
      <c r="H118" s="2"/>
      <c r="I118" s="2"/>
      <c r="J118" s="2"/>
      <c r="K118" s="2"/>
      <c r="L118" s="2"/>
      <c r="M118" s="2"/>
      <c r="N118" s="2"/>
      <c r="O118" s="2"/>
      <c r="P118" s="2"/>
      <c r="Q118" s="2"/>
    </row>
    <row r="119" spans="1:17" ht="12.5">
      <c r="A119" s="2"/>
      <c r="B119" s="2"/>
      <c r="C119" s="2"/>
      <c r="D119" s="2"/>
      <c r="E119" s="2"/>
      <c r="F119" s="2"/>
      <c r="G119" s="2"/>
      <c r="H119" s="2"/>
      <c r="I119" s="2"/>
      <c r="J119" s="2"/>
      <c r="K119" s="2"/>
      <c r="L119" s="2"/>
      <c r="M119" s="2"/>
      <c r="N119" s="2"/>
      <c r="O119" s="2"/>
      <c r="P119" s="2"/>
      <c r="Q119" s="2"/>
    </row>
    <row r="120" spans="1:17" ht="12.5">
      <c r="A120" s="2"/>
      <c r="B120" s="2"/>
      <c r="C120" s="2"/>
      <c r="D120" s="2"/>
      <c r="E120" s="2"/>
      <c r="F120" s="2"/>
      <c r="G120" s="2"/>
      <c r="H120" s="2"/>
      <c r="I120" s="2"/>
      <c r="J120" s="2"/>
      <c r="K120" s="2"/>
      <c r="L120" s="2"/>
      <c r="M120" s="2"/>
      <c r="N120" s="2"/>
      <c r="O120" s="2"/>
      <c r="P120" s="2"/>
      <c r="Q120" s="2"/>
    </row>
    <row r="121" spans="1:17" ht="12.5">
      <c r="A121" s="2"/>
      <c r="B121" s="2"/>
      <c r="C121" s="2"/>
      <c r="D121" s="2"/>
      <c r="E121" s="2"/>
      <c r="F121" s="2"/>
      <c r="G121" s="2"/>
      <c r="H121" s="2"/>
      <c r="I121" s="2"/>
      <c r="J121" s="2"/>
      <c r="K121" s="2"/>
      <c r="L121" s="2"/>
      <c r="M121" s="2"/>
      <c r="N121" s="2"/>
      <c r="O121" s="2"/>
      <c r="P121" s="2"/>
      <c r="Q121" s="2"/>
    </row>
    <row r="122" spans="1:17" ht="12.5">
      <c r="A122" s="2"/>
      <c r="B122" s="2"/>
      <c r="C122" s="2"/>
      <c r="D122" s="2"/>
      <c r="E122" s="2"/>
      <c r="F122" s="2"/>
      <c r="G122" s="2"/>
      <c r="H122" s="2"/>
      <c r="I122" s="2"/>
      <c r="J122" s="2"/>
      <c r="K122" s="2"/>
      <c r="L122" s="2"/>
      <c r="M122" s="2"/>
      <c r="N122" s="2"/>
      <c r="O122" s="2"/>
      <c r="P122" s="2"/>
      <c r="Q122" s="2"/>
    </row>
    <row r="123" spans="1:17" ht="12.5">
      <c r="A123" s="2"/>
      <c r="B123" s="2"/>
      <c r="C123" s="2"/>
      <c r="D123" s="2"/>
      <c r="E123" s="2"/>
      <c r="F123" s="2"/>
      <c r="G123" s="2"/>
      <c r="H123" s="2"/>
      <c r="I123" s="2"/>
      <c r="J123" s="2"/>
      <c r="K123" s="2"/>
      <c r="L123" s="2"/>
      <c r="M123" s="2"/>
      <c r="N123" s="2"/>
      <c r="O123" s="2"/>
      <c r="P123" s="2"/>
      <c r="Q123" s="2"/>
    </row>
    <row r="124" spans="1:17" ht="12.5">
      <c r="A124" s="2"/>
      <c r="B124" s="2"/>
      <c r="C124" s="2"/>
      <c r="D124" s="2"/>
      <c r="E124" s="2"/>
      <c r="F124" s="2"/>
      <c r="G124" s="2"/>
      <c r="H124" s="2"/>
      <c r="I124" s="2"/>
      <c r="J124" s="2"/>
      <c r="K124" s="2"/>
      <c r="L124" s="2"/>
      <c r="M124" s="2"/>
      <c r="N124" s="2"/>
      <c r="O124" s="2"/>
      <c r="P124" s="2"/>
      <c r="Q124" s="2"/>
    </row>
    <row r="125" spans="1:17" ht="12.5">
      <c r="A125" s="2"/>
      <c r="B125" s="2"/>
      <c r="C125" s="2"/>
      <c r="D125" s="2"/>
      <c r="E125" s="2"/>
      <c r="F125" s="2"/>
      <c r="G125" s="2"/>
      <c r="H125" s="2"/>
      <c r="I125" s="2"/>
      <c r="J125" s="2"/>
      <c r="K125" s="2"/>
      <c r="L125" s="2"/>
      <c r="M125" s="2"/>
      <c r="N125" s="2"/>
      <c r="O125" s="2"/>
      <c r="P125" s="2"/>
      <c r="Q125" s="2"/>
    </row>
    <row r="126" spans="1:17" ht="12.5">
      <c r="A126" s="2"/>
      <c r="B126" s="2"/>
      <c r="C126" s="2"/>
      <c r="D126" s="2"/>
      <c r="E126" s="2"/>
      <c r="F126" s="2"/>
      <c r="G126" s="2"/>
      <c r="H126" s="2"/>
      <c r="I126" s="2"/>
      <c r="J126" s="2"/>
      <c r="K126" s="2"/>
      <c r="L126" s="2"/>
      <c r="M126" s="2"/>
      <c r="N126" s="2"/>
      <c r="O126" s="2"/>
      <c r="P126" s="2"/>
      <c r="Q126" s="2"/>
    </row>
    <row r="127" spans="1:17" ht="12.5">
      <c r="A127" s="2"/>
      <c r="B127" s="2"/>
      <c r="C127" s="2"/>
      <c r="D127" s="2"/>
      <c r="E127" s="2"/>
      <c r="F127" s="2"/>
      <c r="G127" s="2"/>
      <c r="H127" s="2"/>
      <c r="I127" s="2"/>
      <c r="J127" s="2"/>
      <c r="K127" s="2"/>
      <c r="L127" s="2"/>
      <c r="M127" s="2"/>
      <c r="N127" s="2"/>
      <c r="O127" s="2"/>
      <c r="P127" s="2"/>
      <c r="Q127" s="2"/>
    </row>
    <row r="128" spans="1:17" ht="12.5">
      <c r="A128" s="2"/>
      <c r="B128" s="2"/>
      <c r="C128" s="2"/>
      <c r="D128" s="2"/>
      <c r="E128" s="2"/>
      <c r="F128" s="2"/>
      <c r="G128" s="2"/>
      <c r="H128" s="2"/>
      <c r="I128" s="2"/>
      <c r="J128" s="2"/>
      <c r="K128" s="2"/>
      <c r="L128" s="2"/>
      <c r="M128" s="2"/>
      <c r="N128" s="2"/>
      <c r="O128" s="2"/>
      <c r="P128" s="2"/>
      <c r="Q128" s="2"/>
    </row>
    <row r="129" spans="1:17" ht="12.5">
      <c r="A129" s="2"/>
      <c r="B129" s="2"/>
      <c r="C129" s="2"/>
      <c r="D129" s="2"/>
      <c r="E129" s="2"/>
      <c r="F129" s="2"/>
      <c r="G129" s="2"/>
      <c r="H129" s="2"/>
      <c r="I129" s="2"/>
      <c r="J129" s="2"/>
      <c r="K129" s="2"/>
      <c r="L129" s="2"/>
      <c r="M129" s="2"/>
      <c r="N129" s="2"/>
      <c r="O129" s="2"/>
      <c r="P129" s="2"/>
      <c r="Q129" s="2"/>
    </row>
    <row r="130" spans="1:17" ht="12.5">
      <c r="A130" s="2"/>
      <c r="B130" s="2"/>
      <c r="C130" s="2"/>
      <c r="D130" s="2"/>
      <c r="E130" s="2"/>
      <c r="F130" s="2"/>
      <c r="G130" s="2"/>
      <c r="H130" s="2"/>
      <c r="I130" s="2"/>
      <c r="J130" s="2"/>
      <c r="K130" s="2"/>
      <c r="L130" s="2"/>
      <c r="M130" s="2"/>
      <c r="N130" s="2"/>
      <c r="O130" s="2"/>
      <c r="P130" s="2"/>
      <c r="Q130" s="2"/>
    </row>
    <row r="131" spans="1:17" ht="12.5">
      <c r="A131" s="2"/>
      <c r="B131" s="2"/>
      <c r="C131" s="2"/>
      <c r="D131" s="2"/>
      <c r="E131" s="2"/>
      <c r="F131" s="2"/>
      <c r="G131" s="2"/>
      <c r="H131" s="2"/>
      <c r="I131" s="2"/>
      <c r="J131" s="2"/>
      <c r="K131" s="2"/>
      <c r="L131" s="2"/>
      <c r="M131" s="2"/>
      <c r="N131" s="2"/>
      <c r="O131" s="2"/>
      <c r="P131" s="2"/>
      <c r="Q131" s="2"/>
    </row>
    <row r="132" spans="1:17" ht="12.5">
      <c r="A132" s="2"/>
      <c r="B132" s="2"/>
      <c r="C132" s="2"/>
      <c r="D132" s="2"/>
      <c r="E132" s="2"/>
      <c r="F132" s="2"/>
      <c r="G132" s="2"/>
      <c r="H132" s="2"/>
      <c r="I132" s="2"/>
      <c r="J132" s="2"/>
      <c r="K132" s="2"/>
      <c r="L132" s="2"/>
      <c r="M132" s="2"/>
      <c r="N132" s="2"/>
      <c r="O132" s="2"/>
      <c r="P132" s="2"/>
      <c r="Q132" s="2"/>
    </row>
    <row r="133" spans="1:17" ht="12.5">
      <c r="A133" s="2"/>
      <c r="B133" s="2"/>
      <c r="C133" s="2"/>
      <c r="D133" s="2"/>
      <c r="E133" s="2"/>
      <c r="F133" s="2"/>
      <c r="G133" s="2"/>
      <c r="H133" s="2"/>
      <c r="I133" s="2"/>
      <c r="J133" s="2"/>
      <c r="K133" s="2"/>
      <c r="L133" s="2"/>
      <c r="M133" s="2"/>
      <c r="N133" s="2"/>
      <c r="O133" s="2"/>
      <c r="P133" s="2"/>
      <c r="Q133" s="2"/>
    </row>
    <row r="134" spans="1:17" ht="12.5">
      <c r="A134" s="2"/>
      <c r="B134" s="2"/>
      <c r="C134" s="2"/>
      <c r="D134" s="2"/>
      <c r="E134" s="2"/>
      <c r="F134" s="2"/>
      <c r="G134" s="2"/>
      <c r="H134" s="2"/>
      <c r="I134" s="2"/>
      <c r="J134" s="2"/>
      <c r="K134" s="2"/>
      <c r="L134" s="2"/>
      <c r="M134" s="2"/>
      <c r="N134" s="2"/>
      <c r="O134" s="2"/>
      <c r="P134" s="2"/>
      <c r="Q134" s="2"/>
    </row>
    <row r="135" spans="1:17" ht="12.5">
      <c r="A135" s="2"/>
      <c r="B135" s="2"/>
      <c r="C135" s="2"/>
      <c r="D135" s="2"/>
      <c r="E135" s="2"/>
      <c r="F135" s="2"/>
      <c r="G135" s="2"/>
      <c r="H135" s="2"/>
      <c r="I135" s="2"/>
      <c r="J135" s="2"/>
      <c r="K135" s="2"/>
      <c r="L135" s="2"/>
      <c r="M135" s="2"/>
      <c r="N135" s="2"/>
      <c r="O135" s="2"/>
      <c r="P135" s="2"/>
      <c r="Q135" s="2"/>
    </row>
    <row r="136" spans="1:17" ht="12.5">
      <c r="A136" s="2"/>
      <c r="B136" s="2"/>
      <c r="C136" s="2"/>
      <c r="D136" s="2"/>
      <c r="E136" s="2"/>
      <c r="F136" s="2"/>
      <c r="G136" s="2"/>
      <c r="H136" s="2"/>
      <c r="I136" s="2"/>
      <c r="J136" s="2"/>
      <c r="K136" s="2"/>
      <c r="L136" s="2"/>
      <c r="M136" s="2"/>
      <c r="N136" s="2"/>
      <c r="O136" s="2"/>
      <c r="P136" s="2"/>
      <c r="Q136" s="2"/>
    </row>
    <row r="137" spans="1:17" ht="12.5">
      <c r="A137" s="2"/>
      <c r="B137" s="2"/>
      <c r="C137" s="2"/>
      <c r="D137" s="2"/>
      <c r="E137" s="2"/>
      <c r="F137" s="2"/>
      <c r="G137" s="2"/>
      <c r="H137" s="2"/>
      <c r="I137" s="2"/>
      <c r="J137" s="2"/>
      <c r="K137" s="2"/>
      <c r="L137" s="2"/>
      <c r="M137" s="2"/>
      <c r="N137" s="2"/>
      <c r="O137" s="2"/>
      <c r="P137" s="2"/>
      <c r="Q137" s="2"/>
    </row>
    <row r="138" spans="1:17" ht="12.5">
      <c r="A138" s="2"/>
      <c r="B138" s="2"/>
      <c r="C138" s="2"/>
      <c r="D138" s="2"/>
      <c r="E138" s="2"/>
      <c r="F138" s="2"/>
      <c r="G138" s="2"/>
      <c r="H138" s="2"/>
      <c r="I138" s="2"/>
      <c r="J138" s="2"/>
      <c r="K138" s="2"/>
      <c r="L138" s="2"/>
      <c r="M138" s="2"/>
      <c r="N138" s="2"/>
      <c r="O138" s="2"/>
      <c r="P138" s="2"/>
      <c r="Q138" s="2"/>
    </row>
    <row r="139" spans="1:17" ht="12.5">
      <c r="A139" s="2"/>
      <c r="B139" s="2"/>
      <c r="C139" s="2"/>
      <c r="D139" s="2"/>
      <c r="E139" s="2"/>
      <c r="F139" s="2"/>
      <c r="G139" s="2"/>
      <c r="H139" s="2"/>
      <c r="I139" s="2"/>
      <c r="J139" s="2"/>
      <c r="K139" s="2"/>
      <c r="L139" s="2"/>
      <c r="M139" s="2"/>
      <c r="N139" s="2"/>
      <c r="O139" s="2"/>
      <c r="P139" s="2"/>
      <c r="Q139" s="2"/>
    </row>
    <row r="140" spans="1:17" ht="12.5">
      <c r="A140" s="2"/>
      <c r="B140" s="2"/>
      <c r="C140" s="2"/>
      <c r="D140" s="2"/>
      <c r="E140" s="2"/>
      <c r="F140" s="2"/>
      <c r="G140" s="2"/>
      <c r="H140" s="2"/>
      <c r="I140" s="2"/>
      <c r="J140" s="2"/>
      <c r="K140" s="2"/>
      <c r="L140" s="2"/>
      <c r="M140" s="2"/>
      <c r="N140" s="2"/>
      <c r="O140" s="2"/>
      <c r="P140" s="2"/>
      <c r="Q140" s="2"/>
    </row>
    <row r="141" spans="1:17" ht="12.5">
      <c r="A141" s="2"/>
      <c r="B141" s="2"/>
      <c r="C141" s="2"/>
      <c r="D141" s="2"/>
      <c r="E141" s="2"/>
      <c r="F141" s="2"/>
      <c r="G141" s="2"/>
      <c r="H141" s="2"/>
      <c r="I141" s="2"/>
      <c r="J141" s="2"/>
      <c r="K141" s="2"/>
      <c r="L141" s="2"/>
      <c r="M141" s="2"/>
      <c r="N141" s="2"/>
      <c r="O141" s="2"/>
      <c r="P141" s="2"/>
      <c r="Q141" s="2"/>
    </row>
    <row r="142" spans="1:17" ht="12.5">
      <c r="A142" s="2"/>
      <c r="B142" s="2"/>
      <c r="C142" s="2"/>
      <c r="D142" s="2"/>
      <c r="E142" s="2"/>
      <c r="F142" s="2"/>
      <c r="G142" s="2"/>
      <c r="H142" s="2"/>
      <c r="I142" s="2"/>
      <c r="J142" s="2"/>
      <c r="K142" s="2"/>
      <c r="L142" s="2"/>
      <c r="M142" s="2"/>
      <c r="N142" s="2"/>
      <c r="O142" s="2"/>
      <c r="P142" s="2"/>
      <c r="Q142" s="2"/>
    </row>
    <row r="143" spans="1:17" ht="12.5">
      <c r="A143" s="2"/>
      <c r="B143" s="2"/>
      <c r="C143" s="2"/>
      <c r="D143" s="2"/>
      <c r="E143" s="2"/>
      <c r="F143" s="2"/>
      <c r="G143" s="2"/>
      <c r="H143" s="2"/>
      <c r="I143" s="2"/>
      <c r="J143" s="2"/>
      <c r="K143" s="2"/>
      <c r="L143" s="2"/>
      <c r="M143" s="2"/>
      <c r="N143" s="2"/>
      <c r="O143" s="2"/>
      <c r="P143" s="2"/>
      <c r="Q143" s="2"/>
    </row>
    <row r="144" spans="1:17" ht="12.5">
      <c r="A144" s="2"/>
      <c r="B144" s="2"/>
      <c r="C144" s="2"/>
      <c r="D144" s="2"/>
      <c r="E144" s="2"/>
      <c r="F144" s="2"/>
      <c r="G144" s="2"/>
      <c r="H144" s="2"/>
      <c r="I144" s="2"/>
      <c r="J144" s="2"/>
      <c r="K144" s="2"/>
      <c r="L144" s="2"/>
      <c r="M144" s="2"/>
      <c r="N144" s="2"/>
      <c r="O144" s="2"/>
      <c r="P144" s="2"/>
      <c r="Q144" s="2"/>
    </row>
    <row r="145" spans="1:17" ht="12.5">
      <c r="A145" s="2"/>
      <c r="B145" s="2"/>
      <c r="C145" s="2"/>
      <c r="D145" s="2"/>
      <c r="E145" s="2"/>
      <c r="F145" s="2"/>
      <c r="G145" s="2"/>
      <c r="H145" s="2"/>
      <c r="I145" s="2"/>
      <c r="J145" s="2"/>
      <c r="K145" s="2"/>
      <c r="L145" s="2"/>
      <c r="M145" s="2"/>
      <c r="N145" s="2"/>
      <c r="O145" s="2"/>
      <c r="P145" s="2"/>
      <c r="Q145" s="2"/>
    </row>
    <row r="146" spans="1:17" ht="12.5">
      <c r="A146" s="2"/>
      <c r="B146" s="2"/>
      <c r="C146" s="2"/>
      <c r="D146" s="2"/>
      <c r="E146" s="2"/>
      <c r="F146" s="2"/>
      <c r="G146" s="2"/>
      <c r="H146" s="2"/>
      <c r="I146" s="2"/>
      <c r="J146" s="2"/>
      <c r="K146" s="2"/>
      <c r="L146" s="2"/>
      <c r="M146" s="2"/>
      <c r="N146" s="2"/>
      <c r="O146" s="2"/>
      <c r="P146" s="2"/>
      <c r="Q146" s="2"/>
    </row>
    <row r="147" spans="1:17" ht="12.5">
      <c r="A147" s="2"/>
      <c r="B147" s="2"/>
      <c r="C147" s="2"/>
      <c r="D147" s="2"/>
      <c r="E147" s="2"/>
      <c r="F147" s="2"/>
      <c r="G147" s="2"/>
      <c r="H147" s="2"/>
      <c r="I147" s="2"/>
      <c r="J147" s="2"/>
      <c r="K147" s="2"/>
      <c r="L147" s="2"/>
      <c r="M147" s="2"/>
      <c r="N147" s="2"/>
      <c r="O147" s="2"/>
      <c r="P147" s="2"/>
      <c r="Q147" s="2"/>
    </row>
    <row r="148" spans="1:17" ht="12.5">
      <c r="A148" s="2"/>
      <c r="B148" s="2"/>
      <c r="C148" s="2"/>
      <c r="D148" s="2"/>
      <c r="E148" s="2"/>
      <c r="F148" s="2"/>
      <c r="G148" s="2"/>
      <c r="H148" s="2"/>
      <c r="I148" s="2"/>
      <c r="J148" s="2"/>
      <c r="K148" s="2"/>
      <c r="L148" s="2"/>
      <c r="M148" s="2"/>
      <c r="N148" s="2"/>
      <c r="O148" s="2"/>
      <c r="P148" s="2"/>
      <c r="Q148" s="2"/>
    </row>
    <row r="149" spans="1:17" ht="12.5">
      <c r="A149" s="2"/>
      <c r="B149" s="2"/>
      <c r="C149" s="2"/>
      <c r="D149" s="2"/>
      <c r="E149" s="2"/>
      <c r="F149" s="2"/>
      <c r="G149" s="2"/>
      <c r="H149" s="2"/>
      <c r="I149" s="2"/>
      <c r="J149" s="2"/>
      <c r="K149" s="2"/>
      <c r="L149" s="2"/>
      <c r="M149" s="2"/>
      <c r="N149" s="2"/>
      <c r="O149" s="2"/>
      <c r="P149" s="2"/>
      <c r="Q149" s="2"/>
    </row>
    <row r="150" spans="1:17" ht="12.5">
      <c r="A150" s="2"/>
      <c r="B150" s="2"/>
      <c r="C150" s="2"/>
      <c r="D150" s="2"/>
      <c r="E150" s="2"/>
      <c r="F150" s="2"/>
      <c r="G150" s="2"/>
      <c r="H150" s="2"/>
      <c r="I150" s="2"/>
      <c r="J150" s="2"/>
      <c r="K150" s="2"/>
      <c r="L150" s="2"/>
      <c r="M150" s="2"/>
      <c r="N150" s="2"/>
      <c r="O150" s="2"/>
      <c r="P150" s="2"/>
      <c r="Q150" s="2"/>
    </row>
    <row r="151" spans="1:17" ht="12.5">
      <c r="A151" s="2"/>
      <c r="B151" s="2"/>
      <c r="C151" s="2"/>
      <c r="D151" s="2"/>
      <c r="E151" s="2"/>
      <c r="F151" s="2"/>
      <c r="G151" s="2"/>
      <c r="H151" s="2"/>
      <c r="I151" s="2"/>
      <c r="J151" s="2"/>
      <c r="K151" s="2"/>
      <c r="L151" s="2"/>
      <c r="M151" s="2"/>
      <c r="N151" s="2"/>
      <c r="O151" s="2"/>
      <c r="P151" s="2"/>
      <c r="Q151" s="2"/>
    </row>
    <row r="152" spans="1:17" ht="12.5">
      <c r="A152" s="2"/>
      <c r="B152" s="2"/>
      <c r="C152" s="2"/>
      <c r="D152" s="2"/>
      <c r="E152" s="2"/>
      <c r="F152" s="2"/>
      <c r="G152" s="2"/>
      <c r="H152" s="2"/>
      <c r="I152" s="2"/>
      <c r="J152" s="2"/>
      <c r="K152" s="2"/>
      <c r="L152" s="2"/>
      <c r="M152" s="2"/>
      <c r="N152" s="2"/>
      <c r="O152" s="2"/>
      <c r="P152" s="2"/>
      <c r="Q152" s="2"/>
    </row>
    <row r="153" spans="1:17" ht="12.5">
      <c r="A153" s="2"/>
      <c r="B153" s="2"/>
      <c r="C153" s="2"/>
      <c r="D153" s="2"/>
      <c r="E153" s="2"/>
      <c r="F153" s="2"/>
      <c r="G153" s="2"/>
      <c r="H153" s="2"/>
      <c r="I153" s="2"/>
      <c r="J153" s="2"/>
      <c r="K153" s="2"/>
      <c r="L153" s="2"/>
      <c r="M153" s="2"/>
      <c r="N153" s="2"/>
      <c r="O153" s="2"/>
      <c r="P153" s="2"/>
      <c r="Q153" s="2"/>
    </row>
    <row r="154" spans="1:17" ht="12.5">
      <c r="A154" s="2"/>
      <c r="B154" s="2"/>
      <c r="C154" s="2"/>
      <c r="D154" s="2"/>
      <c r="E154" s="2"/>
      <c r="F154" s="2"/>
      <c r="G154" s="2"/>
      <c r="H154" s="2"/>
      <c r="I154" s="2"/>
      <c r="J154" s="2"/>
      <c r="K154" s="2"/>
      <c r="L154" s="2"/>
      <c r="M154" s="2"/>
      <c r="N154" s="2"/>
      <c r="O154" s="2"/>
      <c r="P154" s="2"/>
      <c r="Q154" s="2"/>
    </row>
    <row r="155" spans="1:17" ht="12.5">
      <c r="A155" s="2"/>
      <c r="B155" s="2"/>
      <c r="C155" s="2"/>
      <c r="D155" s="2"/>
      <c r="E155" s="2"/>
      <c r="F155" s="2"/>
      <c r="G155" s="2"/>
      <c r="H155" s="2"/>
      <c r="I155" s="2"/>
      <c r="J155" s="2"/>
      <c r="K155" s="2"/>
      <c r="L155" s="2"/>
      <c r="M155" s="2"/>
      <c r="N155" s="2"/>
      <c r="O155" s="2"/>
      <c r="P155" s="2"/>
      <c r="Q155" s="2"/>
    </row>
    <row r="156" spans="1:17" ht="12.5">
      <c r="A156" s="2"/>
      <c r="B156" s="2"/>
      <c r="C156" s="2"/>
      <c r="D156" s="2"/>
      <c r="E156" s="2"/>
      <c r="F156" s="2"/>
      <c r="G156" s="2"/>
      <c r="H156" s="2"/>
      <c r="I156" s="2"/>
      <c r="J156" s="2"/>
      <c r="K156" s="2"/>
      <c r="L156" s="2"/>
      <c r="M156" s="2"/>
      <c r="N156" s="2"/>
      <c r="O156" s="2"/>
      <c r="P156" s="2"/>
      <c r="Q156" s="2"/>
    </row>
    <row r="157" spans="1:17" ht="12.5">
      <c r="A157" s="2"/>
      <c r="B157" s="2"/>
      <c r="C157" s="2"/>
      <c r="D157" s="2"/>
      <c r="E157" s="2"/>
      <c r="F157" s="2"/>
      <c r="G157" s="2"/>
      <c r="H157" s="2"/>
      <c r="I157" s="2"/>
      <c r="J157" s="2"/>
      <c r="K157" s="2"/>
      <c r="L157" s="2"/>
      <c r="M157" s="2"/>
      <c r="N157" s="2"/>
      <c r="O157" s="2"/>
      <c r="P157" s="2"/>
      <c r="Q157" s="2"/>
    </row>
    <row r="158" spans="1:17" ht="12.5">
      <c r="A158" s="2"/>
      <c r="B158" s="2"/>
      <c r="C158" s="2"/>
      <c r="D158" s="2"/>
      <c r="E158" s="2"/>
      <c r="F158" s="2"/>
      <c r="G158" s="2"/>
      <c r="H158" s="2"/>
      <c r="I158" s="2"/>
      <c r="J158" s="2"/>
      <c r="K158" s="2"/>
      <c r="L158" s="2"/>
      <c r="M158" s="2"/>
      <c r="N158" s="2"/>
      <c r="O158" s="2"/>
      <c r="P158" s="2"/>
      <c r="Q158" s="2"/>
    </row>
    <row r="159" spans="1:17" ht="12.5">
      <c r="A159" s="2"/>
      <c r="B159" s="2"/>
      <c r="C159" s="2"/>
      <c r="D159" s="2"/>
      <c r="E159" s="2"/>
      <c r="F159" s="2"/>
      <c r="G159" s="2"/>
      <c r="H159" s="2"/>
      <c r="I159" s="2"/>
      <c r="J159" s="2"/>
      <c r="K159" s="2"/>
      <c r="L159" s="2"/>
      <c r="M159" s="2"/>
      <c r="N159" s="2"/>
      <c r="O159" s="2"/>
      <c r="P159" s="2"/>
      <c r="Q159" s="2"/>
    </row>
    <row r="160" spans="1:17" ht="12.5">
      <c r="A160" s="2"/>
      <c r="B160" s="2"/>
      <c r="C160" s="2"/>
      <c r="D160" s="2"/>
      <c r="E160" s="2"/>
      <c r="F160" s="2"/>
      <c r="G160" s="2"/>
      <c r="H160" s="2"/>
      <c r="I160" s="2"/>
      <c r="J160" s="2"/>
      <c r="K160" s="2"/>
      <c r="L160" s="2"/>
      <c r="M160" s="2"/>
      <c r="N160" s="2"/>
      <c r="O160" s="2"/>
      <c r="P160" s="2"/>
      <c r="Q160" s="2"/>
    </row>
    <row r="161" spans="1:17" ht="12.5">
      <c r="A161" s="2"/>
      <c r="B161" s="2"/>
      <c r="C161" s="2"/>
      <c r="D161" s="2"/>
      <c r="E161" s="2"/>
      <c r="F161" s="2"/>
      <c r="G161" s="2"/>
      <c r="H161" s="2"/>
      <c r="I161" s="2"/>
      <c r="J161" s="2"/>
      <c r="K161" s="2"/>
      <c r="L161" s="2"/>
      <c r="M161" s="2"/>
      <c r="N161" s="2"/>
      <c r="O161" s="2"/>
      <c r="P161" s="2"/>
      <c r="Q161" s="2"/>
    </row>
    <row r="162" spans="1:17" ht="12.5">
      <c r="A162" s="2"/>
      <c r="B162" s="2"/>
      <c r="C162" s="2"/>
      <c r="D162" s="2"/>
      <c r="E162" s="2"/>
      <c r="F162" s="2"/>
      <c r="G162" s="2"/>
      <c r="H162" s="2"/>
      <c r="I162" s="2"/>
      <c r="J162" s="2"/>
      <c r="K162" s="2"/>
      <c r="L162" s="2"/>
      <c r="M162" s="2"/>
      <c r="N162" s="2"/>
      <c r="O162" s="2"/>
      <c r="P162" s="2"/>
      <c r="Q162" s="2"/>
    </row>
    <row r="163" spans="1:17" ht="12.5">
      <c r="A163" s="2"/>
      <c r="B163" s="2"/>
      <c r="C163" s="2"/>
      <c r="D163" s="2"/>
      <c r="E163" s="2"/>
      <c r="F163" s="2"/>
      <c r="G163" s="2"/>
      <c r="H163" s="2"/>
      <c r="I163" s="2"/>
      <c r="J163" s="2"/>
      <c r="K163" s="2"/>
      <c r="L163" s="2"/>
      <c r="M163" s="2"/>
      <c r="N163" s="2"/>
      <c r="O163" s="2"/>
      <c r="P163" s="2"/>
      <c r="Q163" s="2"/>
    </row>
    <row r="164" spans="1:17" ht="12.5">
      <c r="A164" s="2"/>
      <c r="B164" s="2"/>
      <c r="C164" s="2"/>
      <c r="D164" s="2"/>
      <c r="E164" s="2"/>
      <c r="F164" s="2"/>
      <c r="G164" s="2"/>
      <c r="H164" s="2"/>
      <c r="I164" s="2"/>
      <c r="J164" s="2"/>
      <c r="K164" s="2"/>
      <c r="L164" s="2"/>
      <c r="M164" s="2"/>
      <c r="N164" s="2"/>
      <c r="O164" s="2"/>
      <c r="P164" s="2"/>
      <c r="Q164" s="2"/>
    </row>
    <row r="165" spans="1:17" ht="12.5">
      <c r="A165" s="2"/>
      <c r="B165" s="2"/>
      <c r="C165" s="2"/>
      <c r="D165" s="2"/>
      <c r="E165" s="2"/>
      <c r="F165" s="2"/>
      <c r="G165" s="2"/>
      <c r="H165" s="2"/>
      <c r="I165" s="2"/>
      <c r="J165" s="2"/>
      <c r="K165" s="2"/>
      <c r="L165" s="2"/>
      <c r="M165" s="2"/>
      <c r="N165" s="2"/>
      <c r="O165" s="2"/>
      <c r="P165" s="2"/>
      <c r="Q165" s="2"/>
    </row>
    <row r="166" spans="1:17" ht="12.5">
      <c r="A166" s="2"/>
      <c r="B166" s="2"/>
      <c r="C166" s="2"/>
      <c r="D166" s="2"/>
      <c r="E166" s="2"/>
      <c r="F166" s="2"/>
      <c r="G166" s="2"/>
      <c r="H166" s="2"/>
      <c r="I166" s="2"/>
      <c r="J166" s="2"/>
      <c r="K166" s="2"/>
      <c r="L166" s="2"/>
      <c r="M166" s="2"/>
      <c r="N166" s="2"/>
      <c r="O166" s="2"/>
      <c r="P166" s="2"/>
      <c r="Q166" s="2"/>
    </row>
    <row r="167" spans="1:17" ht="12.5">
      <c r="A167" s="2"/>
      <c r="B167" s="2"/>
      <c r="C167" s="2"/>
      <c r="D167" s="2"/>
      <c r="E167" s="2"/>
      <c r="F167" s="2"/>
      <c r="G167" s="2"/>
      <c r="H167" s="2"/>
      <c r="I167" s="2"/>
      <c r="J167" s="2"/>
      <c r="K167" s="2"/>
      <c r="L167" s="2"/>
      <c r="M167" s="2"/>
      <c r="N167" s="2"/>
      <c r="O167" s="2"/>
      <c r="P167" s="2"/>
      <c r="Q167" s="2"/>
    </row>
    <row r="168" spans="1:17" ht="12.5">
      <c r="A168" s="2"/>
      <c r="B168" s="2"/>
      <c r="C168" s="2"/>
      <c r="D168" s="2"/>
      <c r="E168" s="2"/>
      <c r="F168" s="2"/>
      <c r="G168" s="2"/>
      <c r="H168" s="2"/>
      <c r="I168" s="2"/>
      <c r="J168" s="2"/>
      <c r="K168" s="2"/>
      <c r="L168" s="2"/>
      <c r="M168" s="2"/>
      <c r="N168" s="2"/>
      <c r="O168" s="2"/>
      <c r="P168" s="2"/>
      <c r="Q168" s="2"/>
    </row>
    <row r="169" spans="1:17" ht="12.5">
      <c r="A169" s="2"/>
      <c r="B169" s="2"/>
      <c r="C169" s="2"/>
      <c r="D169" s="2"/>
      <c r="E169" s="2"/>
      <c r="F169" s="2"/>
      <c r="G169" s="2"/>
      <c r="H169" s="2"/>
      <c r="I169" s="2"/>
      <c r="J169" s="2"/>
      <c r="K169" s="2"/>
      <c r="L169" s="2"/>
      <c r="M169" s="2"/>
      <c r="N169" s="2"/>
      <c r="O169" s="2"/>
      <c r="P169" s="2"/>
      <c r="Q169" s="2"/>
    </row>
    <row r="170" spans="1:17" ht="12.5">
      <c r="A170" s="2"/>
      <c r="B170" s="2"/>
      <c r="C170" s="2"/>
      <c r="D170" s="2"/>
      <c r="E170" s="2"/>
      <c r="F170" s="2"/>
      <c r="G170" s="2"/>
      <c r="H170" s="2"/>
      <c r="I170" s="2"/>
      <c r="J170" s="2"/>
      <c r="K170" s="2"/>
      <c r="L170" s="2"/>
      <c r="M170" s="2"/>
      <c r="N170" s="2"/>
      <c r="O170" s="2"/>
      <c r="P170" s="2"/>
      <c r="Q170" s="2"/>
    </row>
    <row r="171" spans="1:17" ht="12.5">
      <c r="A171" s="2"/>
      <c r="B171" s="2"/>
      <c r="C171" s="2"/>
      <c r="D171" s="2"/>
      <c r="E171" s="2"/>
      <c r="F171" s="2"/>
      <c r="G171" s="2"/>
      <c r="H171" s="2"/>
      <c r="I171" s="2"/>
      <c r="J171" s="2"/>
      <c r="K171" s="2"/>
      <c r="L171" s="2"/>
      <c r="M171" s="2"/>
      <c r="N171" s="2"/>
      <c r="O171" s="2"/>
      <c r="P171" s="2"/>
      <c r="Q171" s="2"/>
    </row>
    <row r="172" spans="1:17" ht="12.5">
      <c r="A172" s="2"/>
      <c r="B172" s="2"/>
      <c r="C172" s="2"/>
      <c r="D172" s="2"/>
      <c r="E172" s="2"/>
      <c r="F172" s="2"/>
      <c r="G172" s="2"/>
      <c r="H172" s="2"/>
      <c r="I172" s="2"/>
      <c r="J172" s="2"/>
      <c r="K172" s="2"/>
      <c r="L172" s="2"/>
      <c r="M172" s="2"/>
      <c r="N172" s="2"/>
      <c r="O172" s="2"/>
      <c r="P172" s="2"/>
      <c r="Q172" s="2"/>
    </row>
    <row r="173" spans="1:17" ht="12.5">
      <c r="A173" s="2"/>
      <c r="B173" s="2"/>
      <c r="C173" s="2"/>
      <c r="D173" s="2"/>
      <c r="E173" s="2"/>
      <c r="F173" s="2"/>
      <c r="G173" s="2"/>
      <c r="H173" s="2"/>
      <c r="I173" s="2"/>
      <c r="J173" s="2"/>
      <c r="K173" s="2"/>
      <c r="L173" s="2"/>
      <c r="M173" s="2"/>
      <c r="N173" s="2"/>
      <c r="O173" s="2"/>
      <c r="P173" s="2"/>
      <c r="Q173" s="2"/>
    </row>
    <row r="174" spans="1:17" ht="12.5">
      <c r="A174" s="2"/>
      <c r="B174" s="2"/>
      <c r="C174" s="2"/>
      <c r="D174" s="2"/>
      <c r="E174" s="2"/>
      <c r="F174" s="2"/>
      <c r="G174" s="2"/>
      <c r="H174" s="2"/>
      <c r="I174" s="2"/>
      <c r="J174" s="2"/>
      <c r="K174" s="2"/>
      <c r="L174" s="2"/>
      <c r="M174" s="2"/>
      <c r="N174" s="2"/>
      <c r="O174" s="2"/>
      <c r="P174" s="2"/>
      <c r="Q174" s="2"/>
    </row>
    <row r="175" spans="1:17" ht="12.5">
      <c r="A175" s="2"/>
      <c r="B175" s="2"/>
      <c r="C175" s="2"/>
      <c r="D175" s="2"/>
      <c r="E175" s="2"/>
      <c r="F175" s="2"/>
      <c r="G175" s="2"/>
      <c r="H175" s="2"/>
      <c r="I175" s="2"/>
      <c r="J175" s="2"/>
      <c r="K175" s="2"/>
      <c r="L175" s="2"/>
      <c r="M175" s="2"/>
      <c r="N175" s="2"/>
      <c r="O175" s="2"/>
      <c r="P175" s="2"/>
      <c r="Q175" s="2"/>
    </row>
    <row r="176" spans="1:17" ht="12.5">
      <c r="A176" s="2"/>
      <c r="B176" s="2"/>
      <c r="C176" s="2"/>
      <c r="D176" s="2"/>
      <c r="E176" s="2"/>
      <c r="F176" s="2"/>
      <c r="G176" s="2"/>
      <c r="H176" s="2"/>
      <c r="I176" s="2"/>
      <c r="J176" s="2"/>
      <c r="K176" s="2"/>
      <c r="L176" s="2"/>
      <c r="M176" s="2"/>
      <c r="N176" s="2"/>
      <c r="O176" s="2"/>
      <c r="P176" s="2"/>
      <c r="Q176" s="2"/>
    </row>
    <row r="177" spans="1:17" ht="12.5">
      <c r="A177" s="2"/>
      <c r="B177" s="2"/>
      <c r="C177" s="2"/>
      <c r="D177" s="2"/>
      <c r="E177" s="2"/>
      <c r="F177" s="2"/>
      <c r="G177" s="2"/>
      <c r="H177" s="2"/>
      <c r="I177" s="2"/>
      <c r="J177" s="2"/>
      <c r="K177" s="2"/>
      <c r="L177" s="2"/>
      <c r="M177" s="2"/>
      <c r="N177" s="2"/>
      <c r="O177" s="2"/>
      <c r="P177" s="2"/>
      <c r="Q177" s="2"/>
    </row>
    <row r="178" spans="1:17" ht="12.5">
      <c r="A178" s="2"/>
      <c r="B178" s="2"/>
      <c r="C178" s="2"/>
      <c r="D178" s="2"/>
      <c r="E178" s="2"/>
      <c r="F178" s="2"/>
      <c r="G178" s="2"/>
      <c r="H178" s="2"/>
      <c r="I178" s="2"/>
      <c r="J178" s="2"/>
      <c r="K178" s="2"/>
      <c r="L178" s="2"/>
      <c r="M178" s="2"/>
      <c r="N178" s="2"/>
      <c r="O178" s="2"/>
      <c r="P178" s="2"/>
      <c r="Q178" s="2"/>
    </row>
    <row r="179" spans="1:17" ht="12.5">
      <c r="A179" s="2"/>
      <c r="B179" s="2"/>
      <c r="C179" s="2"/>
      <c r="D179" s="2"/>
      <c r="E179" s="2"/>
      <c r="F179" s="2"/>
      <c r="G179" s="2"/>
      <c r="H179" s="2"/>
      <c r="I179" s="2"/>
      <c r="J179" s="2"/>
      <c r="K179" s="2"/>
      <c r="L179" s="2"/>
      <c r="M179" s="2"/>
      <c r="N179" s="2"/>
      <c r="O179" s="2"/>
      <c r="P179" s="2"/>
      <c r="Q179" s="2"/>
    </row>
    <row r="180" spans="1:17" ht="12.5">
      <c r="A180" s="2"/>
      <c r="B180" s="2"/>
      <c r="C180" s="2"/>
      <c r="D180" s="2"/>
      <c r="E180" s="2"/>
      <c r="F180" s="2"/>
      <c r="G180" s="2"/>
      <c r="H180" s="2"/>
      <c r="I180" s="2"/>
      <c r="J180" s="2"/>
      <c r="K180" s="2"/>
      <c r="L180" s="2"/>
      <c r="M180" s="2"/>
      <c r="N180" s="2"/>
      <c r="O180" s="2"/>
      <c r="P180" s="2"/>
      <c r="Q180" s="2"/>
    </row>
    <row r="181" spans="1:17" ht="12.5">
      <c r="A181" s="2"/>
      <c r="B181" s="2"/>
      <c r="C181" s="2"/>
      <c r="D181" s="2"/>
      <c r="E181" s="2"/>
      <c r="F181" s="2"/>
      <c r="G181" s="2"/>
      <c r="H181" s="2"/>
      <c r="I181" s="2"/>
      <c r="J181" s="2"/>
      <c r="K181" s="2"/>
      <c r="L181" s="2"/>
      <c r="M181" s="2"/>
      <c r="N181" s="2"/>
      <c r="O181" s="2"/>
      <c r="P181" s="2"/>
      <c r="Q181" s="2"/>
    </row>
    <row r="182" spans="1:17" ht="12.5">
      <c r="A182" s="2"/>
      <c r="B182" s="2"/>
      <c r="C182" s="2"/>
      <c r="D182" s="2"/>
      <c r="E182" s="2"/>
      <c r="F182" s="2"/>
      <c r="G182" s="2"/>
      <c r="H182" s="2"/>
      <c r="I182" s="2"/>
      <c r="J182" s="2"/>
      <c r="K182" s="2"/>
      <c r="L182" s="2"/>
      <c r="M182" s="2"/>
      <c r="N182" s="2"/>
      <c r="O182" s="2"/>
      <c r="P182" s="2"/>
      <c r="Q182" s="2"/>
    </row>
    <row r="183" spans="1:17" ht="12.5">
      <c r="A183" s="2"/>
      <c r="B183" s="2"/>
      <c r="C183" s="2"/>
      <c r="D183" s="2"/>
      <c r="E183" s="2"/>
      <c r="F183" s="2"/>
      <c r="G183" s="2"/>
      <c r="H183" s="2"/>
      <c r="I183" s="2"/>
      <c r="J183" s="2"/>
      <c r="K183" s="2"/>
      <c r="L183" s="2"/>
      <c r="M183" s="2"/>
      <c r="N183" s="2"/>
      <c r="O183" s="2"/>
      <c r="P183" s="2"/>
      <c r="Q183" s="2"/>
    </row>
    <row r="184" spans="1:17" ht="12.5">
      <c r="A184" s="2"/>
      <c r="B184" s="2"/>
      <c r="C184" s="2"/>
      <c r="D184" s="2"/>
      <c r="E184" s="2"/>
      <c r="F184" s="2"/>
      <c r="G184" s="2"/>
      <c r="H184" s="2"/>
      <c r="I184" s="2"/>
      <c r="J184" s="2"/>
      <c r="K184" s="2"/>
      <c r="L184" s="2"/>
      <c r="M184" s="2"/>
      <c r="N184" s="2"/>
      <c r="O184" s="2"/>
      <c r="P184" s="2"/>
      <c r="Q184" s="2"/>
    </row>
    <row r="185" spans="1:17" ht="12.5">
      <c r="A185" s="2"/>
      <c r="B185" s="2"/>
      <c r="C185" s="2"/>
      <c r="D185" s="2"/>
      <c r="E185" s="2"/>
      <c r="F185" s="2"/>
      <c r="G185" s="2"/>
      <c r="H185" s="2"/>
      <c r="I185" s="2"/>
      <c r="J185" s="2"/>
      <c r="K185" s="2"/>
      <c r="L185" s="2"/>
      <c r="M185" s="2"/>
      <c r="N185" s="2"/>
      <c r="O185" s="2"/>
      <c r="P185" s="2"/>
      <c r="Q185" s="2"/>
    </row>
    <row r="186" spans="1:17" ht="12.5">
      <c r="A186" s="2"/>
      <c r="B186" s="2"/>
      <c r="C186" s="2"/>
      <c r="D186" s="2"/>
      <c r="E186" s="2"/>
      <c r="F186" s="2"/>
      <c r="G186" s="2"/>
      <c r="H186" s="2"/>
      <c r="I186" s="2"/>
      <c r="J186" s="2"/>
      <c r="K186" s="2"/>
      <c r="L186" s="2"/>
      <c r="M186" s="2"/>
      <c r="N186" s="2"/>
      <c r="O186" s="2"/>
      <c r="P186" s="2"/>
      <c r="Q186" s="2"/>
    </row>
    <row r="187" spans="1:17" ht="12.5">
      <c r="A187" s="2"/>
      <c r="B187" s="2"/>
      <c r="C187" s="2"/>
      <c r="D187" s="2"/>
      <c r="E187" s="2"/>
      <c r="F187" s="2"/>
      <c r="G187" s="2"/>
      <c r="H187" s="2"/>
      <c r="I187" s="2"/>
      <c r="J187" s="2"/>
      <c r="K187" s="2"/>
      <c r="L187" s="2"/>
      <c r="M187" s="2"/>
      <c r="N187" s="2"/>
      <c r="O187" s="2"/>
      <c r="P187" s="2"/>
      <c r="Q187" s="2"/>
    </row>
    <row r="188" spans="1:17" ht="12.5">
      <c r="A188" s="2"/>
      <c r="B188" s="2"/>
      <c r="C188" s="2"/>
      <c r="D188" s="2"/>
      <c r="E188" s="2"/>
      <c r="F188" s="2"/>
      <c r="G188" s="2"/>
      <c r="H188" s="2"/>
      <c r="I188" s="2"/>
      <c r="J188" s="2"/>
      <c r="K188" s="2"/>
      <c r="L188" s="2"/>
      <c r="M188" s="2"/>
      <c r="N188" s="2"/>
      <c r="O188" s="2"/>
      <c r="P188" s="2"/>
      <c r="Q188" s="2"/>
    </row>
    <row r="189" spans="1:17" ht="12.5">
      <c r="A189" s="2"/>
      <c r="B189" s="2"/>
      <c r="C189" s="2"/>
      <c r="D189" s="2"/>
      <c r="E189" s="2"/>
      <c r="F189" s="2"/>
      <c r="G189" s="2"/>
      <c r="H189" s="2"/>
      <c r="I189" s="2"/>
      <c r="J189" s="2"/>
      <c r="K189" s="2"/>
      <c r="L189" s="2"/>
      <c r="M189" s="2"/>
      <c r="N189" s="2"/>
      <c r="O189" s="2"/>
      <c r="P189" s="2"/>
      <c r="Q189" s="2"/>
    </row>
    <row r="190" spans="1:17" ht="12.5">
      <c r="A190" s="2"/>
      <c r="B190" s="2"/>
      <c r="C190" s="2"/>
      <c r="D190" s="2"/>
      <c r="E190" s="2"/>
      <c r="F190" s="2"/>
      <c r="G190" s="2"/>
      <c r="H190" s="2"/>
      <c r="I190" s="2"/>
      <c r="J190" s="2"/>
      <c r="K190" s="2"/>
      <c r="L190" s="2"/>
      <c r="M190" s="2"/>
      <c r="N190" s="2"/>
      <c r="O190" s="2"/>
      <c r="P190" s="2"/>
      <c r="Q190" s="2"/>
    </row>
    <row r="191" spans="1:17" ht="12.5">
      <c r="A191" s="2"/>
      <c r="B191" s="2"/>
      <c r="C191" s="2"/>
      <c r="D191" s="2"/>
      <c r="E191" s="2"/>
      <c r="F191" s="2"/>
      <c r="G191" s="2"/>
      <c r="H191" s="2"/>
      <c r="I191" s="2"/>
      <c r="J191" s="2"/>
      <c r="K191" s="2"/>
      <c r="L191" s="2"/>
      <c r="M191" s="2"/>
      <c r="N191" s="2"/>
      <c r="O191" s="2"/>
      <c r="P191" s="2"/>
      <c r="Q191" s="2"/>
    </row>
    <row r="192" spans="1:17" ht="12.5">
      <c r="A192" s="2"/>
      <c r="B192" s="2"/>
      <c r="C192" s="2"/>
      <c r="D192" s="2"/>
      <c r="E192" s="2"/>
      <c r="F192" s="2"/>
      <c r="G192" s="2"/>
      <c r="H192" s="2"/>
      <c r="I192" s="2"/>
      <c r="J192" s="2"/>
      <c r="K192" s="2"/>
      <c r="L192" s="2"/>
      <c r="M192" s="2"/>
      <c r="N192" s="2"/>
      <c r="O192" s="2"/>
      <c r="P192" s="2"/>
      <c r="Q192" s="2"/>
    </row>
    <row r="193" spans="1:17" ht="12.5">
      <c r="A193" s="2"/>
      <c r="B193" s="2"/>
      <c r="C193" s="2"/>
      <c r="D193" s="2"/>
      <c r="E193" s="2"/>
      <c r="F193" s="2"/>
      <c r="G193" s="2"/>
      <c r="H193" s="2"/>
      <c r="I193" s="2"/>
      <c r="J193" s="2"/>
      <c r="K193" s="2"/>
      <c r="L193" s="2"/>
      <c r="M193" s="2"/>
      <c r="N193" s="2"/>
      <c r="O193" s="2"/>
      <c r="P193" s="2"/>
      <c r="Q193" s="2"/>
    </row>
    <row r="194" spans="1:17" ht="12.5">
      <c r="A194" s="2"/>
      <c r="B194" s="2"/>
      <c r="C194" s="2"/>
      <c r="D194" s="2"/>
      <c r="E194" s="2"/>
      <c r="F194" s="2"/>
      <c r="G194" s="2"/>
      <c r="H194" s="2"/>
      <c r="I194" s="2"/>
      <c r="J194" s="2"/>
      <c r="K194" s="2"/>
      <c r="L194" s="2"/>
      <c r="M194" s="2"/>
      <c r="N194" s="2"/>
      <c r="O194" s="2"/>
      <c r="P194" s="2"/>
      <c r="Q194" s="2"/>
    </row>
    <row r="195" spans="1:17" ht="12.5">
      <c r="A195" s="2"/>
      <c r="B195" s="2"/>
      <c r="C195" s="2"/>
      <c r="D195" s="2"/>
      <c r="E195" s="2"/>
      <c r="F195" s="2"/>
      <c r="G195" s="2"/>
      <c r="H195" s="2"/>
      <c r="I195" s="2"/>
      <c r="J195" s="2"/>
      <c r="K195" s="2"/>
      <c r="L195" s="2"/>
      <c r="M195" s="2"/>
      <c r="N195" s="2"/>
      <c r="O195" s="2"/>
      <c r="P195" s="2"/>
      <c r="Q195" s="2"/>
    </row>
    <row r="196" spans="1:17" ht="12.5">
      <c r="A196" s="2"/>
      <c r="B196" s="2"/>
      <c r="C196" s="2"/>
      <c r="D196" s="2"/>
      <c r="E196" s="2"/>
      <c r="F196" s="2"/>
      <c r="G196" s="2"/>
      <c r="H196" s="2"/>
      <c r="I196" s="2"/>
      <c r="J196" s="2"/>
      <c r="K196" s="2"/>
      <c r="L196" s="2"/>
      <c r="M196" s="2"/>
      <c r="N196" s="2"/>
      <c r="O196" s="2"/>
      <c r="P196" s="2"/>
      <c r="Q196" s="2"/>
    </row>
    <row r="197" spans="1:17" ht="12.5">
      <c r="A197" s="2"/>
      <c r="B197" s="2"/>
      <c r="C197" s="2"/>
      <c r="D197" s="2"/>
      <c r="E197" s="2"/>
      <c r="F197" s="2"/>
      <c r="G197" s="2"/>
      <c r="H197" s="2"/>
      <c r="I197" s="2"/>
      <c r="J197" s="2"/>
      <c r="K197" s="2"/>
      <c r="L197" s="2"/>
      <c r="M197" s="2"/>
      <c r="N197" s="2"/>
      <c r="O197" s="2"/>
      <c r="P197" s="2"/>
      <c r="Q197" s="2"/>
    </row>
    <row r="198" spans="1:17" ht="12.5">
      <c r="A198" s="2"/>
      <c r="B198" s="2"/>
      <c r="C198" s="2"/>
      <c r="D198" s="2"/>
      <c r="E198" s="2"/>
      <c r="F198" s="2"/>
      <c r="G198" s="2"/>
      <c r="H198" s="2"/>
      <c r="I198" s="2"/>
      <c r="J198" s="2"/>
      <c r="K198" s="2"/>
      <c r="L198" s="2"/>
      <c r="M198" s="2"/>
      <c r="N198" s="2"/>
      <c r="O198" s="2"/>
      <c r="P198" s="2"/>
      <c r="Q198" s="2"/>
    </row>
    <row r="199" spans="1:17" ht="12.5">
      <c r="A199" s="2"/>
      <c r="B199" s="2"/>
      <c r="C199" s="2"/>
      <c r="D199" s="2"/>
      <c r="E199" s="2"/>
      <c r="F199" s="2"/>
      <c r="G199" s="2"/>
      <c r="H199" s="2"/>
      <c r="I199" s="2"/>
      <c r="J199" s="2"/>
      <c r="K199" s="2"/>
      <c r="L199" s="2"/>
      <c r="M199" s="2"/>
      <c r="N199" s="2"/>
      <c r="O199" s="2"/>
      <c r="P199" s="2"/>
      <c r="Q199" s="2"/>
    </row>
    <row r="200" spans="1:17" ht="12.5">
      <c r="A200" s="2"/>
      <c r="B200" s="2"/>
      <c r="C200" s="2"/>
      <c r="D200" s="2"/>
      <c r="E200" s="2"/>
      <c r="F200" s="2"/>
      <c r="G200" s="2"/>
      <c r="H200" s="2"/>
      <c r="I200" s="2"/>
      <c r="J200" s="2"/>
      <c r="K200" s="2"/>
      <c r="L200" s="2"/>
      <c r="M200" s="2"/>
      <c r="N200" s="2"/>
      <c r="O200" s="2"/>
      <c r="P200" s="2"/>
      <c r="Q200" s="2"/>
    </row>
    <row r="201" spans="1:17" ht="12.5">
      <c r="A201" s="2"/>
      <c r="B201" s="2"/>
      <c r="C201" s="2"/>
      <c r="D201" s="2"/>
      <c r="E201" s="2"/>
      <c r="F201" s="2"/>
      <c r="G201" s="2"/>
      <c r="H201" s="2"/>
      <c r="I201" s="2"/>
      <c r="J201" s="2"/>
      <c r="K201" s="2"/>
      <c r="L201" s="2"/>
      <c r="M201" s="2"/>
      <c r="N201" s="2"/>
      <c r="O201" s="2"/>
      <c r="P201" s="2"/>
      <c r="Q201" s="2"/>
    </row>
    <row r="202" spans="1:17" ht="12.5">
      <c r="A202" s="2"/>
      <c r="B202" s="2"/>
      <c r="C202" s="2"/>
      <c r="D202" s="2"/>
      <c r="E202" s="2"/>
      <c r="F202" s="2"/>
      <c r="G202" s="2"/>
      <c r="H202" s="2"/>
      <c r="I202" s="2"/>
      <c r="J202" s="2"/>
      <c r="K202" s="2"/>
      <c r="L202" s="2"/>
      <c r="M202" s="2"/>
      <c r="N202" s="2"/>
      <c r="O202" s="2"/>
      <c r="P202" s="2"/>
      <c r="Q202" s="2"/>
    </row>
    <row r="203" spans="1:17" ht="12.5">
      <c r="A203" s="2"/>
      <c r="B203" s="2"/>
      <c r="C203" s="2"/>
      <c r="D203" s="2"/>
      <c r="E203" s="2"/>
      <c r="F203" s="2"/>
      <c r="G203" s="2"/>
      <c r="H203" s="2"/>
      <c r="I203" s="2"/>
      <c r="J203" s="2"/>
      <c r="K203" s="2"/>
      <c r="L203" s="2"/>
      <c r="M203" s="2"/>
      <c r="N203" s="2"/>
      <c r="O203" s="2"/>
      <c r="P203" s="2"/>
      <c r="Q203" s="2"/>
    </row>
    <row r="204" spans="1:17" ht="12.5">
      <c r="A204" s="2"/>
      <c r="B204" s="2"/>
      <c r="C204" s="2"/>
      <c r="D204" s="2"/>
      <c r="E204" s="2"/>
      <c r="F204" s="2"/>
      <c r="G204" s="2"/>
      <c r="H204" s="2"/>
      <c r="I204" s="2"/>
      <c r="J204" s="2"/>
      <c r="K204" s="2"/>
      <c r="L204" s="2"/>
      <c r="M204" s="2"/>
      <c r="N204" s="2"/>
      <c r="O204" s="2"/>
      <c r="P204" s="2"/>
      <c r="Q204" s="2"/>
    </row>
    <row r="205" spans="1:17" ht="12.5">
      <c r="A205" s="2"/>
      <c r="B205" s="2"/>
      <c r="C205" s="2"/>
      <c r="D205" s="2"/>
      <c r="E205" s="2"/>
      <c r="F205" s="2"/>
      <c r="G205" s="2"/>
      <c r="H205" s="2"/>
      <c r="I205" s="2"/>
      <c r="J205" s="2"/>
      <c r="K205" s="2"/>
      <c r="L205" s="2"/>
      <c r="M205" s="2"/>
      <c r="N205" s="2"/>
      <c r="O205" s="2"/>
      <c r="P205" s="2"/>
      <c r="Q205" s="2"/>
    </row>
    <row r="206" spans="1:17" ht="12.5">
      <c r="A206" s="2"/>
      <c r="B206" s="2"/>
      <c r="C206" s="2"/>
      <c r="D206" s="2"/>
      <c r="E206" s="2"/>
      <c r="F206" s="2"/>
      <c r="G206" s="2"/>
      <c r="H206" s="2"/>
      <c r="I206" s="2"/>
      <c r="J206" s="2"/>
      <c r="K206" s="2"/>
      <c r="L206" s="2"/>
      <c r="M206" s="2"/>
      <c r="N206" s="2"/>
      <c r="O206" s="2"/>
      <c r="P206" s="2"/>
      <c r="Q206" s="2"/>
    </row>
    <row r="207" spans="1:17" ht="12.5">
      <c r="A207" s="2"/>
      <c r="B207" s="2"/>
      <c r="C207" s="2"/>
      <c r="D207" s="2"/>
      <c r="E207" s="2"/>
      <c r="F207" s="2"/>
      <c r="G207" s="2"/>
      <c r="H207" s="2"/>
      <c r="I207" s="2"/>
      <c r="J207" s="2"/>
      <c r="K207" s="2"/>
      <c r="L207" s="2"/>
      <c r="M207" s="2"/>
      <c r="N207" s="2"/>
      <c r="O207" s="2"/>
      <c r="P207" s="2"/>
      <c r="Q207" s="2"/>
    </row>
    <row r="208" spans="1:17" ht="12.5">
      <c r="A208" s="2"/>
      <c r="B208" s="2"/>
      <c r="C208" s="2"/>
      <c r="D208" s="2"/>
      <c r="E208" s="2"/>
      <c r="F208" s="2"/>
      <c r="G208" s="2"/>
      <c r="H208" s="2"/>
      <c r="I208" s="2"/>
      <c r="J208" s="2"/>
      <c r="K208" s="2"/>
      <c r="L208" s="2"/>
      <c r="M208" s="2"/>
      <c r="N208" s="2"/>
      <c r="O208" s="2"/>
      <c r="P208" s="2"/>
      <c r="Q208" s="2"/>
    </row>
    <row r="209" spans="1:17" ht="12.5">
      <c r="A209" s="2"/>
      <c r="B209" s="2"/>
      <c r="C209" s="2"/>
      <c r="D209" s="2"/>
      <c r="E209" s="2"/>
      <c r="F209" s="2"/>
      <c r="G209" s="2"/>
      <c r="H209" s="2"/>
      <c r="I209" s="2"/>
      <c r="J209" s="2"/>
      <c r="K209" s="2"/>
      <c r="L209" s="2"/>
      <c r="M209" s="2"/>
      <c r="N209" s="2"/>
      <c r="O209" s="2"/>
      <c r="P209" s="2"/>
      <c r="Q209" s="2"/>
    </row>
    <row r="210" spans="1:17" ht="12.5">
      <c r="A210" s="2"/>
      <c r="B210" s="2"/>
      <c r="C210" s="2"/>
      <c r="D210" s="2"/>
      <c r="E210" s="2"/>
      <c r="F210" s="2"/>
      <c r="G210" s="2"/>
      <c r="H210" s="2"/>
      <c r="I210" s="2"/>
      <c r="J210" s="2"/>
      <c r="K210" s="2"/>
      <c r="L210" s="2"/>
      <c r="M210" s="2"/>
      <c r="N210" s="2"/>
      <c r="O210" s="2"/>
      <c r="P210" s="2"/>
      <c r="Q210" s="2"/>
    </row>
    <row r="211" spans="1:17" ht="12.5">
      <c r="A211" s="2"/>
      <c r="B211" s="2"/>
      <c r="C211" s="2"/>
      <c r="D211" s="2"/>
      <c r="E211" s="2"/>
      <c r="F211" s="2"/>
      <c r="G211" s="2"/>
      <c r="H211" s="2"/>
      <c r="I211" s="2"/>
      <c r="J211" s="2"/>
      <c r="K211" s="2"/>
      <c r="L211" s="2"/>
      <c r="M211" s="2"/>
      <c r="N211" s="2"/>
      <c r="O211" s="2"/>
      <c r="P211" s="2"/>
      <c r="Q211" s="2"/>
    </row>
    <row r="212" spans="1:17" ht="12.5">
      <c r="A212" s="2"/>
      <c r="B212" s="2"/>
      <c r="C212" s="2"/>
      <c r="D212" s="2"/>
      <c r="E212" s="2"/>
      <c r="F212" s="2"/>
      <c r="G212" s="2"/>
      <c r="H212" s="2"/>
      <c r="I212" s="2"/>
      <c r="J212" s="2"/>
      <c r="K212" s="2"/>
      <c r="L212" s="2"/>
      <c r="M212" s="2"/>
      <c r="N212" s="2"/>
      <c r="O212" s="2"/>
      <c r="P212" s="2"/>
      <c r="Q212" s="2"/>
    </row>
    <row r="213" spans="1:17" ht="12.5">
      <c r="A213" s="2"/>
      <c r="B213" s="2"/>
      <c r="C213" s="2"/>
      <c r="D213" s="2"/>
      <c r="E213" s="2"/>
      <c r="F213" s="2"/>
      <c r="G213" s="2"/>
      <c r="H213" s="2"/>
      <c r="I213" s="2"/>
      <c r="J213" s="2"/>
      <c r="K213" s="2"/>
      <c r="L213" s="2"/>
      <c r="M213" s="2"/>
      <c r="N213" s="2"/>
      <c r="O213" s="2"/>
      <c r="P213" s="2"/>
      <c r="Q213" s="2"/>
    </row>
    <row r="214" spans="1:17" ht="12.5">
      <c r="A214" s="2"/>
      <c r="B214" s="2"/>
      <c r="C214" s="2"/>
      <c r="D214" s="2"/>
      <c r="E214" s="2"/>
      <c r="F214" s="2"/>
      <c r="G214" s="2"/>
      <c r="H214" s="2"/>
      <c r="I214" s="2"/>
      <c r="J214" s="2"/>
      <c r="K214" s="2"/>
      <c r="L214" s="2"/>
      <c r="M214" s="2"/>
      <c r="N214" s="2"/>
      <c r="O214" s="2"/>
      <c r="P214" s="2"/>
      <c r="Q214" s="2"/>
    </row>
    <row r="215" spans="1:17" ht="12.5">
      <c r="A215" s="2"/>
      <c r="B215" s="2"/>
      <c r="C215" s="2"/>
      <c r="D215" s="2"/>
      <c r="E215" s="2"/>
      <c r="F215" s="2"/>
      <c r="G215" s="2"/>
      <c r="H215" s="2"/>
      <c r="I215" s="2"/>
      <c r="J215" s="2"/>
      <c r="K215" s="2"/>
      <c r="L215" s="2"/>
      <c r="M215" s="2"/>
      <c r="N215" s="2"/>
      <c r="O215" s="2"/>
      <c r="P215" s="2"/>
      <c r="Q215" s="2"/>
    </row>
    <row r="216" spans="1:17" ht="12.5">
      <c r="A216" s="2"/>
      <c r="B216" s="2"/>
      <c r="C216" s="2"/>
      <c r="D216" s="2"/>
      <c r="E216" s="2"/>
      <c r="F216" s="2"/>
      <c r="G216" s="2"/>
      <c r="H216" s="2"/>
      <c r="I216" s="2"/>
      <c r="J216" s="2"/>
      <c r="K216" s="2"/>
      <c r="L216" s="2"/>
      <c r="M216" s="2"/>
      <c r="N216" s="2"/>
      <c r="O216" s="2"/>
      <c r="P216" s="2"/>
      <c r="Q216" s="2"/>
    </row>
    <row r="217" spans="1:17" ht="12.5">
      <c r="A217" s="2"/>
      <c r="B217" s="2"/>
      <c r="C217" s="2"/>
      <c r="D217" s="2"/>
      <c r="E217" s="2"/>
      <c r="F217" s="2"/>
      <c r="G217" s="2"/>
      <c r="H217" s="2"/>
      <c r="I217" s="2"/>
      <c r="J217" s="2"/>
      <c r="K217" s="2"/>
      <c r="L217" s="2"/>
      <c r="M217" s="2"/>
      <c r="N217" s="2"/>
      <c r="O217" s="2"/>
      <c r="P217" s="2"/>
      <c r="Q217" s="2"/>
    </row>
    <row r="218" spans="1:17" ht="12.5">
      <c r="A218" s="2"/>
      <c r="B218" s="2"/>
      <c r="C218" s="2"/>
      <c r="D218" s="2"/>
      <c r="E218" s="2"/>
      <c r="F218" s="2"/>
      <c r="G218" s="2"/>
      <c r="H218" s="2"/>
      <c r="I218" s="2"/>
      <c r="J218" s="2"/>
      <c r="K218" s="2"/>
      <c r="L218" s="2"/>
      <c r="M218" s="2"/>
      <c r="N218" s="2"/>
      <c r="O218" s="2"/>
      <c r="P218" s="2"/>
      <c r="Q218" s="2"/>
    </row>
    <row r="219" spans="1:17" ht="12.5">
      <c r="A219" s="2"/>
      <c r="B219" s="2"/>
      <c r="C219" s="2"/>
      <c r="D219" s="2"/>
      <c r="E219" s="2"/>
      <c r="F219" s="2"/>
      <c r="G219" s="2"/>
      <c r="H219" s="2"/>
      <c r="I219" s="2"/>
      <c r="J219" s="2"/>
      <c r="K219" s="2"/>
      <c r="L219" s="2"/>
      <c r="M219" s="2"/>
      <c r="N219" s="2"/>
      <c r="O219" s="2"/>
      <c r="P219" s="2"/>
      <c r="Q219" s="2"/>
    </row>
    <row r="220" spans="1:17" ht="12.5">
      <c r="A220" s="2"/>
      <c r="B220" s="2"/>
      <c r="C220" s="2"/>
      <c r="D220" s="2"/>
      <c r="E220" s="2"/>
      <c r="F220" s="2"/>
      <c r="G220" s="2"/>
      <c r="H220" s="2"/>
      <c r="I220" s="2"/>
      <c r="J220" s="2"/>
      <c r="K220" s="2"/>
      <c r="L220" s="2"/>
      <c r="M220" s="2"/>
      <c r="N220" s="2"/>
      <c r="O220" s="2"/>
      <c r="P220" s="2"/>
      <c r="Q220" s="2"/>
    </row>
    <row r="221" spans="1:17" ht="12.5">
      <c r="A221" s="2"/>
      <c r="B221" s="2"/>
      <c r="C221" s="2"/>
      <c r="D221" s="2"/>
      <c r="E221" s="2"/>
      <c r="F221" s="2"/>
      <c r="G221" s="2"/>
      <c r="H221" s="2"/>
      <c r="I221" s="2"/>
      <c r="J221" s="2"/>
      <c r="K221" s="2"/>
      <c r="L221" s="2"/>
      <c r="M221" s="2"/>
      <c r="N221" s="2"/>
      <c r="O221" s="2"/>
      <c r="P221" s="2"/>
      <c r="Q221" s="2"/>
    </row>
    <row r="222" spans="1:17" ht="12.5">
      <c r="A222" s="2"/>
      <c r="B222" s="2"/>
      <c r="C222" s="2"/>
      <c r="D222" s="2"/>
      <c r="E222" s="2"/>
      <c r="F222" s="2"/>
      <c r="G222" s="2"/>
      <c r="H222" s="2"/>
      <c r="I222" s="2"/>
      <c r="J222" s="2"/>
      <c r="K222" s="2"/>
      <c r="L222" s="2"/>
      <c r="M222" s="2"/>
      <c r="N222" s="2"/>
      <c r="O222" s="2"/>
      <c r="P222" s="2"/>
      <c r="Q222" s="2"/>
    </row>
    <row r="223" spans="1:17" ht="12.5">
      <c r="A223" s="2"/>
      <c r="B223" s="2"/>
      <c r="C223" s="2"/>
      <c r="D223" s="2"/>
      <c r="E223" s="2"/>
      <c r="F223" s="2"/>
      <c r="G223" s="2"/>
      <c r="H223" s="2"/>
      <c r="I223" s="2"/>
      <c r="J223" s="2"/>
      <c r="K223" s="2"/>
      <c r="L223" s="2"/>
      <c r="M223" s="2"/>
      <c r="N223" s="2"/>
      <c r="O223" s="2"/>
      <c r="P223" s="2"/>
      <c r="Q223" s="2"/>
    </row>
    <row r="224" spans="1:17" ht="12.5">
      <c r="A224" s="2"/>
      <c r="B224" s="2"/>
      <c r="C224" s="2"/>
      <c r="D224" s="2"/>
      <c r="E224" s="2"/>
      <c r="F224" s="2"/>
      <c r="G224" s="2"/>
      <c r="H224" s="2"/>
      <c r="I224" s="2"/>
      <c r="J224" s="2"/>
      <c r="K224" s="2"/>
      <c r="L224" s="2"/>
      <c r="M224" s="2"/>
      <c r="N224" s="2"/>
      <c r="O224" s="2"/>
      <c r="P224" s="2"/>
      <c r="Q224" s="2"/>
    </row>
    <row r="225" spans="1:17" ht="12.5">
      <c r="A225" s="2"/>
      <c r="B225" s="2"/>
      <c r="C225" s="2"/>
      <c r="D225" s="2"/>
      <c r="E225" s="2"/>
      <c r="F225" s="2"/>
      <c r="G225" s="2"/>
      <c r="H225" s="2"/>
      <c r="I225" s="2"/>
      <c r="J225" s="2"/>
      <c r="K225" s="2"/>
      <c r="L225" s="2"/>
      <c r="M225" s="2"/>
      <c r="N225" s="2"/>
      <c r="O225" s="2"/>
      <c r="P225" s="2"/>
      <c r="Q225" s="2"/>
    </row>
    <row r="226" spans="1:17" ht="12.5">
      <c r="A226" s="2"/>
      <c r="B226" s="2"/>
      <c r="C226" s="2"/>
      <c r="D226" s="2"/>
      <c r="E226" s="2"/>
      <c r="F226" s="2"/>
      <c r="G226" s="2"/>
      <c r="H226" s="2"/>
      <c r="I226" s="2"/>
      <c r="J226" s="2"/>
      <c r="K226" s="2"/>
      <c r="L226" s="2"/>
      <c r="M226" s="2"/>
      <c r="N226" s="2"/>
      <c r="O226" s="2"/>
      <c r="P226" s="2"/>
      <c r="Q226" s="2"/>
    </row>
    <row r="227" spans="1:17" ht="12.5">
      <c r="A227" s="2"/>
      <c r="B227" s="2"/>
      <c r="C227" s="2"/>
      <c r="D227" s="2"/>
      <c r="E227" s="2"/>
      <c r="F227" s="2"/>
      <c r="G227" s="2"/>
      <c r="H227" s="2"/>
      <c r="I227" s="2"/>
      <c r="J227" s="2"/>
      <c r="K227" s="2"/>
      <c r="L227" s="2"/>
      <c r="M227" s="2"/>
      <c r="N227" s="2"/>
      <c r="O227" s="2"/>
      <c r="P227" s="2"/>
      <c r="Q227" s="2"/>
    </row>
    <row r="228" spans="1:17" ht="12.5">
      <c r="A228" s="2"/>
      <c r="B228" s="2"/>
      <c r="C228" s="2"/>
      <c r="D228" s="2"/>
      <c r="E228" s="2"/>
      <c r="F228" s="2"/>
      <c r="G228" s="2"/>
      <c r="H228" s="2"/>
      <c r="I228" s="2"/>
      <c r="J228" s="2"/>
      <c r="K228" s="2"/>
      <c r="L228" s="2"/>
      <c r="M228" s="2"/>
      <c r="N228" s="2"/>
      <c r="O228" s="2"/>
      <c r="P228" s="2"/>
      <c r="Q228" s="2"/>
    </row>
    <row r="229" spans="1:17" ht="12.5">
      <c r="A229" s="2"/>
      <c r="B229" s="2"/>
      <c r="C229" s="2"/>
      <c r="D229" s="2"/>
      <c r="E229" s="2"/>
      <c r="F229" s="2"/>
      <c r="G229" s="2"/>
      <c r="H229" s="2"/>
      <c r="I229" s="2"/>
      <c r="J229" s="2"/>
      <c r="K229" s="2"/>
      <c r="L229" s="2"/>
      <c r="M229" s="2"/>
      <c r="N229" s="2"/>
      <c r="O229" s="2"/>
      <c r="P229" s="2"/>
      <c r="Q229" s="2"/>
    </row>
    <row r="230" spans="1:17" ht="12.5">
      <c r="A230" s="2"/>
      <c r="B230" s="2"/>
      <c r="C230" s="2"/>
      <c r="D230" s="2"/>
      <c r="E230" s="2"/>
      <c r="F230" s="2"/>
      <c r="G230" s="2"/>
      <c r="H230" s="2"/>
      <c r="I230" s="2"/>
      <c r="J230" s="2"/>
      <c r="K230" s="2"/>
      <c r="L230" s="2"/>
      <c r="M230" s="2"/>
      <c r="N230" s="2"/>
      <c r="O230" s="2"/>
      <c r="P230" s="2"/>
      <c r="Q230" s="2"/>
    </row>
    <row r="231" spans="1:17" ht="12.5">
      <c r="A231" s="2"/>
      <c r="B231" s="2"/>
      <c r="C231" s="2"/>
      <c r="D231" s="2"/>
      <c r="E231" s="2"/>
      <c r="F231" s="2"/>
      <c r="G231" s="2"/>
      <c r="H231" s="2"/>
      <c r="I231" s="2"/>
      <c r="J231" s="2"/>
      <c r="K231" s="2"/>
      <c r="L231" s="2"/>
      <c r="M231" s="2"/>
      <c r="N231" s="2"/>
      <c r="O231" s="2"/>
      <c r="P231" s="2"/>
      <c r="Q231" s="2"/>
    </row>
    <row r="232" spans="1:17" ht="12.5">
      <c r="A232" s="2"/>
      <c r="B232" s="2"/>
      <c r="C232" s="2"/>
      <c r="D232" s="2"/>
      <c r="E232" s="2"/>
      <c r="F232" s="2"/>
      <c r="G232" s="2"/>
      <c r="H232" s="2"/>
      <c r="I232" s="2"/>
      <c r="J232" s="2"/>
      <c r="K232" s="2"/>
      <c r="L232" s="2"/>
      <c r="M232" s="2"/>
      <c r="N232" s="2"/>
      <c r="O232" s="2"/>
      <c r="P232" s="2"/>
      <c r="Q232" s="2"/>
    </row>
    <row r="233" spans="1:17" ht="12.5">
      <c r="A233" s="2"/>
      <c r="B233" s="2"/>
      <c r="C233" s="2"/>
      <c r="D233" s="2"/>
      <c r="E233" s="2"/>
      <c r="F233" s="2"/>
      <c r="G233" s="2"/>
      <c r="H233" s="2"/>
      <c r="I233" s="2"/>
      <c r="J233" s="2"/>
      <c r="K233" s="2"/>
      <c r="L233" s="2"/>
      <c r="M233" s="2"/>
      <c r="N233" s="2"/>
      <c r="O233" s="2"/>
      <c r="P233" s="2"/>
      <c r="Q233" s="2"/>
    </row>
    <row r="234" spans="1:17" ht="12.5">
      <c r="A234" s="2"/>
      <c r="B234" s="2"/>
      <c r="C234" s="2"/>
      <c r="D234" s="2"/>
      <c r="E234" s="2"/>
      <c r="F234" s="2"/>
      <c r="G234" s="2"/>
      <c r="H234" s="2"/>
      <c r="I234" s="2"/>
      <c r="J234" s="2"/>
      <c r="K234" s="2"/>
      <c r="L234" s="2"/>
      <c r="M234" s="2"/>
      <c r="N234" s="2"/>
      <c r="O234" s="2"/>
      <c r="P234" s="2"/>
      <c r="Q234" s="2"/>
    </row>
    <row r="235" spans="1:17" ht="12.5">
      <c r="A235" s="2"/>
      <c r="B235" s="2"/>
      <c r="C235" s="2"/>
      <c r="D235" s="2"/>
      <c r="E235" s="2"/>
      <c r="F235" s="2"/>
      <c r="G235" s="2"/>
      <c r="H235" s="2"/>
      <c r="I235" s="2"/>
      <c r="J235" s="2"/>
      <c r="K235" s="2"/>
      <c r="L235" s="2"/>
      <c r="M235" s="2"/>
      <c r="N235" s="2"/>
      <c r="O235" s="2"/>
      <c r="P235" s="2"/>
      <c r="Q235" s="2"/>
    </row>
    <row r="236" spans="1:17" ht="12.5">
      <c r="A236" s="2"/>
      <c r="B236" s="2"/>
      <c r="C236" s="2"/>
      <c r="D236" s="2"/>
      <c r="E236" s="2"/>
      <c r="F236" s="2"/>
      <c r="G236" s="2"/>
      <c r="H236" s="2"/>
      <c r="I236" s="2"/>
      <c r="J236" s="2"/>
      <c r="K236" s="2"/>
      <c r="L236" s="2"/>
      <c r="M236" s="2"/>
      <c r="N236" s="2"/>
      <c r="O236" s="2"/>
      <c r="P236" s="2"/>
      <c r="Q236" s="2"/>
    </row>
    <row r="237" spans="1:17" ht="12.5">
      <c r="A237" s="2"/>
      <c r="B237" s="2"/>
      <c r="C237" s="2"/>
      <c r="D237" s="2"/>
      <c r="E237" s="2"/>
      <c r="F237" s="2"/>
      <c r="G237" s="2"/>
      <c r="H237" s="2"/>
      <c r="I237" s="2"/>
      <c r="J237" s="2"/>
      <c r="K237" s="2"/>
      <c r="L237" s="2"/>
      <c r="M237" s="2"/>
      <c r="N237" s="2"/>
      <c r="O237" s="2"/>
      <c r="P237" s="2"/>
      <c r="Q237" s="2"/>
    </row>
    <row r="238" spans="1:17" ht="12.5">
      <c r="A238" s="2"/>
      <c r="B238" s="2"/>
      <c r="C238" s="2"/>
      <c r="D238" s="2"/>
      <c r="E238" s="2"/>
      <c r="F238" s="2"/>
      <c r="G238" s="2"/>
      <c r="H238" s="2"/>
      <c r="I238" s="2"/>
      <c r="J238" s="2"/>
      <c r="K238" s="2"/>
      <c r="L238" s="2"/>
      <c r="M238" s="2"/>
      <c r="N238" s="2"/>
      <c r="O238" s="2"/>
      <c r="P238" s="2"/>
      <c r="Q238" s="2"/>
    </row>
    <row r="239" spans="1:17" ht="12.5">
      <c r="A239" s="2"/>
      <c r="B239" s="2"/>
      <c r="C239" s="2"/>
      <c r="D239" s="2"/>
      <c r="E239" s="2"/>
      <c r="F239" s="2"/>
      <c r="G239" s="2"/>
      <c r="H239" s="2"/>
      <c r="I239" s="2"/>
      <c r="J239" s="2"/>
      <c r="K239" s="2"/>
      <c r="L239" s="2"/>
      <c r="M239" s="2"/>
      <c r="N239" s="2"/>
      <c r="O239" s="2"/>
      <c r="P239" s="2"/>
      <c r="Q239" s="2"/>
    </row>
    <row r="240" spans="1:17" ht="12.5">
      <c r="A240" s="2"/>
      <c r="B240" s="2"/>
      <c r="C240" s="2"/>
      <c r="D240" s="2"/>
      <c r="E240" s="2"/>
      <c r="F240" s="2"/>
      <c r="G240" s="2"/>
      <c r="H240" s="2"/>
      <c r="I240" s="2"/>
      <c r="J240" s="2"/>
      <c r="K240" s="2"/>
      <c r="L240" s="2"/>
      <c r="M240" s="2"/>
      <c r="N240" s="2"/>
      <c r="O240" s="2"/>
      <c r="P240" s="2"/>
      <c r="Q240" s="2"/>
    </row>
    <row r="241" spans="1:17" ht="12.5">
      <c r="A241" s="2"/>
      <c r="B241" s="2"/>
      <c r="C241" s="2"/>
      <c r="D241" s="2"/>
      <c r="E241" s="2"/>
      <c r="F241" s="2"/>
      <c r="G241" s="2"/>
      <c r="H241" s="2"/>
      <c r="I241" s="2"/>
      <c r="J241" s="2"/>
      <c r="K241" s="2"/>
      <c r="L241" s="2"/>
      <c r="M241" s="2"/>
      <c r="N241" s="2"/>
      <c r="O241" s="2"/>
      <c r="P241" s="2"/>
      <c r="Q241" s="2"/>
    </row>
    <row r="242" spans="1:17" ht="12.5">
      <c r="A242" s="2"/>
      <c r="B242" s="2"/>
      <c r="C242" s="2"/>
      <c r="D242" s="2"/>
      <c r="E242" s="2"/>
      <c r="F242" s="2"/>
      <c r="G242" s="2"/>
      <c r="H242" s="2"/>
      <c r="I242" s="2"/>
      <c r="J242" s="2"/>
      <c r="K242" s="2"/>
      <c r="L242" s="2"/>
      <c r="M242" s="2"/>
      <c r="N242" s="2"/>
      <c r="O242" s="2"/>
      <c r="P242" s="2"/>
      <c r="Q242" s="2"/>
    </row>
    <row r="243" spans="1:17" ht="12.5">
      <c r="A243" s="2"/>
      <c r="B243" s="2"/>
      <c r="C243" s="2"/>
      <c r="D243" s="2"/>
      <c r="E243" s="2"/>
      <c r="F243" s="2"/>
      <c r="G243" s="2"/>
      <c r="H243" s="2"/>
      <c r="I243" s="2"/>
      <c r="J243" s="2"/>
      <c r="K243" s="2"/>
      <c r="L243" s="2"/>
      <c r="M243" s="2"/>
      <c r="N243" s="2"/>
      <c r="O243" s="2"/>
      <c r="P243" s="2"/>
      <c r="Q243" s="2"/>
    </row>
    <row r="244" spans="1:17" ht="12.5">
      <c r="A244" s="2"/>
      <c r="B244" s="2"/>
      <c r="C244" s="2"/>
      <c r="D244" s="2"/>
      <c r="E244" s="2"/>
      <c r="F244" s="2"/>
      <c r="G244" s="2"/>
      <c r="H244" s="2"/>
      <c r="I244" s="2"/>
      <c r="J244" s="2"/>
      <c r="K244" s="2"/>
      <c r="L244" s="2"/>
      <c r="M244" s="2"/>
      <c r="N244" s="2"/>
      <c r="O244" s="2"/>
      <c r="P244" s="2"/>
      <c r="Q244" s="2"/>
    </row>
    <row r="245" spans="1:17" ht="12.5">
      <c r="A245" s="2"/>
      <c r="B245" s="2"/>
      <c r="C245" s="2"/>
      <c r="D245" s="2"/>
      <c r="E245" s="2"/>
      <c r="F245" s="2"/>
      <c r="G245" s="2"/>
      <c r="H245" s="2"/>
      <c r="I245" s="2"/>
      <c r="J245" s="2"/>
      <c r="K245" s="2"/>
      <c r="L245" s="2"/>
      <c r="M245" s="2"/>
      <c r="N245" s="2"/>
      <c r="O245" s="2"/>
      <c r="P245" s="2"/>
      <c r="Q245" s="2"/>
    </row>
    <row r="246" spans="1:17" ht="12.5">
      <c r="A246" s="2"/>
      <c r="B246" s="2"/>
      <c r="C246" s="2"/>
      <c r="D246" s="2"/>
      <c r="E246" s="2"/>
      <c r="F246" s="2"/>
      <c r="G246" s="2"/>
      <c r="H246" s="2"/>
      <c r="I246" s="2"/>
      <c r="J246" s="2"/>
      <c r="K246" s="2"/>
      <c r="L246" s="2"/>
      <c r="M246" s="2"/>
      <c r="N246" s="2"/>
      <c r="O246" s="2"/>
      <c r="P246" s="2"/>
      <c r="Q246" s="2"/>
    </row>
    <row r="247" spans="1:17" ht="12.5">
      <c r="A247" s="2"/>
      <c r="B247" s="2"/>
      <c r="C247" s="2"/>
      <c r="D247" s="2"/>
      <c r="E247" s="2"/>
      <c r="F247" s="2"/>
      <c r="G247" s="2"/>
      <c r="H247" s="2"/>
      <c r="I247" s="2"/>
      <c r="J247" s="2"/>
      <c r="K247" s="2"/>
      <c r="L247" s="2"/>
      <c r="M247" s="2"/>
      <c r="N247" s="2"/>
      <c r="O247" s="2"/>
      <c r="P247" s="2"/>
      <c r="Q247" s="2"/>
    </row>
    <row r="248" spans="1:17" ht="12.5">
      <c r="A248" s="2"/>
      <c r="B248" s="2"/>
      <c r="C248" s="2"/>
      <c r="D248" s="2"/>
      <c r="E248" s="2"/>
      <c r="F248" s="2"/>
      <c r="G248" s="2"/>
      <c r="H248" s="2"/>
      <c r="I248" s="2"/>
      <c r="J248" s="2"/>
      <c r="K248" s="2"/>
      <c r="L248" s="2"/>
      <c r="M248" s="2"/>
      <c r="N248" s="2"/>
      <c r="O248" s="2"/>
      <c r="P248" s="2"/>
      <c r="Q248" s="2"/>
    </row>
    <row r="249" spans="1:17" ht="12.5">
      <c r="A249" s="2"/>
      <c r="B249" s="2"/>
      <c r="C249" s="2"/>
      <c r="D249" s="2"/>
      <c r="E249" s="2"/>
      <c r="F249" s="2"/>
      <c r="G249" s="2"/>
      <c r="H249" s="2"/>
      <c r="I249" s="2"/>
      <c r="J249" s="2"/>
      <c r="K249" s="2"/>
      <c r="L249" s="2"/>
      <c r="M249" s="2"/>
      <c r="N249" s="2"/>
      <c r="O249" s="2"/>
      <c r="P249" s="2"/>
      <c r="Q249" s="2"/>
    </row>
    <row r="250" spans="1:17" ht="12.5">
      <c r="A250" s="2"/>
      <c r="B250" s="2"/>
      <c r="C250" s="2"/>
      <c r="D250" s="2"/>
      <c r="E250" s="2"/>
      <c r="F250" s="2"/>
      <c r="G250" s="2"/>
      <c r="H250" s="2"/>
      <c r="I250" s="2"/>
      <c r="J250" s="2"/>
      <c r="K250" s="2"/>
      <c r="L250" s="2"/>
      <c r="M250" s="2"/>
      <c r="N250" s="2"/>
      <c r="O250" s="2"/>
      <c r="P250" s="2"/>
      <c r="Q250" s="2"/>
    </row>
    <row r="251" spans="1:17" ht="12.5">
      <c r="A251" s="2"/>
      <c r="B251" s="2"/>
      <c r="C251" s="2"/>
      <c r="D251" s="2"/>
      <c r="E251" s="2"/>
      <c r="F251" s="2"/>
      <c r="G251" s="2"/>
      <c r="H251" s="2"/>
      <c r="I251" s="2"/>
      <c r="J251" s="2"/>
      <c r="K251" s="2"/>
      <c r="L251" s="2"/>
      <c r="M251" s="2"/>
      <c r="N251" s="2"/>
      <c r="O251" s="2"/>
      <c r="P251" s="2"/>
      <c r="Q251" s="2"/>
    </row>
    <row r="252" spans="1:17" ht="12.5">
      <c r="A252" s="2"/>
      <c r="B252" s="2"/>
      <c r="C252" s="2"/>
      <c r="D252" s="2"/>
      <c r="E252" s="2"/>
      <c r="F252" s="2"/>
      <c r="G252" s="2"/>
      <c r="H252" s="2"/>
      <c r="I252" s="2"/>
      <c r="J252" s="2"/>
      <c r="K252" s="2"/>
      <c r="L252" s="2"/>
      <c r="M252" s="2"/>
      <c r="N252" s="2"/>
      <c r="O252" s="2"/>
      <c r="P252" s="2"/>
      <c r="Q252" s="2"/>
    </row>
    <row r="253" spans="1:17" ht="12.5">
      <c r="A253" s="2"/>
      <c r="B253" s="2"/>
      <c r="C253" s="2"/>
      <c r="D253" s="2"/>
      <c r="E253" s="2"/>
      <c r="F253" s="2"/>
      <c r="G253" s="2"/>
      <c r="H253" s="2"/>
      <c r="I253" s="2"/>
      <c r="J253" s="2"/>
      <c r="K253" s="2"/>
      <c r="L253" s="2"/>
      <c r="M253" s="2"/>
      <c r="N253" s="2"/>
      <c r="O253" s="2"/>
      <c r="P253" s="2"/>
      <c r="Q253" s="2"/>
    </row>
    <row r="254" spans="1:17" ht="12.5">
      <c r="A254" s="2"/>
      <c r="B254" s="2"/>
      <c r="C254" s="2"/>
      <c r="D254" s="2"/>
      <c r="E254" s="2"/>
      <c r="F254" s="2"/>
      <c r="G254" s="2"/>
      <c r="H254" s="2"/>
      <c r="I254" s="2"/>
      <c r="J254" s="2"/>
      <c r="K254" s="2"/>
      <c r="L254" s="2"/>
      <c r="M254" s="2"/>
      <c r="N254" s="2"/>
      <c r="O254" s="2"/>
      <c r="P254" s="2"/>
      <c r="Q254" s="2"/>
    </row>
    <row r="255" spans="1:17" ht="12.5">
      <c r="A255" s="2"/>
      <c r="B255" s="2"/>
      <c r="C255" s="2"/>
      <c r="D255" s="2"/>
      <c r="E255" s="2"/>
      <c r="F255" s="2"/>
      <c r="G255" s="2"/>
      <c r="H255" s="2"/>
      <c r="I255" s="2"/>
      <c r="J255" s="2"/>
      <c r="K255" s="2"/>
      <c r="L255" s="2"/>
      <c r="M255" s="2"/>
      <c r="N255" s="2"/>
      <c r="O255" s="2"/>
      <c r="P255" s="2"/>
      <c r="Q255" s="2"/>
    </row>
    <row r="256" spans="1:17" ht="12.5">
      <c r="A256" s="2"/>
      <c r="B256" s="2"/>
      <c r="C256" s="2"/>
      <c r="D256" s="2"/>
      <c r="E256" s="2"/>
      <c r="F256" s="2"/>
      <c r="G256" s="2"/>
      <c r="H256" s="2"/>
      <c r="I256" s="2"/>
      <c r="J256" s="2"/>
      <c r="K256" s="2"/>
      <c r="L256" s="2"/>
      <c r="M256" s="2"/>
      <c r="N256" s="2"/>
      <c r="O256" s="2"/>
      <c r="P256" s="2"/>
      <c r="Q256" s="2"/>
    </row>
    <row r="257" spans="1:17" ht="12.5">
      <c r="A257" s="2"/>
      <c r="B257" s="2"/>
      <c r="C257" s="2"/>
      <c r="D257" s="2"/>
      <c r="E257" s="2"/>
      <c r="F257" s="2"/>
      <c r="G257" s="2"/>
      <c r="H257" s="2"/>
      <c r="I257" s="2"/>
      <c r="J257" s="2"/>
      <c r="K257" s="2"/>
      <c r="L257" s="2"/>
      <c r="M257" s="2"/>
      <c r="N257" s="2"/>
      <c r="O257" s="2"/>
      <c r="P257" s="2"/>
      <c r="Q257" s="2"/>
    </row>
    <row r="258" spans="1:17" ht="12.5">
      <c r="A258" s="2"/>
      <c r="B258" s="2"/>
      <c r="C258" s="2"/>
      <c r="D258" s="2"/>
      <c r="E258" s="2"/>
      <c r="F258" s="2"/>
      <c r="G258" s="2"/>
      <c r="H258" s="2"/>
      <c r="I258" s="2"/>
      <c r="J258" s="2"/>
      <c r="K258" s="2"/>
      <c r="L258" s="2"/>
      <c r="M258" s="2"/>
      <c r="N258" s="2"/>
      <c r="O258" s="2"/>
      <c r="P258" s="2"/>
      <c r="Q258" s="2"/>
    </row>
    <row r="259" spans="1:17" ht="12.5">
      <c r="A259" s="2"/>
      <c r="B259" s="2"/>
      <c r="C259" s="2"/>
      <c r="D259" s="2"/>
      <c r="E259" s="2"/>
      <c r="F259" s="2"/>
      <c r="G259" s="2"/>
      <c r="H259" s="2"/>
      <c r="I259" s="2"/>
      <c r="J259" s="2"/>
      <c r="K259" s="2"/>
      <c r="L259" s="2"/>
      <c r="M259" s="2"/>
      <c r="N259" s="2"/>
      <c r="O259" s="2"/>
      <c r="P259" s="2"/>
      <c r="Q259" s="2"/>
    </row>
    <row r="260" spans="1:17" ht="12.5">
      <c r="A260" s="2"/>
      <c r="B260" s="2"/>
      <c r="C260" s="2"/>
      <c r="D260" s="2"/>
      <c r="E260" s="2"/>
      <c r="F260" s="2"/>
      <c r="G260" s="2"/>
      <c r="H260" s="2"/>
      <c r="I260" s="2"/>
      <c r="J260" s="2"/>
      <c r="K260" s="2"/>
      <c r="L260" s="2"/>
      <c r="M260" s="2"/>
      <c r="N260" s="2"/>
      <c r="O260" s="2"/>
      <c r="P260" s="2"/>
      <c r="Q260" s="2"/>
    </row>
    <row r="261" spans="1:17" ht="12.5">
      <c r="A261" s="2"/>
      <c r="B261" s="2"/>
      <c r="C261" s="2"/>
      <c r="D261" s="2"/>
      <c r="E261" s="2"/>
      <c r="F261" s="2"/>
      <c r="G261" s="2"/>
      <c r="H261" s="2"/>
      <c r="I261" s="2"/>
      <c r="J261" s="2"/>
      <c r="K261" s="2"/>
      <c r="L261" s="2"/>
      <c r="M261" s="2"/>
      <c r="N261" s="2"/>
      <c r="O261" s="2"/>
      <c r="P261" s="2"/>
      <c r="Q261" s="2"/>
    </row>
    <row r="262" spans="1:17" ht="12.5">
      <c r="A262" s="2"/>
      <c r="B262" s="2"/>
      <c r="C262" s="2"/>
      <c r="D262" s="2"/>
      <c r="E262" s="2"/>
      <c r="F262" s="2"/>
      <c r="G262" s="2"/>
      <c r="H262" s="2"/>
      <c r="I262" s="2"/>
      <c r="J262" s="2"/>
      <c r="K262" s="2"/>
      <c r="L262" s="2"/>
      <c r="M262" s="2"/>
      <c r="N262" s="2"/>
      <c r="O262" s="2"/>
      <c r="P262" s="2"/>
      <c r="Q262" s="2"/>
    </row>
    <row r="263" spans="1:17" ht="12.5">
      <c r="A263" s="2"/>
      <c r="B263" s="2"/>
      <c r="C263" s="2"/>
      <c r="D263" s="2"/>
      <c r="E263" s="2"/>
      <c r="F263" s="2"/>
      <c r="G263" s="2"/>
      <c r="H263" s="2"/>
      <c r="I263" s="2"/>
      <c r="J263" s="2"/>
      <c r="K263" s="2"/>
      <c r="L263" s="2"/>
      <c r="M263" s="2"/>
      <c r="N263" s="2"/>
      <c r="O263" s="2"/>
      <c r="P263" s="2"/>
      <c r="Q263" s="2"/>
    </row>
    <row r="264" spans="1:17" ht="12.5">
      <c r="A264" s="2"/>
      <c r="B264" s="2"/>
      <c r="C264" s="2"/>
      <c r="D264" s="2"/>
      <c r="E264" s="2"/>
      <c r="F264" s="2"/>
      <c r="G264" s="2"/>
      <c r="H264" s="2"/>
      <c r="I264" s="2"/>
      <c r="J264" s="2"/>
      <c r="K264" s="2"/>
      <c r="L264" s="2"/>
      <c r="M264" s="2"/>
      <c r="N264" s="2"/>
      <c r="O264" s="2"/>
      <c r="P264" s="2"/>
      <c r="Q264" s="2"/>
    </row>
    <row r="265" spans="1:17" ht="12.5">
      <c r="A265" s="2"/>
      <c r="B265" s="2"/>
      <c r="C265" s="2"/>
      <c r="D265" s="2"/>
      <c r="E265" s="2"/>
      <c r="F265" s="2"/>
      <c r="G265" s="2"/>
      <c r="H265" s="2"/>
      <c r="I265" s="2"/>
      <c r="J265" s="2"/>
      <c r="K265" s="2"/>
      <c r="L265" s="2"/>
      <c r="M265" s="2"/>
      <c r="N265" s="2"/>
      <c r="O265" s="2"/>
      <c r="P265" s="2"/>
      <c r="Q265" s="2"/>
    </row>
    <row r="266" spans="1:17" ht="12.5">
      <c r="A266" s="2"/>
      <c r="B266" s="2"/>
      <c r="C266" s="2"/>
      <c r="D266" s="2"/>
      <c r="E266" s="2"/>
      <c r="F266" s="2"/>
      <c r="G266" s="2"/>
      <c r="H266" s="2"/>
      <c r="I266" s="2"/>
      <c r="J266" s="2"/>
      <c r="K266" s="2"/>
      <c r="L266" s="2"/>
      <c r="M266" s="2"/>
      <c r="N266" s="2"/>
      <c r="O266" s="2"/>
      <c r="P266" s="2"/>
      <c r="Q266" s="2"/>
    </row>
    <row r="267" spans="1:17" ht="12.5">
      <c r="A267" s="2"/>
      <c r="B267" s="2"/>
      <c r="C267" s="2"/>
      <c r="D267" s="2"/>
      <c r="E267" s="2"/>
      <c r="F267" s="2"/>
      <c r="G267" s="2"/>
      <c r="H267" s="2"/>
      <c r="I267" s="2"/>
      <c r="J267" s="2"/>
      <c r="K267" s="2"/>
      <c r="L267" s="2"/>
      <c r="M267" s="2"/>
      <c r="N267" s="2"/>
      <c r="O267" s="2"/>
      <c r="P267" s="2"/>
      <c r="Q267" s="2"/>
    </row>
    <row r="268" spans="1:17" ht="12.5">
      <c r="A268" s="2"/>
      <c r="B268" s="2"/>
      <c r="C268" s="2"/>
      <c r="D268" s="2"/>
      <c r="E268" s="2"/>
      <c r="F268" s="2"/>
      <c r="G268" s="2"/>
      <c r="H268" s="2"/>
      <c r="I268" s="2"/>
      <c r="J268" s="2"/>
      <c r="K268" s="2"/>
      <c r="L268" s="2"/>
      <c r="M268" s="2"/>
      <c r="N268" s="2"/>
      <c r="O268" s="2"/>
      <c r="P268" s="2"/>
      <c r="Q268" s="2"/>
    </row>
    <row r="269" spans="1:17" ht="12.5">
      <c r="A269" s="2"/>
      <c r="B269" s="2"/>
      <c r="C269" s="2"/>
      <c r="D269" s="2"/>
      <c r="E269" s="2"/>
      <c r="F269" s="2"/>
      <c r="G269" s="2"/>
      <c r="H269" s="2"/>
      <c r="I269" s="2"/>
      <c r="J269" s="2"/>
      <c r="K269" s="2"/>
      <c r="L269" s="2"/>
      <c r="M269" s="2"/>
      <c r="N269" s="2"/>
      <c r="O269" s="2"/>
      <c r="P269" s="2"/>
      <c r="Q269" s="2"/>
    </row>
    <row r="270" spans="1:17" ht="12.5">
      <c r="A270" s="2"/>
      <c r="B270" s="2"/>
      <c r="C270" s="2"/>
      <c r="D270" s="2"/>
      <c r="E270" s="2"/>
      <c r="F270" s="2"/>
      <c r="G270" s="2"/>
      <c r="H270" s="2"/>
      <c r="I270" s="2"/>
      <c r="J270" s="2"/>
      <c r="K270" s="2"/>
      <c r="L270" s="2"/>
      <c r="M270" s="2"/>
      <c r="N270" s="2"/>
      <c r="O270" s="2"/>
      <c r="P270" s="2"/>
      <c r="Q270" s="2"/>
    </row>
    <row r="271" spans="1:17" ht="12.5">
      <c r="A271" s="2"/>
      <c r="B271" s="2"/>
      <c r="C271" s="2"/>
      <c r="D271" s="2"/>
      <c r="E271" s="2"/>
      <c r="F271" s="2"/>
      <c r="G271" s="2"/>
      <c r="H271" s="2"/>
      <c r="I271" s="2"/>
      <c r="J271" s="2"/>
      <c r="K271" s="2"/>
      <c r="L271" s="2"/>
      <c r="M271" s="2"/>
      <c r="N271" s="2"/>
      <c r="O271" s="2"/>
      <c r="P271" s="2"/>
      <c r="Q271" s="2"/>
    </row>
    <row r="272" spans="1:17" ht="12.5">
      <c r="A272" s="2"/>
      <c r="B272" s="2"/>
      <c r="C272" s="2"/>
      <c r="D272" s="2"/>
      <c r="E272" s="2"/>
      <c r="F272" s="2"/>
      <c r="G272" s="2"/>
      <c r="H272" s="2"/>
      <c r="I272" s="2"/>
      <c r="J272" s="2"/>
      <c r="K272" s="2"/>
      <c r="L272" s="2"/>
      <c r="M272" s="2"/>
      <c r="N272" s="2"/>
      <c r="O272" s="2"/>
      <c r="P272" s="2"/>
      <c r="Q272" s="2"/>
    </row>
    <row r="273" spans="1:17" ht="12.5">
      <c r="A273" s="2"/>
      <c r="B273" s="2"/>
      <c r="C273" s="2"/>
      <c r="D273" s="2"/>
      <c r="E273" s="2"/>
      <c r="F273" s="2"/>
      <c r="G273" s="2"/>
      <c r="H273" s="2"/>
      <c r="I273" s="2"/>
      <c r="J273" s="2"/>
      <c r="K273" s="2"/>
      <c r="L273" s="2"/>
      <c r="M273" s="2"/>
      <c r="N273" s="2"/>
      <c r="O273" s="2"/>
      <c r="P273" s="2"/>
      <c r="Q273" s="2"/>
    </row>
    <row r="274" spans="1:17" ht="12.5">
      <c r="A274" s="2"/>
      <c r="B274" s="2"/>
      <c r="C274" s="2"/>
      <c r="D274" s="2"/>
      <c r="E274" s="2"/>
      <c r="F274" s="2"/>
      <c r="G274" s="2"/>
      <c r="H274" s="2"/>
      <c r="I274" s="2"/>
      <c r="J274" s="2"/>
      <c r="K274" s="2"/>
      <c r="L274" s="2"/>
      <c r="M274" s="2"/>
      <c r="N274" s="2"/>
      <c r="O274" s="2"/>
      <c r="P274" s="2"/>
      <c r="Q274" s="2"/>
    </row>
    <row r="275" spans="1:17" ht="12.5">
      <c r="A275" s="2"/>
      <c r="B275" s="2"/>
      <c r="C275" s="2"/>
      <c r="D275" s="2"/>
      <c r="E275" s="2"/>
      <c r="F275" s="2"/>
      <c r="G275" s="2"/>
      <c r="H275" s="2"/>
      <c r="I275" s="2"/>
      <c r="J275" s="2"/>
      <c r="K275" s="2"/>
      <c r="L275" s="2"/>
      <c r="M275" s="2"/>
      <c r="N275" s="2"/>
      <c r="O275" s="2"/>
      <c r="P275" s="2"/>
      <c r="Q275" s="2"/>
    </row>
    <row r="276" spans="1:17" ht="12.5">
      <c r="A276" s="2"/>
      <c r="B276" s="2"/>
      <c r="C276" s="2"/>
      <c r="D276" s="2"/>
      <c r="E276" s="2"/>
      <c r="F276" s="2"/>
      <c r="G276" s="2"/>
      <c r="H276" s="2"/>
      <c r="I276" s="2"/>
      <c r="J276" s="2"/>
      <c r="K276" s="2"/>
      <c r="L276" s="2"/>
      <c r="M276" s="2"/>
      <c r="N276" s="2"/>
      <c r="O276" s="2"/>
      <c r="P276" s="2"/>
      <c r="Q276" s="2"/>
    </row>
    <row r="277" spans="1:17" ht="12.5">
      <c r="A277" s="2"/>
      <c r="B277" s="2"/>
      <c r="C277" s="2"/>
      <c r="D277" s="2"/>
      <c r="E277" s="2"/>
      <c r="F277" s="2"/>
      <c r="G277" s="2"/>
      <c r="H277" s="2"/>
      <c r="I277" s="2"/>
      <c r="J277" s="2"/>
      <c r="K277" s="2"/>
      <c r="L277" s="2"/>
      <c r="M277" s="2"/>
      <c r="N277" s="2"/>
      <c r="O277" s="2"/>
      <c r="P277" s="2"/>
      <c r="Q277" s="2"/>
    </row>
    <row r="278" spans="1:17" ht="12.5">
      <c r="A278" s="2"/>
      <c r="B278" s="2"/>
      <c r="C278" s="2"/>
      <c r="D278" s="2"/>
      <c r="E278" s="2"/>
      <c r="F278" s="2"/>
      <c r="G278" s="2"/>
      <c r="H278" s="2"/>
      <c r="I278" s="2"/>
      <c r="J278" s="2"/>
      <c r="K278" s="2"/>
      <c r="L278" s="2"/>
      <c r="M278" s="2"/>
      <c r="N278" s="2"/>
      <c r="O278" s="2"/>
      <c r="P278" s="2"/>
      <c r="Q278" s="2"/>
    </row>
    <row r="279" spans="1:17" ht="12.5">
      <c r="A279" s="2"/>
      <c r="B279" s="2"/>
      <c r="C279" s="2"/>
      <c r="D279" s="2"/>
      <c r="E279" s="2"/>
      <c r="F279" s="2"/>
      <c r="G279" s="2"/>
      <c r="H279" s="2"/>
      <c r="I279" s="2"/>
      <c r="J279" s="2"/>
      <c r="K279" s="2"/>
      <c r="L279" s="2"/>
      <c r="M279" s="2"/>
      <c r="N279" s="2"/>
      <c r="O279" s="2"/>
      <c r="P279" s="2"/>
      <c r="Q279" s="2"/>
    </row>
    <row r="280" spans="1:17" ht="12.5">
      <c r="A280" s="2"/>
      <c r="B280" s="2"/>
      <c r="C280" s="2"/>
      <c r="D280" s="2"/>
      <c r="E280" s="2"/>
      <c r="F280" s="2"/>
      <c r="G280" s="2"/>
      <c r="H280" s="2"/>
      <c r="I280" s="2"/>
      <c r="J280" s="2"/>
      <c r="K280" s="2"/>
      <c r="L280" s="2"/>
      <c r="M280" s="2"/>
      <c r="N280" s="2"/>
      <c r="O280" s="2"/>
      <c r="P280" s="2"/>
      <c r="Q280" s="2"/>
    </row>
    <row r="281" spans="1:17" ht="12.5">
      <c r="A281" s="2"/>
      <c r="B281" s="2"/>
      <c r="C281" s="2"/>
      <c r="D281" s="2"/>
      <c r="E281" s="2"/>
      <c r="F281" s="2"/>
      <c r="G281" s="2"/>
      <c r="H281" s="2"/>
      <c r="I281" s="2"/>
      <c r="J281" s="2"/>
      <c r="K281" s="2"/>
      <c r="L281" s="2"/>
      <c r="M281" s="2"/>
      <c r="N281" s="2"/>
      <c r="O281" s="2"/>
      <c r="P281" s="2"/>
      <c r="Q281" s="2"/>
    </row>
    <row r="282" spans="1:17" ht="12.5">
      <c r="A282" s="2"/>
      <c r="B282" s="2"/>
      <c r="C282" s="2"/>
      <c r="D282" s="2"/>
      <c r="E282" s="2"/>
      <c r="F282" s="2"/>
      <c r="G282" s="2"/>
      <c r="H282" s="2"/>
      <c r="I282" s="2"/>
      <c r="J282" s="2"/>
      <c r="K282" s="2"/>
      <c r="L282" s="2"/>
      <c r="M282" s="2"/>
      <c r="N282" s="2"/>
      <c r="O282" s="2"/>
      <c r="P282" s="2"/>
      <c r="Q282" s="2"/>
    </row>
    <row r="283" spans="1:17" ht="12.5">
      <c r="A283" s="2"/>
      <c r="B283" s="2"/>
      <c r="C283" s="2"/>
      <c r="D283" s="2"/>
      <c r="E283" s="2"/>
      <c r="F283" s="2"/>
      <c r="G283" s="2"/>
      <c r="H283" s="2"/>
      <c r="I283" s="2"/>
      <c r="J283" s="2"/>
      <c r="K283" s="2"/>
      <c r="L283" s="2"/>
      <c r="M283" s="2"/>
      <c r="N283" s="2"/>
      <c r="O283" s="2"/>
      <c r="P283" s="2"/>
      <c r="Q283" s="2"/>
    </row>
    <row r="284" spans="1:17" ht="12.5">
      <c r="A284" s="2"/>
      <c r="B284" s="2"/>
      <c r="C284" s="2"/>
      <c r="D284" s="2"/>
      <c r="E284" s="2"/>
      <c r="F284" s="2"/>
      <c r="G284" s="2"/>
      <c r="H284" s="2"/>
      <c r="I284" s="2"/>
      <c r="J284" s="2"/>
      <c r="K284" s="2"/>
      <c r="L284" s="2"/>
      <c r="M284" s="2"/>
      <c r="N284" s="2"/>
      <c r="O284" s="2"/>
      <c r="P284" s="2"/>
      <c r="Q284" s="2"/>
    </row>
    <row r="285" spans="1:17" ht="12.5">
      <c r="A285" s="2"/>
      <c r="B285" s="2"/>
      <c r="C285" s="2"/>
      <c r="D285" s="2"/>
      <c r="E285" s="2"/>
      <c r="F285" s="2"/>
      <c r="G285" s="2"/>
      <c r="H285" s="2"/>
      <c r="I285" s="2"/>
      <c r="J285" s="2"/>
      <c r="K285" s="2"/>
      <c r="L285" s="2"/>
      <c r="M285" s="2"/>
      <c r="N285" s="2"/>
      <c r="O285" s="2"/>
      <c r="P285" s="2"/>
      <c r="Q285" s="2"/>
    </row>
    <row r="286" spans="1:17" ht="12.5">
      <c r="A286" s="2"/>
      <c r="B286" s="2"/>
      <c r="C286" s="2"/>
      <c r="D286" s="2"/>
      <c r="E286" s="2"/>
      <c r="F286" s="2"/>
      <c r="G286" s="2"/>
      <c r="H286" s="2"/>
      <c r="I286" s="2"/>
      <c r="J286" s="2"/>
      <c r="K286" s="2"/>
      <c r="L286" s="2"/>
      <c r="M286" s="2"/>
      <c r="N286" s="2"/>
      <c r="O286" s="2"/>
      <c r="P286" s="2"/>
      <c r="Q286" s="2"/>
    </row>
    <row r="287" spans="1:17" ht="12.5">
      <c r="A287" s="2"/>
      <c r="B287" s="2"/>
      <c r="C287" s="2"/>
      <c r="D287" s="2"/>
      <c r="E287" s="2"/>
      <c r="F287" s="2"/>
      <c r="G287" s="2"/>
      <c r="H287" s="2"/>
      <c r="I287" s="2"/>
      <c r="J287" s="2"/>
      <c r="K287" s="2"/>
      <c r="L287" s="2"/>
      <c r="M287" s="2"/>
      <c r="N287" s="2"/>
      <c r="O287" s="2"/>
      <c r="P287" s="2"/>
      <c r="Q287" s="2"/>
    </row>
    <row r="288" spans="1:17" ht="12.5">
      <c r="A288" s="2"/>
      <c r="B288" s="2"/>
      <c r="C288" s="2"/>
      <c r="D288" s="2"/>
      <c r="E288" s="2"/>
      <c r="F288" s="2"/>
      <c r="G288" s="2"/>
      <c r="H288" s="2"/>
      <c r="I288" s="2"/>
      <c r="J288" s="2"/>
      <c r="K288" s="2"/>
      <c r="L288" s="2"/>
      <c r="M288" s="2"/>
      <c r="N288" s="2"/>
      <c r="O288" s="2"/>
      <c r="P288" s="2"/>
      <c r="Q288" s="2"/>
    </row>
    <row r="289" spans="1:17" ht="12.5">
      <c r="A289" s="2"/>
      <c r="B289" s="2"/>
      <c r="C289" s="2"/>
      <c r="D289" s="2"/>
      <c r="E289" s="2"/>
      <c r="F289" s="2"/>
      <c r="G289" s="2"/>
      <c r="H289" s="2"/>
      <c r="I289" s="2"/>
      <c r="J289" s="2"/>
      <c r="K289" s="2"/>
      <c r="L289" s="2"/>
      <c r="M289" s="2"/>
      <c r="N289" s="2"/>
      <c r="O289" s="2"/>
      <c r="P289" s="2"/>
      <c r="Q289" s="2"/>
    </row>
    <row r="290" spans="1:17" ht="12.5">
      <c r="A290" s="2"/>
      <c r="B290" s="2"/>
      <c r="C290" s="2"/>
      <c r="D290" s="2"/>
      <c r="E290" s="2"/>
      <c r="F290" s="2"/>
      <c r="G290" s="2"/>
      <c r="H290" s="2"/>
      <c r="I290" s="2"/>
      <c r="J290" s="2"/>
      <c r="K290" s="2"/>
      <c r="L290" s="2"/>
      <c r="M290" s="2"/>
      <c r="N290" s="2"/>
      <c r="O290" s="2"/>
      <c r="P290" s="2"/>
      <c r="Q290" s="2"/>
    </row>
    <row r="291" spans="1:17" ht="12.5">
      <c r="A291" s="2"/>
      <c r="B291" s="2"/>
      <c r="C291" s="2"/>
      <c r="D291" s="2"/>
      <c r="E291" s="2"/>
      <c r="F291" s="2"/>
      <c r="G291" s="2"/>
      <c r="H291" s="2"/>
      <c r="I291" s="2"/>
      <c r="J291" s="2"/>
      <c r="K291" s="2"/>
      <c r="L291" s="2"/>
      <c r="M291" s="2"/>
      <c r="N291" s="2"/>
      <c r="O291" s="2"/>
      <c r="P291" s="2"/>
      <c r="Q291" s="2"/>
    </row>
    <row r="292" spans="1:17" ht="12.5">
      <c r="A292" s="2"/>
      <c r="B292" s="2"/>
      <c r="C292" s="2"/>
      <c r="D292" s="2"/>
      <c r="E292" s="2"/>
      <c r="F292" s="2"/>
      <c r="G292" s="2"/>
      <c r="H292" s="2"/>
      <c r="I292" s="2"/>
      <c r="J292" s="2"/>
      <c r="K292" s="2"/>
      <c r="L292" s="2"/>
      <c r="M292" s="2"/>
      <c r="N292" s="2"/>
      <c r="O292" s="2"/>
      <c r="P292" s="2"/>
      <c r="Q292" s="2"/>
    </row>
    <row r="293" spans="1:17" ht="12.5">
      <c r="A293" s="2"/>
      <c r="B293" s="2"/>
      <c r="C293" s="2"/>
      <c r="D293" s="2"/>
      <c r="E293" s="2"/>
      <c r="F293" s="2"/>
      <c r="G293" s="2"/>
      <c r="H293" s="2"/>
      <c r="I293" s="2"/>
      <c r="J293" s="2"/>
      <c r="K293" s="2"/>
      <c r="L293" s="2"/>
      <c r="M293" s="2"/>
      <c r="N293" s="2"/>
      <c r="O293" s="2"/>
      <c r="P293" s="2"/>
      <c r="Q293" s="2"/>
    </row>
    <row r="294" spans="1:17" ht="12.5">
      <c r="A294" s="2"/>
      <c r="B294" s="2"/>
      <c r="C294" s="2"/>
      <c r="D294" s="2"/>
      <c r="E294" s="2"/>
      <c r="F294" s="2"/>
      <c r="G294" s="2"/>
      <c r="H294" s="2"/>
      <c r="I294" s="2"/>
      <c r="J294" s="2"/>
      <c r="K294" s="2"/>
      <c r="L294" s="2"/>
      <c r="M294" s="2"/>
      <c r="N294" s="2"/>
      <c r="O294" s="2"/>
      <c r="P294" s="2"/>
      <c r="Q294" s="2"/>
    </row>
    <row r="295" spans="1:17" ht="12.5">
      <c r="A295" s="2"/>
      <c r="B295" s="2"/>
      <c r="C295" s="2"/>
      <c r="D295" s="2"/>
      <c r="E295" s="2"/>
      <c r="F295" s="2"/>
      <c r="G295" s="2"/>
      <c r="H295" s="2"/>
      <c r="I295" s="2"/>
      <c r="J295" s="2"/>
      <c r="K295" s="2"/>
      <c r="L295" s="2"/>
      <c r="M295" s="2"/>
      <c r="N295" s="2"/>
      <c r="O295" s="2"/>
      <c r="P295" s="2"/>
      <c r="Q295" s="2"/>
    </row>
    <row r="296" spans="1:17" ht="12.5">
      <c r="A296" s="2"/>
      <c r="B296" s="2"/>
      <c r="C296" s="2"/>
      <c r="D296" s="2"/>
      <c r="E296" s="2"/>
      <c r="F296" s="2"/>
      <c r="G296" s="2"/>
      <c r="H296" s="2"/>
      <c r="I296" s="2"/>
      <c r="J296" s="2"/>
      <c r="K296" s="2"/>
      <c r="L296" s="2"/>
      <c r="M296" s="2"/>
      <c r="N296" s="2"/>
      <c r="O296" s="2"/>
      <c r="P296" s="2"/>
      <c r="Q296" s="2"/>
    </row>
    <row r="297" spans="1:17" ht="12.5">
      <c r="A297" s="2"/>
      <c r="B297" s="2"/>
      <c r="C297" s="2"/>
      <c r="D297" s="2"/>
      <c r="E297" s="2"/>
      <c r="F297" s="2"/>
      <c r="G297" s="2"/>
      <c r="H297" s="2"/>
      <c r="I297" s="2"/>
      <c r="J297" s="2"/>
      <c r="K297" s="2"/>
      <c r="L297" s="2"/>
      <c r="M297" s="2"/>
      <c r="N297" s="2"/>
      <c r="O297" s="2"/>
      <c r="P297" s="2"/>
      <c r="Q297" s="2"/>
    </row>
    <row r="298" spans="1:17" ht="12.5">
      <c r="A298" s="2"/>
      <c r="B298" s="2"/>
      <c r="C298" s="2"/>
      <c r="D298" s="2"/>
      <c r="E298" s="2"/>
      <c r="F298" s="2"/>
      <c r="G298" s="2"/>
      <c r="H298" s="2"/>
      <c r="I298" s="2"/>
      <c r="J298" s="2"/>
      <c r="K298" s="2"/>
      <c r="L298" s="2"/>
      <c r="M298" s="2"/>
      <c r="N298" s="2"/>
      <c r="O298" s="2"/>
      <c r="P298" s="2"/>
      <c r="Q298" s="2"/>
    </row>
    <row r="299" spans="1:17" ht="12.5">
      <c r="A299" s="2"/>
      <c r="B299" s="2"/>
      <c r="C299" s="2"/>
      <c r="D299" s="2"/>
      <c r="E299" s="2"/>
      <c r="F299" s="2"/>
      <c r="G299" s="2"/>
      <c r="H299" s="2"/>
      <c r="I299" s="2"/>
      <c r="J299" s="2"/>
      <c r="K299" s="2"/>
      <c r="L299" s="2"/>
      <c r="M299" s="2"/>
      <c r="N299" s="2"/>
      <c r="O299" s="2"/>
      <c r="P299" s="2"/>
      <c r="Q299" s="2"/>
    </row>
    <row r="300" spans="1:17" ht="12.5">
      <c r="A300" s="2"/>
      <c r="B300" s="2"/>
      <c r="C300" s="2"/>
      <c r="D300" s="2"/>
      <c r="E300" s="2"/>
      <c r="F300" s="2"/>
      <c r="G300" s="2"/>
      <c r="H300" s="2"/>
      <c r="I300" s="2"/>
      <c r="J300" s="2"/>
      <c r="K300" s="2"/>
      <c r="L300" s="2"/>
      <c r="M300" s="2"/>
      <c r="N300" s="2"/>
      <c r="O300" s="2"/>
      <c r="P300" s="2"/>
      <c r="Q300" s="2"/>
    </row>
    <row r="301" spans="1:17" ht="12.5">
      <c r="A301" s="2"/>
      <c r="B301" s="2"/>
      <c r="C301" s="2"/>
      <c r="D301" s="2"/>
      <c r="E301" s="2"/>
      <c r="F301" s="2"/>
      <c r="G301" s="2"/>
      <c r="H301" s="2"/>
      <c r="I301" s="2"/>
      <c r="J301" s="2"/>
      <c r="K301" s="2"/>
      <c r="L301" s="2"/>
      <c r="M301" s="2"/>
      <c r="N301" s="2"/>
      <c r="O301" s="2"/>
      <c r="P301" s="2"/>
      <c r="Q301" s="2"/>
    </row>
    <row r="302" spans="1:17" ht="12.5">
      <c r="A302" s="2"/>
      <c r="B302" s="2"/>
      <c r="C302" s="2"/>
      <c r="D302" s="2"/>
      <c r="E302" s="2"/>
      <c r="F302" s="2"/>
      <c r="G302" s="2"/>
      <c r="H302" s="2"/>
      <c r="I302" s="2"/>
      <c r="J302" s="2"/>
      <c r="K302" s="2"/>
      <c r="L302" s="2"/>
      <c r="M302" s="2"/>
      <c r="N302" s="2"/>
      <c r="O302" s="2"/>
      <c r="P302" s="2"/>
      <c r="Q302" s="2"/>
    </row>
    <row r="303" spans="1:17" ht="12.5">
      <c r="A303" s="2"/>
      <c r="B303" s="2"/>
      <c r="C303" s="2"/>
      <c r="D303" s="2"/>
      <c r="E303" s="2"/>
      <c r="F303" s="2"/>
      <c r="G303" s="2"/>
      <c r="H303" s="2"/>
      <c r="I303" s="2"/>
      <c r="J303" s="2"/>
      <c r="K303" s="2"/>
      <c r="L303" s="2"/>
      <c r="M303" s="2"/>
      <c r="N303" s="2"/>
      <c r="O303" s="2"/>
      <c r="P303" s="2"/>
      <c r="Q303" s="2"/>
    </row>
    <row r="304" spans="1:17" ht="12.5">
      <c r="A304" s="2"/>
      <c r="B304" s="2"/>
      <c r="C304" s="2"/>
      <c r="D304" s="2"/>
      <c r="E304" s="2"/>
      <c r="F304" s="2"/>
      <c r="G304" s="2"/>
      <c r="H304" s="2"/>
      <c r="I304" s="2"/>
      <c r="J304" s="2"/>
      <c r="K304" s="2"/>
      <c r="L304" s="2"/>
      <c r="M304" s="2"/>
      <c r="N304" s="2"/>
      <c r="O304" s="2"/>
      <c r="P304" s="2"/>
      <c r="Q304" s="2"/>
    </row>
    <row r="305" spans="1:17" ht="12.5">
      <c r="A305" s="2"/>
      <c r="B305" s="2"/>
      <c r="C305" s="2"/>
      <c r="D305" s="2"/>
      <c r="E305" s="2"/>
      <c r="F305" s="2"/>
      <c r="G305" s="2"/>
      <c r="H305" s="2"/>
      <c r="I305" s="2"/>
      <c r="J305" s="2"/>
      <c r="K305" s="2"/>
      <c r="L305" s="2"/>
      <c r="M305" s="2"/>
      <c r="N305" s="2"/>
      <c r="O305" s="2"/>
      <c r="P305" s="2"/>
      <c r="Q305" s="2"/>
    </row>
    <row r="306" spans="1:17" ht="12.5">
      <c r="A306" s="2"/>
      <c r="B306" s="2"/>
      <c r="C306" s="2"/>
      <c r="D306" s="2"/>
      <c r="E306" s="2"/>
      <c r="F306" s="2"/>
      <c r="G306" s="2"/>
      <c r="H306" s="2"/>
      <c r="I306" s="2"/>
      <c r="J306" s="2"/>
      <c r="K306" s="2"/>
      <c r="L306" s="2"/>
      <c r="M306" s="2"/>
      <c r="N306" s="2"/>
      <c r="O306" s="2"/>
      <c r="P306" s="2"/>
      <c r="Q306" s="2"/>
    </row>
    <row r="307" spans="1:17" ht="12.5">
      <c r="A307" s="2"/>
      <c r="B307" s="2"/>
      <c r="C307" s="2"/>
      <c r="D307" s="2"/>
      <c r="E307" s="2"/>
      <c r="F307" s="2"/>
      <c r="G307" s="2"/>
      <c r="H307" s="2"/>
      <c r="I307" s="2"/>
      <c r="J307" s="2"/>
      <c r="K307" s="2"/>
      <c r="L307" s="2"/>
      <c r="M307" s="2"/>
      <c r="N307" s="2"/>
      <c r="O307" s="2"/>
      <c r="P307" s="2"/>
      <c r="Q307" s="2"/>
    </row>
    <row r="308" spans="1:17" ht="12.5">
      <c r="A308" s="2"/>
      <c r="B308" s="2"/>
      <c r="C308" s="2"/>
      <c r="D308" s="2"/>
      <c r="E308" s="2"/>
      <c r="F308" s="2"/>
      <c r="G308" s="2"/>
      <c r="H308" s="2"/>
      <c r="I308" s="2"/>
      <c r="J308" s="2"/>
      <c r="K308" s="2"/>
      <c r="L308" s="2"/>
      <c r="M308" s="2"/>
      <c r="N308" s="2"/>
      <c r="O308" s="2"/>
      <c r="P308" s="2"/>
      <c r="Q308" s="2"/>
    </row>
    <row r="309" spans="1:17" ht="12.5">
      <c r="A309" s="2"/>
      <c r="B309" s="2"/>
      <c r="C309" s="2"/>
      <c r="D309" s="2"/>
      <c r="E309" s="2"/>
      <c r="F309" s="2"/>
      <c r="G309" s="2"/>
      <c r="H309" s="2"/>
      <c r="I309" s="2"/>
      <c r="J309" s="2"/>
      <c r="K309" s="2"/>
      <c r="L309" s="2"/>
      <c r="M309" s="2"/>
      <c r="N309" s="2"/>
      <c r="O309" s="2"/>
      <c r="P309" s="2"/>
      <c r="Q309" s="2"/>
    </row>
    <row r="310" spans="1:17" ht="12.5">
      <c r="A310" s="2"/>
      <c r="B310" s="2"/>
      <c r="C310" s="2"/>
      <c r="D310" s="2"/>
      <c r="E310" s="2"/>
      <c r="F310" s="2"/>
      <c r="G310" s="2"/>
      <c r="H310" s="2"/>
      <c r="I310" s="2"/>
      <c r="J310" s="2"/>
      <c r="K310" s="2"/>
      <c r="L310" s="2"/>
      <c r="M310" s="2"/>
      <c r="N310" s="2"/>
      <c r="O310" s="2"/>
      <c r="P310" s="2"/>
      <c r="Q310" s="2"/>
    </row>
    <row r="311" spans="1:17" ht="12.5">
      <c r="A311" s="2"/>
      <c r="B311" s="2"/>
      <c r="C311" s="2"/>
      <c r="D311" s="2"/>
      <c r="E311" s="2"/>
      <c r="F311" s="2"/>
      <c r="G311" s="2"/>
      <c r="H311" s="2"/>
      <c r="I311" s="2"/>
      <c r="J311" s="2"/>
      <c r="K311" s="2"/>
      <c r="L311" s="2"/>
      <c r="M311" s="2"/>
      <c r="N311" s="2"/>
      <c r="O311" s="2"/>
      <c r="P311" s="2"/>
      <c r="Q311" s="2"/>
    </row>
    <row r="312" spans="1:17" ht="12.5">
      <c r="A312" s="2"/>
      <c r="B312" s="2"/>
      <c r="C312" s="2"/>
      <c r="D312" s="2"/>
      <c r="E312" s="2"/>
      <c r="F312" s="2"/>
      <c r="G312" s="2"/>
      <c r="H312" s="2"/>
      <c r="I312" s="2"/>
      <c r="J312" s="2"/>
      <c r="K312" s="2"/>
      <c r="L312" s="2"/>
      <c r="M312" s="2"/>
      <c r="N312" s="2"/>
      <c r="O312" s="2"/>
      <c r="P312" s="2"/>
      <c r="Q312" s="2"/>
    </row>
    <row r="313" spans="1:17" ht="12.5">
      <c r="A313" s="2"/>
      <c r="B313" s="2"/>
      <c r="C313" s="2"/>
      <c r="D313" s="2"/>
      <c r="E313" s="2"/>
      <c r="F313" s="2"/>
      <c r="G313" s="2"/>
      <c r="H313" s="2"/>
      <c r="I313" s="2"/>
      <c r="J313" s="2"/>
      <c r="K313" s="2"/>
      <c r="L313" s="2"/>
      <c r="M313" s="2"/>
      <c r="N313" s="2"/>
      <c r="O313" s="2"/>
      <c r="P313" s="2"/>
      <c r="Q313" s="2"/>
    </row>
    <row r="314" spans="1:17" ht="12.5">
      <c r="A314" s="2"/>
      <c r="B314" s="2"/>
      <c r="C314" s="2"/>
      <c r="D314" s="2"/>
      <c r="E314" s="2"/>
      <c r="F314" s="2"/>
      <c r="G314" s="2"/>
      <c r="H314" s="2"/>
      <c r="I314" s="2"/>
      <c r="J314" s="2"/>
      <c r="K314" s="2"/>
      <c r="L314" s="2"/>
      <c r="M314" s="2"/>
      <c r="N314" s="2"/>
      <c r="O314" s="2"/>
      <c r="P314" s="2"/>
      <c r="Q314" s="2"/>
    </row>
    <row r="315" spans="1:17" ht="12.5">
      <c r="A315" s="2"/>
      <c r="B315" s="2"/>
      <c r="C315" s="2"/>
      <c r="D315" s="2"/>
      <c r="E315" s="2"/>
      <c r="F315" s="2"/>
      <c r="G315" s="2"/>
      <c r="H315" s="2"/>
      <c r="I315" s="2"/>
      <c r="J315" s="2"/>
      <c r="K315" s="2"/>
      <c r="L315" s="2"/>
      <c r="M315" s="2"/>
      <c r="N315" s="2"/>
      <c r="O315" s="2"/>
      <c r="P315" s="2"/>
      <c r="Q315" s="2"/>
    </row>
    <row r="316" spans="1:17" ht="12.5">
      <c r="A316" s="2"/>
      <c r="B316" s="2"/>
      <c r="C316" s="2"/>
      <c r="D316" s="2"/>
      <c r="E316" s="2"/>
      <c r="F316" s="2"/>
      <c r="G316" s="2"/>
      <c r="H316" s="2"/>
      <c r="I316" s="2"/>
      <c r="J316" s="2"/>
      <c r="K316" s="2"/>
      <c r="L316" s="2"/>
      <c r="M316" s="2"/>
      <c r="N316" s="2"/>
      <c r="O316" s="2"/>
      <c r="P316" s="2"/>
      <c r="Q316" s="2"/>
    </row>
    <row r="317" spans="1:17" ht="12.5">
      <c r="A317" s="2"/>
      <c r="B317" s="2"/>
      <c r="C317" s="2"/>
      <c r="D317" s="2"/>
      <c r="E317" s="2"/>
      <c r="F317" s="2"/>
      <c r="G317" s="2"/>
      <c r="H317" s="2"/>
      <c r="I317" s="2"/>
      <c r="J317" s="2"/>
      <c r="K317" s="2"/>
      <c r="L317" s="2"/>
      <c r="M317" s="2"/>
      <c r="N317" s="2"/>
      <c r="O317" s="2"/>
      <c r="P317" s="2"/>
      <c r="Q317" s="2"/>
    </row>
    <row r="318" spans="1:17" ht="12.5">
      <c r="A318" s="2"/>
      <c r="B318" s="2"/>
      <c r="C318" s="2"/>
      <c r="D318" s="2"/>
      <c r="E318" s="2"/>
      <c r="F318" s="2"/>
      <c r="G318" s="2"/>
      <c r="H318" s="2"/>
      <c r="I318" s="2"/>
      <c r="J318" s="2"/>
      <c r="K318" s="2"/>
      <c r="L318" s="2"/>
      <c r="M318" s="2"/>
      <c r="N318" s="2"/>
      <c r="O318" s="2"/>
      <c r="P318" s="2"/>
      <c r="Q318" s="2"/>
    </row>
    <row r="319" spans="1:17" ht="12.5">
      <c r="A319" s="2"/>
      <c r="B319" s="2"/>
      <c r="C319" s="2"/>
      <c r="D319" s="2"/>
      <c r="E319" s="2"/>
      <c r="F319" s="2"/>
      <c r="G319" s="2"/>
      <c r="H319" s="2"/>
      <c r="I319" s="2"/>
      <c r="J319" s="2"/>
      <c r="K319" s="2"/>
      <c r="L319" s="2"/>
      <c r="M319" s="2"/>
      <c r="N319" s="2"/>
      <c r="O319" s="2"/>
      <c r="P319" s="2"/>
      <c r="Q319" s="2"/>
    </row>
    <row r="320" spans="1:17" ht="12.5">
      <c r="A320" s="2"/>
      <c r="B320" s="2"/>
      <c r="C320" s="2"/>
      <c r="D320" s="2"/>
      <c r="E320" s="2"/>
      <c r="F320" s="2"/>
      <c r="G320" s="2"/>
      <c r="H320" s="2"/>
      <c r="I320" s="2"/>
      <c r="J320" s="2"/>
      <c r="K320" s="2"/>
      <c r="L320" s="2"/>
      <c r="M320" s="2"/>
      <c r="N320" s="2"/>
      <c r="O320" s="2"/>
      <c r="P320" s="2"/>
      <c r="Q320" s="2"/>
    </row>
    <row r="321" spans="1:17" ht="12.5">
      <c r="A321" s="2"/>
      <c r="B321" s="2"/>
      <c r="C321" s="2"/>
      <c r="D321" s="2"/>
      <c r="E321" s="2"/>
      <c r="F321" s="2"/>
      <c r="G321" s="2"/>
      <c r="H321" s="2"/>
      <c r="I321" s="2"/>
      <c r="J321" s="2"/>
      <c r="K321" s="2"/>
      <c r="L321" s="2"/>
      <c r="M321" s="2"/>
      <c r="N321" s="2"/>
      <c r="O321" s="2"/>
      <c r="P321" s="2"/>
      <c r="Q321" s="2"/>
    </row>
    <row r="322" spans="1:17" ht="12.5">
      <c r="A322" s="2"/>
      <c r="B322" s="2"/>
      <c r="C322" s="2"/>
      <c r="D322" s="2"/>
      <c r="E322" s="2"/>
      <c r="F322" s="2"/>
      <c r="G322" s="2"/>
      <c r="H322" s="2"/>
      <c r="I322" s="2"/>
      <c r="J322" s="2"/>
      <c r="K322" s="2"/>
      <c r="L322" s="2"/>
      <c r="M322" s="2"/>
      <c r="N322" s="2"/>
      <c r="O322" s="2"/>
      <c r="P322" s="2"/>
      <c r="Q322" s="2"/>
    </row>
    <row r="323" spans="1:17" ht="12.5">
      <c r="A323" s="2"/>
      <c r="B323" s="2"/>
      <c r="C323" s="2"/>
      <c r="D323" s="2"/>
      <c r="E323" s="2"/>
      <c r="F323" s="2"/>
      <c r="G323" s="2"/>
      <c r="H323" s="2"/>
      <c r="I323" s="2"/>
      <c r="J323" s="2"/>
      <c r="K323" s="2"/>
      <c r="L323" s="2"/>
      <c r="M323" s="2"/>
      <c r="N323" s="2"/>
      <c r="O323" s="2"/>
      <c r="P323" s="2"/>
      <c r="Q323" s="2"/>
    </row>
    <row r="324" spans="1:17" ht="12.5">
      <c r="A324" s="2"/>
      <c r="B324" s="2"/>
      <c r="C324" s="2"/>
      <c r="D324" s="2"/>
      <c r="E324" s="2"/>
      <c r="F324" s="2"/>
      <c r="G324" s="2"/>
      <c r="H324" s="2"/>
      <c r="I324" s="2"/>
      <c r="J324" s="2"/>
      <c r="K324" s="2"/>
      <c r="L324" s="2"/>
      <c r="M324" s="2"/>
      <c r="N324" s="2"/>
      <c r="O324" s="2"/>
      <c r="P324" s="2"/>
      <c r="Q324" s="2"/>
    </row>
    <row r="325" spans="1:17" ht="12.5">
      <c r="A325" s="2"/>
      <c r="B325" s="2"/>
      <c r="C325" s="2"/>
      <c r="D325" s="2"/>
      <c r="E325" s="2"/>
      <c r="F325" s="2"/>
      <c r="G325" s="2"/>
      <c r="H325" s="2"/>
      <c r="I325" s="2"/>
      <c r="J325" s="2"/>
      <c r="K325" s="2"/>
      <c r="L325" s="2"/>
      <c r="M325" s="2"/>
      <c r="N325" s="2"/>
      <c r="O325" s="2"/>
      <c r="P325" s="2"/>
      <c r="Q325" s="2"/>
    </row>
    <row r="326" spans="1:17" ht="12.5">
      <c r="A326" s="2"/>
      <c r="B326" s="2"/>
      <c r="C326" s="2"/>
      <c r="D326" s="2"/>
      <c r="E326" s="2"/>
      <c r="F326" s="2"/>
      <c r="G326" s="2"/>
      <c r="H326" s="2"/>
      <c r="I326" s="2"/>
      <c r="J326" s="2"/>
      <c r="K326" s="2"/>
      <c r="L326" s="2"/>
      <c r="M326" s="2"/>
      <c r="N326" s="2"/>
      <c r="O326" s="2"/>
      <c r="P326" s="2"/>
      <c r="Q326" s="2"/>
    </row>
    <row r="327" spans="1:17" ht="12.5">
      <c r="A327" s="2"/>
      <c r="B327" s="2"/>
      <c r="C327" s="2"/>
      <c r="D327" s="2"/>
      <c r="E327" s="2"/>
      <c r="F327" s="2"/>
      <c r="G327" s="2"/>
      <c r="H327" s="2"/>
      <c r="I327" s="2"/>
      <c r="J327" s="2"/>
      <c r="K327" s="2"/>
      <c r="L327" s="2"/>
      <c r="M327" s="2"/>
      <c r="N327" s="2"/>
      <c r="O327" s="2"/>
      <c r="P327" s="2"/>
      <c r="Q327" s="2"/>
    </row>
    <row r="328" spans="1:17" ht="12.5">
      <c r="A328" s="2"/>
      <c r="B328" s="2"/>
      <c r="C328" s="2"/>
      <c r="D328" s="2"/>
      <c r="E328" s="2"/>
      <c r="F328" s="2"/>
      <c r="G328" s="2"/>
      <c r="H328" s="2"/>
      <c r="I328" s="2"/>
      <c r="J328" s="2"/>
      <c r="K328" s="2"/>
      <c r="L328" s="2"/>
      <c r="M328" s="2"/>
      <c r="N328" s="2"/>
      <c r="O328" s="2"/>
      <c r="P328" s="2"/>
      <c r="Q328" s="2"/>
    </row>
    <row r="329" spans="1:17" ht="12.5">
      <c r="A329" s="2"/>
      <c r="B329" s="2"/>
      <c r="C329" s="2"/>
      <c r="D329" s="2"/>
      <c r="E329" s="2"/>
      <c r="F329" s="2"/>
      <c r="G329" s="2"/>
      <c r="H329" s="2"/>
      <c r="I329" s="2"/>
      <c r="J329" s="2"/>
      <c r="K329" s="2"/>
      <c r="L329" s="2"/>
      <c r="M329" s="2"/>
      <c r="N329" s="2"/>
      <c r="O329" s="2"/>
      <c r="P329" s="2"/>
      <c r="Q329" s="2"/>
    </row>
    <row r="330" spans="1:17" ht="12.5">
      <c r="A330" s="2"/>
      <c r="B330" s="2"/>
      <c r="C330" s="2"/>
      <c r="D330" s="2"/>
      <c r="E330" s="2"/>
      <c r="F330" s="2"/>
      <c r="G330" s="2"/>
      <c r="H330" s="2"/>
      <c r="I330" s="2"/>
      <c r="J330" s="2"/>
      <c r="K330" s="2"/>
      <c r="L330" s="2"/>
      <c r="M330" s="2"/>
      <c r="N330" s="2"/>
      <c r="O330" s="2"/>
      <c r="P330" s="2"/>
      <c r="Q330" s="2"/>
    </row>
    <row r="331" spans="1:17" ht="12.5">
      <c r="A331" s="2"/>
      <c r="B331" s="2"/>
      <c r="C331" s="2"/>
      <c r="D331" s="2"/>
      <c r="E331" s="2"/>
      <c r="F331" s="2"/>
      <c r="G331" s="2"/>
      <c r="H331" s="2"/>
      <c r="I331" s="2"/>
      <c r="J331" s="2"/>
      <c r="K331" s="2"/>
      <c r="L331" s="2"/>
      <c r="M331" s="2"/>
      <c r="N331" s="2"/>
      <c r="O331" s="2"/>
      <c r="P331" s="2"/>
      <c r="Q331" s="2"/>
    </row>
    <row r="332" spans="1:17" ht="12.5">
      <c r="A332" s="2"/>
      <c r="B332" s="2"/>
      <c r="C332" s="2"/>
      <c r="D332" s="2"/>
      <c r="E332" s="2"/>
      <c r="F332" s="2"/>
      <c r="G332" s="2"/>
      <c r="H332" s="2"/>
      <c r="I332" s="2"/>
      <c r="J332" s="2"/>
      <c r="K332" s="2"/>
      <c r="L332" s="2"/>
      <c r="M332" s="2"/>
      <c r="N332" s="2"/>
      <c r="O332" s="2"/>
      <c r="P332" s="2"/>
      <c r="Q332" s="2"/>
    </row>
    <row r="333" spans="1:17" ht="12.5">
      <c r="A333" s="2"/>
      <c r="B333" s="2"/>
      <c r="C333" s="2"/>
      <c r="D333" s="2"/>
      <c r="E333" s="2"/>
      <c r="F333" s="2"/>
      <c r="G333" s="2"/>
      <c r="H333" s="2"/>
      <c r="I333" s="2"/>
      <c r="J333" s="2"/>
      <c r="K333" s="2"/>
      <c r="L333" s="2"/>
      <c r="M333" s="2"/>
      <c r="N333" s="2"/>
      <c r="O333" s="2"/>
      <c r="P333" s="2"/>
      <c r="Q333" s="2"/>
    </row>
    <row r="334" spans="1:17" ht="12.5">
      <c r="A334" s="2"/>
      <c r="B334" s="2"/>
      <c r="C334" s="2"/>
      <c r="D334" s="2"/>
      <c r="E334" s="2"/>
      <c r="F334" s="2"/>
      <c r="G334" s="2"/>
      <c r="H334" s="2"/>
      <c r="I334" s="2"/>
      <c r="J334" s="2"/>
      <c r="K334" s="2"/>
      <c r="L334" s="2"/>
      <c r="M334" s="2"/>
      <c r="N334" s="2"/>
      <c r="O334" s="2"/>
      <c r="P334" s="2"/>
      <c r="Q334" s="2"/>
    </row>
    <row r="335" spans="1:17" ht="12.5">
      <c r="A335" s="2"/>
      <c r="B335" s="2"/>
      <c r="C335" s="2"/>
      <c r="D335" s="2"/>
      <c r="E335" s="2"/>
      <c r="F335" s="2"/>
      <c r="G335" s="2"/>
      <c r="H335" s="2"/>
      <c r="I335" s="2"/>
      <c r="J335" s="2"/>
      <c r="K335" s="2"/>
      <c r="L335" s="2"/>
      <c r="M335" s="2"/>
      <c r="N335" s="2"/>
      <c r="O335" s="2"/>
      <c r="P335" s="2"/>
      <c r="Q335" s="2"/>
    </row>
    <row r="336" spans="1:17" ht="12.5">
      <c r="A336" s="2"/>
      <c r="B336" s="2"/>
      <c r="C336" s="2"/>
      <c r="D336" s="2"/>
      <c r="E336" s="2"/>
      <c r="F336" s="2"/>
      <c r="G336" s="2"/>
      <c r="H336" s="2"/>
      <c r="I336" s="2"/>
      <c r="J336" s="2"/>
      <c r="K336" s="2"/>
      <c r="L336" s="2"/>
      <c r="M336" s="2"/>
      <c r="N336" s="2"/>
      <c r="O336" s="2"/>
      <c r="P336" s="2"/>
      <c r="Q336" s="2"/>
    </row>
    <row r="337" spans="1:17" ht="12.5">
      <c r="A337" s="2"/>
      <c r="B337" s="2"/>
      <c r="C337" s="2"/>
      <c r="D337" s="2"/>
      <c r="E337" s="2"/>
      <c r="F337" s="2"/>
      <c r="G337" s="2"/>
      <c r="H337" s="2"/>
      <c r="I337" s="2"/>
      <c r="J337" s="2"/>
      <c r="K337" s="2"/>
      <c r="L337" s="2"/>
      <c r="M337" s="2"/>
      <c r="N337" s="2"/>
      <c r="O337" s="2"/>
      <c r="P337" s="2"/>
      <c r="Q337" s="2"/>
    </row>
    <row r="338" spans="1:17" ht="12.5">
      <c r="A338" s="2"/>
      <c r="B338" s="2"/>
      <c r="C338" s="2"/>
      <c r="D338" s="2"/>
      <c r="E338" s="2"/>
      <c r="F338" s="2"/>
      <c r="G338" s="2"/>
      <c r="H338" s="2"/>
      <c r="I338" s="2"/>
      <c r="J338" s="2"/>
      <c r="K338" s="2"/>
      <c r="L338" s="2"/>
      <c r="M338" s="2"/>
      <c r="N338" s="2"/>
      <c r="O338" s="2"/>
      <c r="P338" s="2"/>
      <c r="Q338" s="2"/>
    </row>
    <row r="339" spans="1:17" ht="12.5">
      <c r="A339" s="2"/>
      <c r="B339" s="2"/>
      <c r="C339" s="2"/>
      <c r="D339" s="2"/>
      <c r="E339" s="2"/>
      <c r="F339" s="2"/>
      <c r="G339" s="2"/>
      <c r="H339" s="2"/>
      <c r="I339" s="2"/>
      <c r="J339" s="2"/>
      <c r="K339" s="2"/>
      <c r="L339" s="2"/>
      <c r="M339" s="2"/>
      <c r="N339" s="2"/>
      <c r="O339" s="2"/>
      <c r="P339" s="2"/>
      <c r="Q339" s="2"/>
    </row>
    <row r="340" spans="1:17" ht="12.5">
      <c r="A340" s="2"/>
      <c r="B340" s="2"/>
      <c r="C340" s="2"/>
      <c r="D340" s="2"/>
      <c r="E340" s="2"/>
      <c r="F340" s="2"/>
      <c r="G340" s="2"/>
      <c r="H340" s="2"/>
      <c r="I340" s="2"/>
      <c r="J340" s="2"/>
      <c r="K340" s="2"/>
      <c r="L340" s="2"/>
      <c r="M340" s="2"/>
      <c r="N340" s="2"/>
      <c r="O340" s="2"/>
      <c r="P340" s="2"/>
      <c r="Q340" s="2"/>
    </row>
    <row r="341" spans="1:17" ht="12.5">
      <c r="A341" s="2"/>
      <c r="B341" s="2"/>
      <c r="C341" s="2"/>
      <c r="D341" s="2"/>
      <c r="E341" s="2"/>
      <c r="F341" s="2"/>
      <c r="G341" s="2"/>
      <c r="H341" s="2"/>
      <c r="I341" s="2"/>
      <c r="J341" s="2"/>
      <c r="K341" s="2"/>
      <c r="L341" s="2"/>
      <c r="M341" s="2"/>
      <c r="N341" s="2"/>
      <c r="O341" s="2"/>
      <c r="P341" s="2"/>
      <c r="Q341" s="2"/>
    </row>
    <row r="342" spans="1:17" ht="12.5">
      <c r="A342" s="2"/>
      <c r="B342" s="2"/>
      <c r="C342" s="2"/>
      <c r="D342" s="2"/>
      <c r="E342" s="2"/>
      <c r="F342" s="2"/>
      <c r="G342" s="2"/>
      <c r="H342" s="2"/>
      <c r="I342" s="2"/>
      <c r="J342" s="2"/>
      <c r="K342" s="2"/>
      <c r="L342" s="2"/>
      <c r="M342" s="2"/>
      <c r="N342" s="2"/>
      <c r="O342" s="2"/>
      <c r="P342" s="2"/>
      <c r="Q342" s="2"/>
    </row>
    <row r="343" spans="1:17" ht="12.5">
      <c r="A343" s="2"/>
      <c r="B343" s="2"/>
      <c r="C343" s="2"/>
      <c r="D343" s="2"/>
      <c r="E343" s="2"/>
      <c r="F343" s="2"/>
      <c r="G343" s="2"/>
      <c r="H343" s="2"/>
      <c r="I343" s="2"/>
      <c r="J343" s="2"/>
      <c r="K343" s="2"/>
      <c r="L343" s="2"/>
      <c r="M343" s="2"/>
      <c r="N343" s="2"/>
      <c r="O343" s="2"/>
      <c r="P343" s="2"/>
      <c r="Q343" s="2"/>
    </row>
    <row r="344" spans="1:17" ht="12.5">
      <c r="A344" s="2"/>
      <c r="B344" s="2"/>
      <c r="C344" s="2"/>
      <c r="D344" s="2"/>
      <c r="E344" s="2"/>
      <c r="F344" s="2"/>
      <c r="G344" s="2"/>
      <c r="H344" s="2"/>
      <c r="I344" s="2"/>
      <c r="J344" s="2"/>
      <c r="K344" s="2"/>
      <c r="L344" s="2"/>
      <c r="M344" s="2"/>
      <c r="N344" s="2"/>
      <c r="O344" s="2"/>
      <c r="P344" s="2"/>
      <c r="Q344" s="2"/>
    </row>
    <row r="345" spans="1:17" ht="12.5">
      <c r="A345" s="2"/>
      <c r="B345" s="2"/>
      <c r="C345" s="2"/>
      <c r="D345" s="2"/>
      <c r="E345" s="2"/>
      <c r="F345" s="2"/>
      <c r="G345" s="2"/>
      <c r="H345" s="2"/>
      <c r="I345" s="2"/>
      <c r="J345" s="2"/>
      <c r="K345" s="2"/>
      <c r="L345" s="2"/>
      <c r="M345" s="2"/>
      <c r="N345" s="2"/>
      <c r="O345" s="2"/>
      <c r="P345" s="2"/>
      <c r="Q345" s="2"/>
    </row>
    <row r="346" spans="1:17" ht="12.5">
      <c r="A346" s="2"/>
      <c r="B346" s="2"/>
      <c r="C346" s="2"/>
      <c r="D346" s="2"/>
      <c r="E346" s="2"/>
      <c r="F346" s="2"/>
      <c r="G346" s="2"/>
      <c r="H346" s="2"/>
      <c r="I346" s="2"/>
      <c r="J346" s="2"/>
      <c r="K346" s="2"/>
      <c r="L346" s="2"/>
      <c r="M346" s="2"/>
      <c r="N346" s="2"/>
      <c r="O346" s="2"/>
      <c r="P346" s="2"/>
      <c r="Q346" s="2"/>
    </row>
    <row r="347" spans="1:17" ht="12.5">
      <c r="A347" s="2"/>
      <c r="B347" s="2"/>
      <c r="C347" s="2"/>
      <c r="D347" s="2"/>
      <c r="E347" s="2"/>
      <c r="F347" s="2"/>
      <c r="G347" s="2"/>
      <c r="H347" s="2"/>
      <c r="I347" s="2"/>
      <c r="J347" s="2"/>
      <c r="K347" s="2"/>
      <c r="L347" s="2"/>
      <c r="M347" s="2"/>
      <c r="N347" s="2"/>
      <c r="O347" s="2"/>
      <c r="P347" s="2"/>
      <c r="Q347" s="2"/>
    </row>
    <row r="348" spans="1:17" ht="12.5">
      <c r="A348" s="2"/>
      <c r="B348" s="2"/>
      <c r="C348" s="2"/>
      <c r="D348" s="2"/>
      <c r="E348" s="2"/>
      <c r="F348" s="2"/>
      <c r="G348" s="2"/>
      <c r="H348" s="2"/>
      <c r="I348" s="2"/>
      <c r="J348" s="2"/>
      <c r="K348" s="2"/>
      <c r="L348" s="2"/>
      <c r="M348" s="2"/>
      <c r="N348" s="2"/>
      <c r="O348" s="2"/>
      <c r="P348" s="2"/>
      <c r="Q348" s="2"/>
    </row>
    <row r="349" spans="1:17" ht="12.5">
      <c r="A349" s="2"/>
      <c r="B349" s="2"/>
      <c r="C349" s="2"/>
      <c r="D349" s="2"/>
      <c r="E349" s="2"/>
      <c r="F349" s="2"/>
      <c r="G349" s="2"/>
      <c r="H349" s="2"/>
      <c r="I349" s="2"/>
      <c r="J349" s="2"/>
      <c r="K349" s="2"/>
      <c r="L349" s="2"/>
      <c r="M349" s="2"/>
      <c r="N349" s="2"/>
      <c r="O349" s="2"/>
      <c r="P349" s="2"/>
      <c r="Q349" s="2"/>
    </row>
    <row r="350" spans="1:17" ht="12.5">
      <c r="A350" s="2"/>
      <c r="B350" s="2"/>
      <c r="C350" s="2"/>
      <c r="D350" s="2"/>
      <c r="E350" s="2"/>
      <c r="F350" s="2"/>
      <c r="G350" s="2"/>
      <c r="H350" s="2"/>
      <c r="I350" s="2"/>
      <c r="J350" s="2"/>
      <c r="K350" s="2"/>
      <c r="L350" s="2"/>
      <c r="M350" s="2"/>
      <c r="N350" s="2"/>
      <c r="O350" s="2"/>
      <c r="P350" s="2"/>
      <c r="Q350" s="2"/>
    </row>
    <row r="351" spans="1:17" ht="12.5">
      <c r="A351" s="2"/>
      <c r="B351" s="2"/>
      <c r="C351" s="2"/>
      <c r="D351" s="2"/>
      <c r="E351" s="2"/>
      <c r="F351" s="2"/>
      <c r="G351" s="2"/>
      <c r="H351" s="2"/>
      <c r="I351" s="2"/>
      <c r="J351" s="2"/>
      <c r="K351" s="2"/>
      <c r="L351" s="2"/>
      <c r="M351" s="2"/>
      <c r="N351" s="2"/>
      <c r="O351" s="2"/>
      <c r="P351" s="2"/>
      <c r="Q351" s="2"/>
    </row>
    <row r="352" spans="1:17" ht="12.5">
      <c r="A352" s="2"/>
      <c r="B352" s="2"/>
      <c r="C352" s="2"/>
      <c r="D352" s="2"/>
      <c r="E352" s="2"/>
      <c r="F352" s="2"/>
      <c r="G352" s="2"/>
      <c r="H352" s="2"/>
      <c r="I352" s="2"/>
      <c r="J352" s="2"/>
      <c r="K352" s="2"/>
      <c r="L352" s="2"/>
      <c r="M352" s="2"/>
      <c r="N352" s="2"/>
      <c r="O352" s="2"/>
      <c r="P352" s="2"/>
      <c r="Q352" s="2"/>
    </row>
    <row r="353" spans="1:17" ht="12.5">
      <c r="A353" s="2"/>
      <c r="B353" s="2"/>
      <c r="C353" s="2"/>
      <c r="D353" s="2"/>
      <c r="E353" s="2"/>
      <c r="F353" s="2"/>
      <c r="G353" s="2"/>
      <c r="H353" s="2"/>
      <c r="I353" s="2"/>
      <c r="J353" s="2"/>
      <c r="K353" s="2"/>
      <c r="L353" s="2"/>
      <c r="M353" s="2"/>
      <c r="N353" s="2"/>
      <c r="O353" s="2"/>
      <c r="P353" s="2"/>
      <c r="Q353" s="2"/>
    </row>
    <row r="354" spans="1:17" ht="12.5">
      <c r="A354" s="2"/>
      <c r="B354" s="2"/>
      <c r="C354" s="2"/>
      <c r="D354" s="2"/>
      <c r="E354" s="2"/>
      <c r="F354" s="2"/>
      <c r="G354" s="2"/>
      <c r="H354" s="2"/>
      <c r="I354" s="2"/>
      <c r="J354" s="2"/>
      <c r="K354" s="2"/>
      <c r="L354" s="2"/>
      <c r="M354" s="2"/>
      <c r="N354" s="2"/>
      <c r="O354" s="2"/>
      <c r="P354" s="2"/>
      <c r="Q354" s="2"/>
    </row>
    <row r="355" spans="1:17" ht="12.5">
      <c r="A355" s="2"/>
      <c r="B355" s="2"/>
      <c r="C355" s="2"/>
      <c r="D355" s="2"/>
      <c r="E355" s="2"/>
      <c r="F355" s="2"/>
      <c r="G355" s="2"/>
      <c r="H355" s="2"/>
      <c r="I355" s="2"/>
      <c r="J355" s="2"/>
      <c r="K355" s="2"/>
      <c r="L355" s="2"/>
      <c r="M355" s="2"/>
      <c r="N355" s="2"/>
      <c r="O355" s="2"/>
      <c r="P355" s="2"/>
      <c r="Q355" s="2"/>
    </row>
    <row r="356" spans="1:17" ht="12.5">
      <c r="A356" s="2"/>
      <c r="B356" s="2"/>
      <c r="C356" s="2"/>
      <c r="D356" s="2"/>
      <c r="E356" s="2"/>
      <c r="F356" s="2"/>
      <c r="G356" s="2"/>
      <c r="H356" s="2"/>
      <c r="I356" s="2"/>
      <c r="J356" s="2"/>
      <c r="K356" s="2"/>
      <c r="L356" s="2"/>
      <c r="M356" s="2"/>
      <c r="N356" s="2"/>
      <c r="O356" s="2"/>
      <c r="P356" s="2"/>
      <c r="Q356" s="2"/>
    </row>
    <row r="357" spans="1:17" ht="12.5">
      <c r="A357" s="2"/>
      <c r="B357" s="2"/>
      <c r="C357" s="2"/>
      <c r="D357" s="2"/>
      <c r="E357" s="2"/>
      <c r="F357" s="2"/>
      <c r="G357" s="2"/>
      <c r="H357" s="2"/>
      <c r="I357" s="2"/>
      <c r="J357" s="2"/>
      <c r="K357" s="2"/>
      <c r="L357" s="2"/>
      <c r="M357" s="2"/>
      <c r="N357" s="2"/>
      <c r="O357" s="2"/>
      <c r="P357" s="2"/>
      <c r="Q357" s="2"/>
    </row>
    <row r="358" spans="1:17" ht="12.5">
      <c r="A358" s="2"/>
      <c r="B358" s="2"/>
      <c r="C358" s="2"/>
      <c r="D358" s="2"/>
      <c r="E358" s="2"/>
      <c r="F358" s="2"/>
      <c r="G358" s="2"/>
      <c r="H358" s="2"/>
      <c r="I358" s="2"/>
      <c r="J358" s="2"/>
      <c r="K358" s="2"/>
      <c r="L358" s="2"/>
      <c r="M358" s="2"/>
      <c r="N358" s="2"/>
      <c r="O358" s="2"/>
      <c r="P358" s="2"/>
      <c r="Q358" s="2"/>
    </row>
    <row r="359" spans="1:17" ht="12.5">
      <c r="A359" s="2"/>
      <c r="B359" s="2"/>
      <c r="C359" s="2"/>
      <c r="D359" s="2"/>
      <c r="E359" s="2"/>
      <c r="F359" s="2"/>
      <c r="G359" s="2"/>
      <c r="H359" s="2"/>
      <c r="I359" s="2"/>
      <c r="J359" s="2"/>
      <c r="K359" s="2"/>
      <c r="L359" s="2"/>
      <c r="M359" s="2"/>
      <c r="N359" s="2"/>
      <c r="O359" s="2"/>
      <c r="P359" s="2"/>
      <c r="Q359" s="2"/>
    </row>
    <row r="360" spans="1:17" ht="12.5">
      <c r="A360" s="2"/>
      <c r="B360" s="2"/>
      <c r="C360" s="2"/>
      <c r="D360" s="2"/>
      <c r="E360" s="2"/>
      <c r="F360" s="2"/>
      <c r="G360" s="2"/>
      <c r="H360" s="2"/>
      <c r="I360" s="2"/>
      <c r="J360" s="2"/>
      <c r="K360" s="2"/>
      <c r="L360" s="2"/>
      <c r="M360" s="2"/>
      <c r="N360" s="2"/>
      <c r="O360" s="2"/>
      <c r="P360" s="2"/>
      <c r="Q360" s="2"/>
    </row>
    <row r="361" spans="1:17" ht="12.5">
      <c r="A361" s="2"/>
      <c r="B361" s="2"/>
      <c r="C361" s="2"/>
      <c r="D361" s="2"/>
      <c r="E361" s="2"/>
      <c r="F361" s="2"/>
      <c r="G361" s="2"/>
      <c r="H361" s="2"/>
      <c r="I361" s="2"/>
      <c r="J361" s="2"/>
      <c r="K361" s="2"/>
      <c r="L361" s="2"/>
      <c r="M361" s="2"/>
      <c r="N361" s="2"/>
      <c r="O361" s="2"/>
      <c r="P361" s="2"/>
      <c r="Q361" s="2"/>
    </row>
    <row r="362" spans="1:17" ht="12.5">
      <c r="A362" s="2"/>
      <c r="B362" s="2"/>
      <c r="C362" s="2"/>
      <c r="D362" s="2"/>
      <c r="E362" s="2"/>
      <c r="F362" s="2"/>
      <c r="G362" s="2"/>
      <c r="H362" s="2"/>
      <c r="I362" s="2"/>
      <c r="J362" s="2"/>
      <c r="K362" s="2"/>
      <c r="L362" s="2"/>
      <c r="M362" s="2"/>
      <c r="N362" s="2"/>
      <c r="O362" s="2"/>
      <c r="P362" s="2"/>
      <c r="Q362" s="2"/>
    </row>
    <row r="363" spans="1:17" ht="12.5">
      <c r="A363" s="2"/>
      <c r="B363" s="2"/>
      <c r="C363" s="2"/>
      <c r="D363" s="2"/>
      <c r="E363" s="2"/>
      <c r="F363" s="2"/>
      <c r="G363" s="2"/>
      <c r="H363" s="2"/>
      <c r="I363" s="2"/>
      <c r="J363" s="2"/>
      <c r="K363" s="2"/>
      <c r="L363" s="2"/>
      <c r="M363" s="2"/>
      <c r="N363" s="2"/>
      <c r="O363" s="2"/>
      <c r="P363" s="2"/>
      <c r="Q363" s="2"/>
    </row>
    <row r="364" spans="1:17" ht="12.5">
      <c r="A364" s="2"/>
      <c r="B364" s="2"/>
      <c r="C364" s="2"/>
      <c r="D364" s="2"/>
      <c r="E364" s="2"/>
      <c r="F364" s="2"/>
      <c r="G364" s="2"/>
      <c r="H364" s="2"/>
      <c r="I364" s="2"/>
      <c r="J364" s="2"/>
      <c r="K364" s="2"/>
      <c r="L364" s="2"/>
      <c r="M364" s="2"/>
      <c r="N364" s="2"/>
      <c r="O364" s="2"/>
      <c r="P364" s="2"/>
      <c r="Q364" s="2"/>
    </row>
    <row r="365" spans="1:17" ht="12.5">
      <c r="A365" s="2"/>
      <c r="B365" s="2"/>
      <c r="C365" s="2"/>
      <c r="D365" s="2"/>
      <c r="E365" s="2"/>
      <c r="F365" s="2"/>
      <c r="G365" s="2"/>
      <c r="H365" s="2"/>
      <c r="I365" s="2"/>
      <c r="J365" s="2"/>
      <c r="K365" s="2"/>
      <c r="L365" s="2"/>
      <c r="M365" s="2"/>
      <c r="N365" s="2"/>
      <c r="O365" s="2"/>
      <c r="P365" s="2"/>
      <c r="Q365" s="2"/>
    </row>
    <row r="366" spans="1:17" ht="12.5">
      <c r="A366" s="2"/>
      <c r="B366" s="2"/>
      <c r="C366" s="2"/>
      <c r="D366" s="2"/>
      <c r="E366" s="2"/>
      <c r="F366" s="2"/>
      <c r="G366" s="2"/>
      <c r="H366" s="2"/>
      <c r="I366" s="2"/>
      <c r="J366" s="2"/>
      <c r="K366" s="2"/>
      <c r="L366" s="2"/>
      <c r="M366" s="2"/>
      <c r="N366" s="2"/>
      <c r="O366" s="2"/>
      <c r="P366" s="2"/>
      <c r="Q366" s="2"/>
    </row>
    <row r="367" spans="1:17" ht="12.5">
      <c r="A367" s="2"/>
      <c r="B367" s="2"/>
      <c r="C367" s="2"/>
      <c r="D367" s="2"/>
      <c r="E367" s="2"/>
      <c r="F367" s="2"/>
      <c r="G367" s="2"/>
      <c r="H367" s="2"/>
      <c r="I367" s="2"/>
      <c r="J367" s="2"/>
      <c r="K367" s="2"/>
      <c r="L367" s="2"/>
      <c r="M367" s="2"/>
      <c r="N367" s="2"/>
      <c r="O367" s="2"/>
      <c r="P367" s="2"/>
      <c r="Q367" s="2"/>
    </row>
    <row r="368" spans="1:17" ht="12.5">
      <c r="A368" s="2"/>
      <c r="B368" s="2"/>
      <c r="C368" s="2"/>
      <c r="D368" s="2"/>
      <c r="E368" s="2"/>
      <c r="F368" s="2"/>
      <c r="G368" s="2"/>
      <c r="H368" s="2"/>
      <c r="I368" s="2"/>
      <c r="J368" s="2"/>
      <c r="K368" s="2"/>
      <c r="L368" s="2"/>
      <c r="M368" s="2"/>
      <c r="N368" s="2"/>
      <c r="O368" s="2"/>
      <c r="P368" s="2"/>
      <c r="Q368" s="2"/>
    </row>
    <row r="369" spans="1:17" ht="12.5">
      <c r="A369" s="2"/>
      <c r="B369" s="2"/>
      <c r="C369" s="2"/>
      <c r="D369" s="2"/>
      <c r="E369" s="2"/>
      <c r="F369" s="2"/>
      <c r="G369" s="2"/>
      <c r="H369" s="2"/>
      <c r="I369" s="2"/>
      <c r="J369" s="2"/>
      <c r="K369" s="2"/>
      <c r="L369" s="2"/>
      <c r="M369" s="2"/>
      <c r="N369" s="2"/>
      <c r="O369" s="2"/>
      <c r="P369" s="2"/>
      <c r="Q369" s="2"/>
    </row>
    <row r="370" spans="1:17" ht="12.5">
      <c r="A370" s="2"/>
      <c r="B370" s="2"/>
      <c r="C370" s="2"/>
      <c r="D370" s="2"/>
      <c r="E370" s="2"/>
      <c r="F370" s="2"/>
      <c r="G370" s="2"/>
      <c r="H370" s="2"/>
      <c r="I370" s="2"/>
      <c r="J370" s="2"/>
      <c r="K370" s="2"/>
      <c r="L370" s="2"/>
      <c r="M370" s="2"/>
      <c r="N370" s="2"/>
      <c r="O370" s="2"/>
      <c r="P370" s="2"/>
      <c r="Q370" s="2"/>
    </row>
    <row r="371" spans="1:17" ht="12.5">
      <c r="A371" s="2"/>
      <c r="B371" s="2"/>
      <c r="C371" s="2"/>
      <c r="D371" s="2"/>
      <c r="E371" s="2"/>
      <c r="F371" s="2"/>
      <c r="G371" s="2"/>
      <c r="H371" s="2"/>
      <c r="I371" s="2"/>
      <c r="J371" s="2"/>
      <c r="K371" s="2"/>
      <c r="L371" s="2"/>
      <c r="M371" s="2"/>
      <c r="N371" s="2"/>
      <c r="O371" s="2"/>
      <c r="P371" s="2"/>
      <c r="Q371" s="2"/>
    </row>
    <row r="372" spans="1:17" ht="12.5">
      <c r="A372" s="2"/>
      <c r="B372" s="2"/>
      <c r="C372" s="2"/>
      <c r="D372" s="2"/>
      <c r="E372" s="2"/>
      <c r="F372" s="2"/>
      <c r="G372" s="2"/>
      <c r="H372" s="2"/>
      <c r="I372" s="2"/>
      <c r="J372" s="2"/>
      <c r="K372" s="2"/>
      <c r="L372" s="2"/>
      <c r="M372" s="2"/>
      <c r="N372" s="2"/>
      <c r="O372" s="2"/>
      <c r="P372" s="2"/>
      <c r="Q372" s="2"/>
    </row>
    <row r="373" spans="1:17" ht="12.5">
      <c r="A373" s="2"/>
      <c r="B373" s="2"/>
      <c r="C373" s="2"/>
      <c r="D373" s="2"/>
      <c r="E373" s="2"/>
      <c r="F373" s="2"/>
      <c r="G373" s="2"/>
      <c r="H373" s="2"/>
      <c r="I373" s="2"/>
      <c r="J373" s="2"/>
      <c r="K373" s="2"/>
      <c r="L373" s="2"/>
      <c r="M373" s="2"/>
      <c r="N373" s="2"/>
      <c r="O373" s="2"/>
      <c r="P373" s="2"/>
      <c r="Q373" s="2"/>
    </row>
    <row r="374" spans="1:17" ht="12.5">
      <c r="A374" s="2"/>
      <c r="B374" s="2"/>
      <c r="C374" s="2"/>
      <c r="D374" s="2"/>
      <c r="E374" s="2"/>
      <c r="F374" s="2"/>
      <c r="G374" s="2"/>
      <c r="H374" s="2"/>
      <c r="I374" s="2"/>
      <c r="J374" s="2"/>
      <c r="K374" s="2"/>
      <c r="L374" s="2"/>
      <c r="M374" s="2"/>
      <c r="N374" s="2"/>
      <c r="O374" s="2"/>
      <c r="P374" s="2"/>
      <c r="Q374" s="2"/>
    </row>
    <row r="375" spans="1:17" ht="12.5">
      <c r="A375" s="2"/>
      <c r="B375" s="2"/>
      <c r="C375" s="2"/>
      <c r="D375" s="2"/>
      <c r="E375" s="2"/>
      <c r="F375" s="2"/>
      <c r="G375" s="2"/>
      <c r="H375" s="2"/>
      <c r="I375" s="2"/>
      <c r="J375" s="2"/>
      <c r="K375" s="2"/>
      <c r="L375" s="2"/>
      <c r="M375" s="2"/>
      <c r="N375" s="2"/>
      <c r="O375" s="2"/>
      <c r="P375" s="2"/>
      <c r="Q375" s="2"/>
    </row>
    <row r="376" spans="1:17" ht="12.5">
      <c r="A376" s="2"/>
      <c r="B376" s="2"/>
      <c r="C376" s="2"/>
      <c r="D376" s="2"/>
      <c r="E376" s="2"/>
      <c r="F376" s="2"/>
      <c r="G376" s="2"/>
      <c r="H376" s="2"/>
      <c r="I376" s="2"/>
      <c r="J376" s="2"/>
      <c r="K376" s="2"/>
      <c r="L376" s="2"/>
      <c r="M376" s="2"/>
      <c r="N376" s="2"/>
      <c r="O376" s="2"/>
      <c r="P376" s="2"/>
      <c r="Q376" s="2"/>
    </row>
    <row r="377" spans="1:17" ht="12.5">
      <c r="A377" s="2"/>
      <c r="B377" s="2"/>
      <c r="C377" s="2"/>
      <c r="D377" s="2"/>
      <c r="E377" s="2"/>
      <c r="F377" s="2"/>
      <c r="G377" s="2"/>
      <c r="H377" s="2"/>
      <c r="I377" s="2"/>
      <c r="J377" s="2"/>
      <c r="K377" s="2"/>
      <c r="L377" s="2"/>
      <c r="M377" s="2"/>
      <c r="N377" s="2"/>
      <c r="O377" s="2"/>
      <c r="P377" s="2"/>
      <c r="Q377" s="2"/>
    </row>
    <row r="378" spans="1:17" ht="12.5">
      <c r="A378" s="2"/>
      <c r="B378" s="2"/>
      <c r="C378" s="2"/>
      <c r="D378" s="2"/>
      <c r="E378" s="2"/>
      <c r="F378" s="2"/>
      <c r="G378" s="2"/>
      <c r="H378" s="2"/>
      <c r="I378" s="2"/>
      <c r="J378" s="2"/>
      <c r="K378" s="2"/>
      <c r="L378" s="2"/>
      <c r="M378" s="2"/>
      <c r="N378" s="2"/>
      <c r="O378" s="2"/>
      <c r="P378" s="2"/>
      <c r="Q378" s="2"/>
    </row>
    <row r="379" spans="1:17" ht="12.5">
      <c r="A379" s="2"/>
      <c r="B379" s="2"/>
      <c r="C379" s="2"/>
      <c r="D379" s="2"/>
      <c r="E379" s="2"/>
      <c r="F379" s="2"/>
      <c r="G379" s="2"/>
      <c r="H379" s="2"/>
      <c r="I379" s="2"/>
      <c r="J379" s="2"/>
      <c r="K379" s="2"/>
      <c r="L379" s="2"/>
      <c r="M379" s="2"/>
      <c r="N379" s="2"/>
      <c r="O379" s="2"/>
      <c r="P379" s="2"/>
      <c r="Q379" s="2"/>
    </row>
    <row r="380" spans="1:17" ht="12.5">
      <c r="A380" s="2"/>
      <c r="B380" s="2"/>
      <c r="C380" s="2"/>
      <c r="D380" s="2"/>
      <c r="E380" s="2"/>
      <c r="F380" s="2"/>
      <c r="G380" s="2"/>
      <c r="H380" s="2"/>
      <c r="I380" s="2"/>
      <c r="J380" s="2"/>
      <c r="K380" s="2"/>
      <c r="L380" s="2"/>
      <c r="M380" s="2"/>
      <c r="N380" s="2"/>
      <c r="O380" s="2"/>
      <c r="P380" s="2"/>
      <c r="Q380" s="2"/>
    </row>
    <row r="381" spans="1:17" ht="12.5">
      <c r="A381" s="2"/>
      <c r="B381" s="2"/>
      <c r="C381" s="2"/>
      <c r="D381" s="2"/>
      <c r="E381" s="2"/>
      <c r="F381" s="2"/>
      <c r="G381" s="2"/>
      <c r="H381" s="2"/>
      <c r="I381" s="2"/>
      <c r="J381" s="2"/>
      <c r="K381" s="2"/>
      <c r="L381" s="2"/>
      <c r="M381" s="2"/>
      <c r="N381" s="2"/>
      <c r="O381" s="2"/>
      <c r="P381" s="2"/>
      <c r="Q381" s="2"/>
    </row>
    <row r="382" spans="1:17" ht="12.5">
      <c r="A382" s="2"/>
      <c r="B382" s="2"/>
      <c r="C382" s="2"/>
      <c r="D382" s="2"/>
      <c r="E382" s="2"/>
      <c r="F382" s="2"/>
      <c r="G382" s="2"/>
      <c r="H382" s="2"/>
      <c r="I382" s="2"/>
      <c r="J382" s="2"/>
      <c r="K382" s="2"/>
      <c r="L382" s="2"/>
      <c r="M382" s="2"/>
      <c r="N382" s="2"/>
      <c r="O382" s="2"/>
      <c r="P382" s="2"/>
      <c r="Q382" s="2"/>
    </row>
    <row r="383" spans="1:17" ht="12.5">
      <c r="A383" s="2"/>
      <c r="B383" s="2"/>
      <c r="C383" s="2"/>
      <c r="D383" s="2"/>
      <c r="E383" s="2"/>
      <c r="F383" s="2"/>
      <c r="G383" s="2"/>
      <c r="H383" s="2"/>
      <c r="I383" s="2"/>
      <c r="J383" s="2"/>
      <c r="K383" s="2"/>
      <c r="L383" s="2"/>
      <c r="M383" s="2"/>
      <c r="N383" s="2"/>
      <c r="O383" s="2"/>
      <c r="P383" s="2"/>
      <c r="Q383" s="2"/>
    </row>
    <row r="384" spans="1:17" ht="12.5">
      <c r="A384" s="2"/>
      <c r="B384" s="2"/>
      <c r="C384" s="2"/>
      <c r="D384" s="2"/>
      <c r="E384" s="2"/>
      <c r="F384" s="2"/>
      <c r="G384" s="2"/>
      <c r="H384" s="2"/>
      <c r="I384" s="2"/>
      <c r="J384" s="2"/>
      <c r="K384" s="2"/>
      <c r="L384" s="2"/>
      <c r="M384" s="2"/>
      <c r="N384" s="2"/>
      <c r="O384" s="2"/>
      <c r="P384" s="2"/>
      <c r="Q384" s="2"/>
    </row>
    <row r="385" spans="1:17" ht="12.5">
      <c r="A385" s="2"/>
      <c r="B385" s="2"/>
      <c r="C385" s="2"/>
      <c r="D385" s="2"/>
      <c r="E385" s="2"/>
      <c r="F385" s="2"/>
      <c r="G385" s="2"/>
      <c r="H385" s="2"/>
      <c r="I385" s="2"/>
      <c r="J385" s="2"/>
      <c r="K385" s="2"/>
      <c r="L385" s="2"/>
      <c r="M385" s="2"/>
      <c r="N385" s="2"/>
      <c r="O385" s="2"/>
      <c r="P385" s="2"/>
      <c r="Q385" s="2"/>
    </row>
    <row r="386" spans="1:17" ht="12.5">
      <c r="A386" s="2"/>
      <c r="B386" s="2"/>
      <c r="C386" s="2"/>
      <c r="D386" s="2"/>
      <c r="E386" s="2"/>
      <c r="F386" s="2"/>
      <c r="G386" s="2"/>
      <c r="H386" s="2"/>
      <c r="I386" s="2"/>
      <c r="J386" s="2"/>
      <c r="K386" s="2"/>
      <c r="L386" s="2"/>
      <c r="M386" s="2"/>
      <c r="N386" s="2"/>
      <c r="O386" s="2"/>
      <c r="P386" s="2"/>
      <c r="Q386" s="2"/>
    </row>
    <row r="387" spans="1:17" ht="12.5">
      <c r="A387" s="2"/>
      <c r="B387" s="2"/>
      <c r="C387" s="2"/>
      <c r="D387" s="2"/>
      <c r="E387" s="2"/>
      <c r="F387" s="2"/>
      <c r="G387" s="2"/>
      <c r="H387" s="2"/>
      <c r="I387" s="2"/>
      <c r="J387" s="2"/>
      <c r="K387" s="2"/>
      <c r="L387" s="2"/>
      <c r="M387" s="2"/>
      <c r="N387" s="2"/>
      <c r="O387" s="2"/>
      <c r="P387" s="2"/>
      <c r="Q387" s="2"/>
    </row>
    <row r="388" spans="1:17" ht="12.5">
      <c r="A388" s="2"/>
      <c r="B388" s="2"/>
      <c r="C388" s="2"/>
      <c r="D388" s="2"/>
      <c r="E388" s="2"/>
      <c r="F388" s="2"/>
      <c r="G388" s="2"/>
      <c r="H388" s="2"/>
      <c r="I388" s="2"/>
      <c r="J388" s="2"/>
      <c r="K388" s="2"/>
      <c r="L388" s="2"/>
      <c r="M388" s="2"/>
      <c r="N388" s="2"/>
      <c r="O388" s="2"/>
      <c r="P388" s="2"/>
      <c r="Q388" s="2"/>
    </row>
    <row r="389" spans="1:17" ht="12.5">
      <c r="A389" s="2"/>
      <c r="B389" s="2"/>
      <c r="C389" s="2"/>
      <c r="D389" s="2"/>
      <c r="E389" s="2"/>
      <c r="F389" s="2"/>
      <c r="G389" s="2"/>
      <c r="H389" s="2"/>
      <c r="I389" s="2"/>
      <c r="J389" s="2"/>
      <c r="K389" s="2"/>
      <c r="L389" s="2"/>
      <c r="M389" s="2"/>
      <c r="N389" s="2"/>
      <c r="O389" s="2"/>
      <c r="P389" s="2"/>
      <c r="Q389" s="2"/>
    </row>
    <row r="390" spans="1:17" ht="12.5">
      <c r="A390" s="2"/>
      <c r="B390" s="2"/>
      <c r="C390" s="2"/>
      <c r="D390" s="2"/>
      <c r="E390" s="2"/>
      <c r="F390" s="2"/>
      <c r="G390" s="2"/>
      <c r="H390" s="2"/>
      <c r="I390" s="2"/>
      <c r="J390" s="2"/>
      <c r="K390" s="2"/>
      <c r="L390" s="2"/>
      <c r="M390" s="2"/>
      <c r="N390" s="2"/>
      <c r="O390" s="2"/>
      <c r="P390" s="2"/>
      <c r="Q390" s="2"/>
    </row>
    <row r="391" spans="1:17" ht="12.5">
      <c r="A391" s="2"/>
      <c r="B391" s="2"/>
      <c r="C391" s="2"/>
      <c r="D391" s="2"/>
      <c r="E391" s="2"/>
      <c r="F391" s="2"/>
      <c r="G391" s="2"/>
      <c r="H391" s="2"/>
      <c r="I391" s="2"/>
      <c r="J391" s="2"/>
      <c r="K391" s="2"/>
      <c r="L391" s="2"/>
      <c r="M391" s="2"/>
      <c r="N391" s="2"/>
      <c r="O391" s="2"/>
      <c r="P391" s="2"/>
      <c r="Q391" s="2"/>
    </row>
    <row r="392" spans="1:17" ht="12.5">
      <c r="A392" s="2"/>
      <c r="B392" s="2"/>
      <c r="C392" s="2"/>
      <c r="D392" s="2"/>
      <c r="E392" s="2"/>
      <c r="F392" s="2"/>
      <c r="G392" s="2"/>
      <c r="H392" s="2"/>
      <c r="I392" s="2"/>
      <c r="J392" s="2"/>
      <c r="K392" s="2"/>
      <c r="L392" s="2"/>
      <c r="M392" s="2"/>
      <c r="N392" s="2"/>
      <c r="O392" s="2"/>
      <c r="P392" s="2"/>
      <c r="Q392" s="2"/>
    </row>
    <row r="393" spans="1:17" ht="12.5">
      <c r="A393" s="2"/>
      <c r="B393" s="2"/>
      <c r="C393" s="2"/>
      <c r="D393" s="2"/>
      <c r="E393" s="2"/>
      <c r="F393" s="2"/>
      <c r="G393" s="2"/>
      <c r="H393" s="2"/>
      <c r="I393" s="2"/>
      <c r="J393" s="2"/>
      <c r="K393" s="2"/>
      <c r="L393" s="2"/>
      <c r="M393" s="2"/>
      <c r="N393" s="2"/>
      <c r="O393" s="2"/>
      <c r="P393" s="2"/>
      <c r="Q393" s="2"/>
    </row>
    <row r="394" spans="1:17" ht="12.5">
      <c r="A394" s="2"/>
      <c r="B394" s="2"/>
      <c r="C394" s="2"/>
      <c r="D394" s="2"/>
      <c r="E394" s="2"/>
      <c r="F394" s="2"/>
      <c r="G394" s="2"/>
      <c r="H394" s="2"/>
      <c r="I394" s="2"/>
      <c r="J394" s="2"/>
      <c r="K394" s="2"/>
      <c r="L394" s="2"/>
      <c r="M394" s="2"/>
      <c r="N394" s="2"/>
      <c r="O394" s="2"/>
      <c r="P394" s="2"/>
      <c r="Q394" s="2"/>
    </row>
    <row r="395" spans="1:17" ht="12.5">
      <c r="A395" s="2"/>
      <c r="B395" s="2"/>
      <c r="C395" s="2"/>
      <c r="D395" s="2"/>
      <c r="E395" s="2"/>
      <c r="F395" s="2"/>
      <c r="G395" s="2"/>
      <c r="H395" s="2"/>
      <c r="I395" s="2"/>
      <c r="J395" s="2"/>
      <c r="K395" s="2"/>
      <c r="L395" s="2"/>
      <c r="M395" s="2"/>
      <c r="N395" s="2"/>
      <c r="O395" s="2"/>
      <c r="P395" s="2"/>
      <c r="Q395" s="2"/>
    </row>
    <row r="396" spans="1:17" ht="12.5">
      <c r="A396" s="2"/>
      <c r="B396" s="2"/>
      <c r="C396" s="2"/>
      <c r="D396" s="2"/>
      <c r="E396" s="2"/>
      <c r="F396" s="2"/>
      <c r="G396" s="2"/>
      <c r="H396" s="2"/>
      <c r="I396" s="2"/>
      <c r="J396" s="2"/>
      <c r="K396" s="2"/>
      <c r="L396" s="2"/>
      <c r="M396" s="2"/>
      <c r="N396" s="2"/>
      <c r="O396" s="2"/>
      <c r="P396" s="2"/>
      <c r="Q396" s="2"/>
    </row>
    <row r="397" spans="1:17" ht="12.5">
      <c r="A397" s="2"/>
      <c r="B397" s="2"/>
      <c r="C397" s="2"/>
      <c r="D397" s="2"/>
      <c r="E397" s="2"/>
      <c r="F397" s="2"/>
      <c r="G397" s="2"/>
      <c r="H397" s="2"/>
      <c r="I397" s="2"/>
      <c r="J397" s="2"/>
      <c r="K397" s="2"/>
      <c r="L397" s="2"/>
      <c r="M397" s="2"/>
      <c r="N397" s="2"/>
      <c r="O397" s="2"/>
      <c r="P397" s="2"/>
      <c r="Q397" s="2"/>
    </row>
    <row r="398" spans="1:17" ht="12.5">
      <c r="A398" s="2"/>
      <c r="B398" s="2"/>
      <c r="C398" s="2"/>
      <c r="D398" s="2"/>
      <c r="E398" s="2"/>
      <c r="F398" s="2"/>
      <c r="G398" s="2"/>
      <c r="H398" s="2"/>
      <c r="I398" s="2"/>
      <c r="J398" s="2"/>
      <c r="K398" s="2"/>
      <c r="L398" s="2"/>
      <c r="M398" s="2"/>
      <c r="N398" s="2"/>
      <c r="O398" s="2"/>
      <c r="P398" s="2"/>
      <c r="Q398" s="2"/>
    </row>
    <row r="399" spans="1:17" ht="12.5">
      <c r="A399" s="2"/>
      <c r="B399" s="2"/>
      <c r="C399" s="2"/>
      <c r="D399" s="2"/>
      <c r="E399" s="2"/>
      <c r="F399" s="2"/>
      <c r="G399" s="2"/>
      <c r="H399" s="2"/>
      <c r="I399" s="2"/>
      <c r="J399" s="2"/>
      <c r="K399" s="2"/>
      <c r="L399" s="2"/>
      <c r="M399" s="2"/>
      <c r="N399" s="2"/>
      <c r="O399" s="2"/>
      <c r="P399" s="2"/>
      <c r="Q399" s="2"/>
    </row>
    <row r="400" spans="1:17" ht="12.5">
      <c r="A400" s="2"/>
      <c r="B400" s="2"/>
      <c r="C400" s="2"/>
      <c r="D400" s="2"/>
      <c r="E400" s="2"/>
      <c r="F400" s="2"/>
      <c r="G400" s="2"/>
      <c r="H400" s="2"/>
      <c r="I400" s="2"/>
      <c r="J400" s="2"/>
      <c r="K400" s="2"/>
      <c r="L400" s="2"/>
      <c r="M400" s="2"/>
      <c r="N400" s="2"/>
      <c r="O400" s="2"/>
      <c r="P400" s="2"/>
      <c r="Q400" s="2"/>
    </row>
    <row r="401" spans="1:17" ht="12.5">
      <c r="A401" s="2"/>
      <c r="B401" s="2"/>
      <c r="C401" s="2"/>
      <c r="D401" s="2"/>
      <c r="E401" s="2"/>
      <c r="F401" s="2"/>
      <c r="G401" s="2"/>
      <c r="H401" s="2"/>
      <c r="I401" s="2"/>
      <c r="J401" s="2"/>
      <c r="K401" s="2"/>
      <c r="L401" s="2"/>
      <c r="M401" s="2"/>
      <c r="N401" s="2"/>
      <c r="O401" s="2"/>
      <c r="P401" s="2"/>
      <c r="Q401" s="2"/>
    </row>
    <row r="402" spans="1:17" ht="12.5">
      <c r="A402" s="2"/>
      <c r="B402" s="2"/>
      <c r="C402" s="2"/>
      <c r="D402" s="2"/>
      <c r="E402" s="2"/>
      <c r="F402" s="2"/>
      <c r="G402" s="2"/>
      <c r="H402" s="2"/>
      <c r="I402" s="2"/>
      <c r="J402" s="2"/>
      <c r="K402" s="2"/>
      <c r="L402" s="2"/>
      <c r="M402" s="2"/>
      <c r="N402" s="2"/>
      <c r="O402" s="2"/>
      <c r="P402" s="2"/>
      <c r="Q402" s="2"/>
    </row>
    <row r="403" spans="1:17" ht="12.5">
      <c r="A403" s="2"/>
      <c r="B403" s="2"/>
      <c r="C403" s="2"/>
      <c r="D403" s="2"/>
      <c r="E403" s="2"/>
      <c r="F403" s="2"/>
      <c r="G403" s="2"/>
      <c r="H403" s="2"/>
      <c r="I403" s="2"/>
      <c r="J403" s="2"/>
      <c r="K403" s="2"/>
      <c r="L403" s="2"/>
      <c r="M403" s="2"/>
      <c r="N403" s="2"/>
      <c r="O403" s="2"/>
      <c r="P403" s="2"/>
      <c r="Q403" s="2"/>
    </row>
    <row r="404" spans="1:17" ht="12.5">
      <c r="A404" s="2"/>
      <c r="B404" s="2"/>
      <c r="C404" s="2"/>
      <c r="D404" s="2"/>
      <c r="E404" s="2"/>
      <c r="F404" s="2"/>
      <c r="G404" s="2"/>
      <c r="H404" s="2"/>
      <c r="I404" s="2"/>
      <c r="J404" s="2"/>
      <c r="K404" s="2"/>
      <c r="L404" s="2"/>
      <c r="M404" s="2"/>
      <c r="N404" s="2"/>
      <c r="O404" s="2"/>
      <c r="P404" s="2"/>
      <c r="Q404" s="2"/>
    </row>
    <row r="405" spans="1:17" ht="12.5">
      <c r="A405" s="2"/>
      <c r="B405" s="2"/>
      <c r="C405" s="2"/>
      <c r="D405" s="2"/>
      <c r="E405" s="2"/>
      <c r="F405" s="2"/>
      <c r="G405" s="2"/>
      <c r="H405" s="2"/>
      <c r="I405" s="2"/>
      <c r="J405" s="2"/>
      <c r="K405" s="2"/>
      <c r="L405" s="2"/>
      <c r="M405" s="2"/>
      <c r="N405" s="2"/>
      <c r="O405" s="2"/>
      <c r="P405" s="2"/>
      <c r="Q405" s="2"/>
    </row>
    <row r="406" spans="1:17" ht="12.5">
      <c r="A406" s="2"/>
      <c r="B406" s="2"/>
      <c r="C406" s="2"/>
      <c r="D406" s="2"/>
      <c r="E406" s="2"/>
      <c r="F406" s="2"/>
      <c r="G406" s="2"/>
      <c r="H406" s="2"/>
      <c r="I406" s="2"/>
      <c r="J406" s="2"/>
      <c r="K406" s="2"/>
      <c r="L406" s="2"/>
      <c r="M406" s="2"/>
      <c r="N406" s="2"/>
      <c r="O406" s="2"/>
      <c r="P406" s="2"/>
      <c r="Q406" s="2"/>
    </row>
    <row r="407" spans="1:17" ht="12.5">
      <c r="A407" s="2"/>
      <c r="B407" s="2"/>
      <c r="C407" s="2"/>
      <c r="D407" s="2"/>
      <c r="E407" s="2"/>
      <c r="F407" s="2"/>
      <c r="G407" s="2"/>
      <c r="H407" s="2"/>
      <c r="I407" s="2"/>
      <c r="J407" s="2"/>
      <c r="K407" s="2"/>
      <c r="L407" s="2"/>
      <c r="M407" s="2"/>
      <c r="N407" s="2"/>
      <c r="O407" s="2"/>
      <c r="P407" s="2"/>
      <c r="Q407" s="2"/>
    </row>
    <row r="408" spans="1:17" ht="12.5">
      <c r="A408" s="2"/>
      <c r="B408" s="2"/>
      <c r="C408" s="2"/>
      <c r="D408" s="2"/>
      <c r="E408" s="2"/>
      <c r="F408" s="2"/>
      <c r="G408" s="2"/>
      <c r="H408" s="2"/>
      <c r="I408" s="2"/>
      <c r="J408" s="2"/>
      <c r="K408" s="2"/>
      <c r="L408" s="2"/>
      <c r="M408" s="2"/>
      <c r="N408" s="2"/>
      <c r="O408" s="2"/>
      <c r="P408" s="2"/>
      <c r="Q408" s="2"/>
    </row>
    <row r="409" spans="1:17" ht="12.5">
      <c r="A409" s="2"/>
      <c r="B409" s="2"/>
      <c r="C409" s="2"/>
      <c r="D409" s="2"/>
      <c r="E409" s="2"/>
      <c r="F409" s="2"/>
      <c r="G409" s="2"/>
      <c r="H409" s="2"/>
      <c r="I409" s="2"/>
      <c r="J409" s="2"/>
      <c r="K409" s="2"/>
      <c r="L409" s="2"/>
      <c r="M409" s="2"/>
      <c r="N409" s="2"/>
      <c r="O409" s="2"/>
      <c r="P409" s="2"/>
      <c r="Q409" s="2"/>
    </row>
    <row r="410" spans="1:17" ht="12.5">
      <c r="A410" s="2"/>
      <c r="B410" s="2"/>
      <c r="C410" s="2"/>
      <c r="D410" s="2"/>
      <c r="E410" s="2"/>
      <c r="F410" s="2"/>
      <c r="G410" s="2"/>
      <c r="H410" s="2"/>
      <c r="I410" s="2"/>
      <c r="J410" s="2"/>
      <c r="K410" s="2"/>
      <c r="L410" s="2"/>
      <c r="M410" s="2"/>
      <c r="N410" s="2"/>
      <c r="O410" s="2"/>
      <c r="P410" s="2"/>
      <c r="Q410" s="2"/>
    </row>
    <row r="411" spans="1:17" ht="12.5">
      <c r="A411" s="2"/>
      <c r="B411" s="2"/>
      <c r="C411" s="2"/>
      <c r="D411" s="2"/>
      <c r="E411" s="2"/>
      <c r="F411" s="2"/>
      <c r="G411" s="2"/>
      <c r="H411" s="2"/>
      <c r="I411" s="2"/>
      <c r="J411" s="2"/>
      <c r="K411" s="2"/>
      <c r="L411" s="2"/>
      <c r="M411" s="2"/>
      <c r="N411" s="2"/>
      <c r="O411" s="2"/>
      <c r="P411" s="2"/>
      <c r="Q411" s="2"/>
    </row>
    <row r="412" spans="1:17" ht="12.5">
      <c r="A412" s="2"/>
      <c r="B412" s="2"/>
      <c r="C412" s="2"/>
      <c r="D412" s="2"/>
      <c r="E412" s="2"/>
      <c r="F412" s="2"/>
      <c r="G412" s="2"/>
      <c r="H412" s="2"/>
      <c r="I412" s="2"/>
      <c r="J412" s="2"/>
      <c r="K412" s="2"/>
      <c r="L412" s="2"/>
      <c r="M412" s="2"/>
      <c r="N412" s="2"/>
      <c r="O412" s="2"/>
      <c r="P412" s="2"/>
      <c r="Q412" s="2"/>
    </row>
    <row r="413" spans="1:17" ht="12.5">
      <c r="A413" s="2"/>
      <c r="B413" s="2"/>
      <c r="C413" s="2"/>
      <c r="D413" s="2"/>
      <c r="E413" s="2"/>
      <c r="F413" s="2"/>
      <c r="G413" s="2"/>
      <c r="H413" s="2"/>
      <c r="I413" s="2"/>
      <c r="J413" s="2"/>
      <c r="K413" s="2"/>
      <c r="L413" s="2"/>
      <c r="M413" s="2"/>
      <c r="N413" s="2"/>
      <c r="O413" s="2"/>
      <c r="P413" s="2"/>
      <c r="Q413" s="2"/>
    </row>
    <row r="414" spans="1:17" ht="12.5">
      <c r="A414" s="2"/>
      <c r="B414" s="2"/>
      <c r="C414" s="2"/>
      <c r="D414" s="2"/>
      <c r="E414" s="2"/>
      <c r="F414" s="2"/>
      <c r="G414" s="2"/>
      <c r="H414" s="2"/>
      <c r="I414" s="2"/>
      <c r="J414" s="2"/>
      <c r="K414" s="2"/>
      <c r="L414" s="2"/>
      <c r="M414" s="2"/>
      <c r="N414" s="2"/>
      <c r="O414" s="2"/>
      <c r="P414" s="2"/>
      <c r="Q414" s="2"/>
    </row>
    <row r="415" spans="1:17" ht="12.5">
      <c r="A415" s="2"/>
      <c r="B415" s="2"/>
      <c r="C415" s="2"/>
      <c r="D415" s="2"/>
      <c r="E415" s="2"/>
      <c r="F415" s="2"/>
      <c r="G415" s="2"/>
      <c r="H415" s="2"/>
      <c r="I415" s="2"/>
      <c r="J415" s="2"/>
      <c r="K415" s="2"/>
      <c r="L415" s="2"/>
      <c r="M415" s="2"/>
      <c r="N415" s="2"/>
      <c r="O415" s="2"/>
      <c r="P415" s="2"/>
      <c r="Q415" s="2"/>
    </row>
    <row r="416" spans="1:17" ht="12.5">
      <c r="A416" s="2"/>
      <c r="B416" s="2"/>
      <c r="C416" s="2"/>
      <c r="D416" s="2"/>
      <c r="E416" s="2"/>
      <c r="F416" s="2"/>
      <c r="G416" s="2"/>
      <c r="H416" s="2"/>
      <c r="I416" s="2"/>
      <c r="J416" s="2"/>
      <c r="K416" s="2"/>
      <c r="L416" s="2"/>
      <c r="M416" s="2"/>
      <c r="N416" s="2"/>
      <c r="O416" s="2"/>
      <c r="P416" s="2"/>
      <c r="Q416" s="2"/>
    </row>
    <row r="417" spans="1:17" ht="12.5">
      <c r="A417" s="2"/>
      <c r="B417" s="2"/>
      <c r="C417" s="2"/>
      <c r="D417" s="2"/>
      <c r="E417" s="2"/>
      <c r="F417" s="2"/>
      <c r="G417" s="2"/>
      <c r="H417" s="2"/>
      <c r="I417" s="2"/>
      <c r="J417" s="2"/>
      <c r="K417" s="2"/>
      <c r="L417" s="2"/>
      <c r="M417" s="2"/>
      <c r="N417" s="2"/>
      <c r="O417" s="2"/>
      <c r="P417" s="2"/>
      <c r="Q417" s="2"/>
    </row>
    <row r="418" spans="1:17" ht="12.5">
      <c r="A418" s="2"/>
      <c r="B418" s="2"/>
      <c r="C418" s="2"/>
      <c r="D418" s="2"/>
      <c r="E418" s="2"/>
      <c r="F418" s="2"/>
      <c r="G418" s="2"/>
      <c r="H418" s="2"/>
      <c r="I418" s="2"/>
      <c r="J418" s="2"/>
      <c r="K418" s="2"/>
      <c r="L418" s="2"/>
      <c r="M418" s="2"/>
      <c r="N418" s="2"/>
      <c r="O418" s="2"/>
      <c r="P418" s="2"/>
      <c r="Q418" s="2"/>
    </row>
    <row r="419" spans="1:17" ht="12.5">
      <c r="A419" s="2"/>
      <c r="B419" s="2"/>
      <c r="C419" s="2"/>
      <c r="D419" s="2"/>
      <c r="E419" s="2"/>
      <c r="F419" s="2"/>
      <c r="G419" s="2"/>
      <c r="H419" s="2"/>
      <c r="I419" s="2"/>
      <c r="J419" s="2"/>
      <c r="K419" s="2"/>
      <c r="L419" s="2"/>
      <c r="M419" s="2"/>
      <c r="N419" s="2"/>
      <c r="O419" s="2"/>
      <c r="P419" s="2"/>
      <c r="Q419" s="2"/>
    </row>
    <row r="420" spans="1:17" ht="12.5">
      <c r="A420" s="2"/>
      <c r="B420" s="2"/>
      <c r="C420" s="2"/>
      <c r="D420" s="2"/>
      <c r="E420" s="2"/>
      <c r="F420" s="2"/>
      <c r="G420" s="2"/>
      <c r="H420" s="2"/>
      <c r="I420" s="2"/>
      <c r="J420" s="2"/>
      <c r="K420" s="2"/>
      <c r="L420" s="2"/>
      <c r="M420" s="2"/>
      <c r="N420" s="2"/>
      <c r="O420" s="2"/>
      <c r="P420" s="2"/>
      <c r="Q420" s="2"/>
    </row>
    <row r="421" spans="1:17" ht="12.5">
      <c r="A421" s="2"/>
      <c r="B421" s="2"/>
      <c r="C421" s="2"/>
      <c r="D421" s="2"/>
      <c r="E421" s="2"/>
      <c r="F421" s="2"/>
      <c r="G421" s="2"/>
      <c r="H421" s="2"/>
      <c r="I421" s="2"/>
      <c r="J421" s="2"/>
      <c r="K421" s="2"/>
      <c r="L421" s="2"/>
      <c r="M421" s="2"/>
      <c r="N421" s="2"/>
      <c r="O421" s="2"/>
      <c r="P421" s="2"/>
      <c r="Q421" s="2"/>
    </row>
    <row r="422" spans="1:17" ht="12.5">
      <c r="A422" s="2"/>
      <c r="B422" s="2"/>
      <c r="C422" s="2"/>
      <c r="D422" s="2"/>
      <c r="E422" s="2"/>
      <c r="F422" s="2"/>
      <c r="G422" s="2"/>
      <c r="H422" s="2"/>
      <c r="I422" s="2"/>
      <c r="J422" s="2"/>
      <c r="K422" s="2"/>
      <c r="L422" s="2"/>
      <c r="M422" s="2"/>
      <c r="N422" s="2"/>
      <c r="O422" s="2"/>
      <c r="P422" s="2"/>
      <c r="Q422" s="2"/>
    </row>
    <row r="423" spans="1:17" ht="12.5">
      <c r="A423" s="2"/>
      <c r="B423" s="2"/>
      <c r="C423" s="2"/>
      <c r="D423" s="2"/>
      <c r="E423" s="2"/>
      <c r="F423" s="2"/>
      <c r="G423" s="2"/>
      <c r="H423" s="2"/>
      <c r="I423" s="2"/>
      <c r="J423" s="2"/>
      <c r="K423" s="2"/>
      <c r="L423" s="2"/>
      <c r="M423" s="2"/>
      <c r="N423" s="2"/>
      <c r="O423" s="2"/>
      <c r="P423" s="2"/>
      <c r="Q423" s="2"/>
    </row>
    <row r="424" spans="1:17" ht="12.5">
      <c r="A424" s="2"/>
      <c r="B424" s="2"/>
      <c r="C424" s="2"/>
      <c r="D424" s="2"/>
      <c r="E424" s="2"/>
      <c r="F424" s="2"/>
      <c r="G424" s="2"/>
      <c r="H424" s="2"/>
      <c r="I424" s="2"/>
      <c r="J424" s="2"/>
      <c r="K424" s="2"/>
      <c r="L424" s="2"/>
      <c r="M424" s="2"/>
      <c r="N424" s="2"/>
      <c r="O424" s="2"/>
      <c r="P424" s="2"/>
      <c r="Q424" s="2"/>
    </row>
    <row r="425" spans="1:17" ht="12.5">
      <c r="A425" s="2"/>
      <c r="B425" s="2"/>
      <c r="C425" s="2"/>
      <c r="D425" s="2"/>
      <c r="E425" s="2"/>
      <c r="F425" s="2"/>
      <c r="G425" s="2"/>
      <c r="H425" s="2"/>
      <c r="I425" s="2"/>
      <c r="J425" s="2"/>
      <c r="K425" s="2"/>
      <c r="L425" s="2"/>
      <c r="M425" s="2"/>
      <c r="N425" s="2"/>
      <c r="O425" s="2"/>
      <c r="P425" s="2"/>
      <c r="Q425" s="2"/>
    </row>
    <row r="426" spans="1:17" ht="12.5">
      <c r="A426" s="2"/>
      <c r="B426" s="2"/>
      <c r="C426" s="2"/>
      <c r="D426" s="2"/>
      <c r="E426" s="2"/>
      <c r="F426" s="2"/>
      <c r="G426" s="2"/>
      <c r="H426" s="2"/>
      <c r="I426" s="2"/>
      <c r="J426" s="2"/>
      <c r="K426" s="2"/>
      <c r="L426" s="2"/>
      <c r="M426" s="2"/>
      <c r="N426" s="2"/>
      <c r="O426" s="2"/>
      <c r="P426" s="2"/>
      <c r="Q426" s="2"/>
    </row>
    <row r="427" spans="1:17" ht="12.5">
      <c r="A427" s="2"/>
      <c r="B427" s="2"/>
      <c r="C427" s="2"/>
      <c r="D427" s="2"/>
      <c r="E427" s="2"/>
      <c r="F427" s="2"/>
      <c r="G427" s="2"/>
      <c r="H427" s="2"/>
      <c r="I427" s="2"/>
      <c r="J427" s="2"/>
      <c r="K427" s="2"/>
      <c r="L427" s="2"/>
      <c r="M427" s="2"/>
      <c r="N427" s="2"/>
      <c r="O427" s="2"/>
      <c r="P427" s="2"/>
      <c r="Q427" s="2"/>
    </row>
    <row r="428" spans="1:17" ht="12.5">
      <c r="A428" s="2"/>
      <c r="B428" s="2"/>
      <c r="C428" s="2"/>
      <c r="D428" s="2"/>
      <c r="E428" s="2"/>
      <c r="F428" s="2"/>
      <c r="G428" s="2"/>
      <c r="H428" s="2"/>
      <c r="I428" s="2"/>
      <c r="J428" s="2"/>
      <c r="K428" s="2"/>
      <c r="L428" s="2"/>
      <c r="M428" s="2"/>
      <c r="N428" s="2"/>
      <c r="O428" s="2"/>
      <c r="P428" s="2"/>
      <c r="Q428" s="2"/>
    </row>
    <row r="429" spans="1:17" ht="12.5">
      <c r="A429" s="2"/>
      <c r="B429" s="2"/>
      <c r="C429" s="2"/>
      <c r="D429" s="2"/>
      <c r="E429" s="2"/>
      <c r="F429" s="2"/>
      <c r="G429" s="2"/>
      <c r="H429" s="2"/>
      <c r="I429" s="2"/>
      <c r="J429" s="2"/>
      <c r="K429" s="2"/>
      <c r="L429" s="2"/>
      <c r="M429" s="2"/>
      <c r="N429" s="2"/>
      <c r="O429" s="2"/>
      <c r="P429" s="2"/>
      <c r="Q429" s="2"/>
    </row>
    <row r="430" spans="1:17" ht="12.5">
      <c r="A430" s="2"/>
      <c r="B430" s="2"/>
      <c r="C430" s="2"/>
      <c r="D430" s="2"/>
      <c r="E430" s="2"/>
      <c r="F430" s="2"/>
      <c r="G430" s="2"/>
      <c r="H430" s="2"/>
      <c r="I430" s="2"/>
      <c r="J430" s="2"/>
      <c r="K430" s="2"/>
      <c r="L430" s="2"/>
      <c r="M430" s="2"/>
      <c r="N430" s="2"/>
      <c r="O430" s="2"/>
      <c r="P430" s="2"/>
      <c r="Q430" s="2"/>
    </row>
    <row r="431" spans="1:17" ht="12.5">
      <c r="A431" s="2"/>
      <c r="B431" s="2"/>
      <c r="C431" s="2"/>
      <c r="D431" s="2"/>
      <c r="E431" s="2"/>
      <c r="F431" s="2"/>
      <c r="G431" s="2"/>
      <c r="H431" s="2"/>
      <c r="I431" s="2"/>
      <c r="J431" s="2"/>
      <c r="K431" s="2"/>
      <c r="L431" s="2"/>
      <c r="M431" s="2"/>
      <c r="N431" s="2"/>
      <c r="O431" s="2"/>
      <c r="P431" s="2"/>
      <c r="Q431" s="2"/>
    </row>
    <row r="432" spans="1:17" ht="12.5">
      <c r="A432" s="2"/>
      <c r="B432" s="2"/>
      <c r="C432" s="2"/>
      <c r="D432" s="2"/>
      <c r="E432" s="2"/>
      <c r="F432" s="2"/>
      <c r="G432" s="2"/>
      <c r="H432" s="2"/>
      <c r="I432" s="2"/>
      <c r="J432" s="2"/>
      <c r="K432" s="2"/>
      <c r="L432" s="2"/>
      <c r="M432" s="2"/>
      <c r="N432" s="2"/>
      <c r="O432" s="2"/>
      <c r="P432" s="2"/>
      <c r="Q432" s="2"/>
    </row>
    <row r="433" spans="1:17" ht="12.5">
      <c r="A433" s="2"/>
      <c r="B433" s="2"/>
      <c r="C433" s="2"/>
      <c r="D433" s="2"/>
      <c r="E433" s="2"/>
      <c r="F433" s="2"/>
      <c r="G433" s="2"/>
      <c r="H433" s="2"/>
      <c r="I433" s="2"/>
      <c r="J433" s="2"/>
      <c r="K433" s="2"/>
      <c r="L433" s="2"/>
      <c r="M433" s="2"/>
      <c r="N433" s="2"/>
      <c r="O433" s="2"/>
      <c r="P433" s="2"/>
      <c r="Q433" s="2"/>
    </row>
    <row r="434" spans="1:17" ht="12.5">
      <c r="A434" s="2"/>
      <c r="B434" s="2"/>
      <c r="C434" s="2"/>
      <c r="D434" s="2"/>
      <c r="E434" s="2"/>
      <c r="F434" s="2"/>
      <c r="G434" s="2"/>
      <c r="H434" s="2"/>
      <c r="I434" s="2"/>
      <c r="J434" s="2"/>
      <c r="K434" s="2"/>
      <c r="L434" s="2"/>
      <c r="M434" s="2"/>
      <c r="N434" s="2"/>
      <c r="O434" s="2"/>
      <c r="P434" s="2"/>
      <c r="Q434" s="2"/>
    </row>
    <row r="435" spans="1:17" ht="12.5">
      <c r="A435" s="2"/>
      <c r="B435" s="2"/>
      <c r="C435" s="2"/>
      <c r="D435" s="2"/>
      <c r="E435" s="2"/>
      <c r="F435" s="2"/>
      <c r="G435" s="2"/>
      <c r="H435" s="2"/>
      <c r="I435" s="2"/>
      <c r="J435" s="2"/>
      <c r="K435" s="2"/>
      <c r="L435" s="2"/>
      <c r="M435" s="2"/>
      <c r="N435" s="2"/>
      <c r="O435" s="2"/>
      <c r="P435" s="2"/>
      <c r="Q435" s="2"/>
    </row>
    <row r="436" spans="1:17" ht="12.5">
      <c r="A436" s="2"/>
      <c r="B436" s="2"/>
      <c r="C436" s="2"/>
      <c r="D436" s="2"/>
      <c r="E436" s="2"/>
      <c r="F436" s="2"/>
      <c r="G436" s="2"/>
      <c r="H436" s="2"/>
      <c r="I436" s="2"/>
      <c r="J436" s="2"/>
      <c r="K436" s="2"/>
      <c r="L436" s="2"/>
      <c r="M436" s="2"/>
      <c r="N436" s="2"/>
      <c r="O436" s="2"/>
      <c r="P436" s="2"/>
      <c r="Q436" s="2"/>
    </row>
    <row r="437" spans="1:17" ht="12.5">
      <c r="A437" s="2"/>
      <c r="B437" s="2"/>
      <c r="C437" s="2"/>
      <c r="D437" s="2"/>
      <c r="E437" s="2"/>
      <c r="F437" s="2"/>
      <c r="G437" s="2"/>
      <c r="H437" s="2"/>
      <c r="I437" s="2"/>
      <c r="J437" s="2"/>
      <c r="K437" s="2"/>
      <c r="L437" s="2"/>
      <c r="M437" s="2"/>
      <c r="N437" s="2"/>
      <c r="O437" s="2"/>
      <c r="P437" s="2"/>
      <c r="Q437" s="2"/>
    </row>
    <row r="438" spans="1:17" ht="12.5">
      <c r="A438" s="2"/>
      <c r="B438" s="2"/>
      <c r="C438" s="2"/>
      <c r="D438" s="2"/>
      <c r="E438" s="2"/>
      <c r="F438" s="2"/>
      <c r="G438" s="2"/>
      <c r="H438" s="2"/>
      <c r="I438" s="2"/>
      <c r="J438" s="2"/>
      <c r="K438" s="2"/>
      <c r="L438" s="2"/>
      <c r="M438" s="2"/>
      <c r="N438" s="2"/>
      <c r="O438" s="2"/>
      <c r="P438" s="2"/>
      <c r="Q438" s="2"/>
    </row>
    <row r="439" spans="1:17" ht="12.5">
      <c r="A439" s="2"/>
      <c r="B439" s="2"/>
      <c r="C439" s="2"/>
      <c r="D439" s="2"/>
      <c r="E439" s="2"/>
      <c r="F439" s="2"/>
      <c r="G439" s="2"/>
      <c r="H439" s="2"/>
      <c r="I439" s="2"/>
      <c r="J439" s="2"/>
      <c r="K439" s="2"/>
      <c r="L439" s="2"/>
      <c r="M439" s="2"/>
      <c r="N439" s="2"/>
      <c r="O439" s="2"/>
      <c r="P439" s="2"/>
      <c r="Q439" s="2"/>
    </row>
    <row r="440" spans="1:17" ht="12.5">
      <c r="A440" s="2"/>
      <c r="B440" s="2"/>
      <c r="C440" s="2"/>
      <c r="D440" s="2"/>
      <c r="E440" s="2"/>
      <c r="F440" s="2"/>
      <c r="G440" s="2"/>
      <c r="H440" s="2"/>
      <c r="I440" s="2"/>
      <c r="J440" s="2"/>
      <c r="K440" s="2"/>
      <c r="L440" s="2"/>
      <c r="M440" s="2"/>
      <c r="N440" s="2"/>
      <c r="O440" s="2"/>
      <c r="P440" s="2"/>
      <c r="Q440" s="2"/>
    </row>
    <row r="441" spans="1:17" ht="12.5">
      <c r="A441" s="2"/>
      <c r="B441" s="2"/>
      <c r="C441" s="2"/>
      <c r="D441" s="2"/>
      <c r="E441" s="2"/>
      <c r="F441" s="2"/>
      <c r="G441" s="2"/>
      <c r="H441" s="2"/>
      <c r="I441" s="2"/>
      <c r="J441" s="2"/>
      <c r="K441" s="2"/>
      <c r="L441" s="2"/>
      <c r="M441" s="2"/>
      <c r="N441" s="2"/>
      <c r="O441" s="2"/>
      <c r="P441" s="2"/>
      <c r="Q441" s="2"/>
    </row>
    <row r="442" spans="1:17" ht="12.5">
      <c r="A442" s="2"/>
      <c r="B442" s="2"/>
      <c r="C442" s="2"/>
      <c r="D442" s="2"/>
      <c r="E442" s="2"/>
      <c r="F442" s="2"/>
      <c r="G442" s="2"/>
      <c r="H442" s="2"/>
      <c r="I442" s="2"/>
      <c r="J442" s="2"/>
      <c r="K442" s="2"/>
      <c r="L442" s="2"/>
      <c r="M442" s="2"/>
      <c r="N442" s="2"/>
      <c r="O442" s="2"/>
      <c r="P442" s="2"/>
      <c r="Q442" s="2"/>
    </row>
    <row r="443" spans="1:17" ht="12.5">
      <c r="A443" s="2"/>
      <c r="B443" s="2"/>
      <c r="C443" s="2"/>
      <c r="D443" s="2"/>
      <c r="E443" s="2"/>
      <c r="F443" s="2"/>
      <c r="G443" s="2"/>
      <c r="H443" s="2"/>
      <c r="I443" s="2"/>
      <c r="J443" s="2"/>
      <c r="K443" s="2"/>
      <c r="L443" s="2"/>
      <c r="M443" s="2"/>
      <c r="N443" s="2"/>
      <c r="O443" s="2"/>
      <c r="P443" s="2"/>
      <c r="Q443" s="2"/>
    </row>
    <row r="444" spans="1:17" ht="12.5">
      <c r="A444" s="2"/>
      <c r="B444" s="2"/>
      <c r="C444" s="2"/>
      <c r="D444" s="2"/>
      <c r="E444" s="2"/>
      <c r="F444" s="2"/>
      <c r="G444" s="2"/>
      <c r="H444" s="2"/>
      <c r="I444" s="2"/>
      <c r="J444" s="2"/>
      <c r="K444" s="2"/>
      <c r="L444" s="2"/>
      <c r="M444" s="2"/>
      <c r="N444" s="2"/>
      <c r="O444" s="2"/>
      <c r="P444" s="2"/>
      <c r="Q444" s="2"/>
    </row>
    <row r="445" spans="1:17" ht="12.5">
      <c r="A445" s="2"/>
      <c r="B445" s="2"/>
      <c r="C445" s="2"/>
      <c r="D445" s="2"/>
      <c r="E445" s="2"/>
      <c r="F445" s="2"/>
      <c r="G445" s="2"/>
      <c r="H445" s="2"/>
      <c r="I445" s="2"/>
      <c r="J445" s="2"/>
      <c r="K445" s="2"/>
      <c r="L445" s="2"/>
      <c r="M445" s="2"/>
      <c r="N445" s="2"/>
      <c r="O445" s="2"/>
      <c r="P445" s="2"/>
      <c r="Q445" s="2"/>
    </row>
    <row r="446" spans="1:17" ht="12.5">
      <c r="A446" s="2"/>
      <c r="B446" s="2"/>
      <c r="C446" s="2"/>
      <c r="D446" s="2"/>
      <c r="E446" s="2"/>
      <c r="F446" s="2"/>
      <c r="G446" s="2"/>
      <c r="H446" s="2"/>
      <c r="I446" s="2"/>
      <c r="J446" s="2"/>
      <c r="K446" s="2"/>
      <c r="L446" s="2"/>
      <c r="M446" s="2"/>
      <c r="N446" s="2"/>
      <c r="O446" s="2"/>
      <c r="P446" s="2"/>
      <c r="Q446" s="2"/>
    </row>
    <row r="447" spans="1:17" ht="12.5">
      <c r="A447" s="2"/>
      <c r="B447" s="2"/>
      <c r="C447" s="2"/>
      <c r="D447" s="2"/>
      <c r="E447" s="2"/>
      <c r="F447" s="2"/>
      <c r="G447" s="2"/>
      <c r="H447" s="2"/>
      <c r="I447" s="2"/>
      <c r="J447" s="2"/>
      <c r="K447" s="2"/>
      <c r="L447" s="2"/>
      <c r="M447" s="2"/>
      <c r="N447" s="2"/>
      <c r="O447" s="2"/>
      <c r="P447" s="2"/>
      <c r="Q447" s="2"/>
    </row>
    <row r="448" spans="1:17" ht="12.5">
      <c r="A448" s="2"/>
      <c r="B448" s="2"/>
      <c r="C448" s="2"/>
      <c r="D448" s="2"/>
      <c r="E448" s="2"/>
      <c r="F448" s="2"/>
      <c r="G448" s="2"/>
      <c r="H448" s="2"/>
      <c r="I448" s="2"/>
      <c r="J448" s="2"/>
      <c r="K448" s="2"/>
      <c r="L448" s="2"/>
      <c r="M448" s="2"/>
      <c r="N448" s="2"/>
      <c r="O448" s="2"/>
      <c r="P448" s="2"/>
      <c r="Q448" s="2"/>
    </row>
    <row r="449" spans="1:17" ht="12.5">
      <c r="A449" s="2"/>
      <c r="B449" s="2"/>
      <c r="C449" s="2"/>
      <c r="D449" s="2"/>
      <c r="E449" s="2"/>
      <c r="F449" s="2"/>
      <c r="G449" s="2"/>
      <c r="H449" s="2"/>
      <c r="I449" s="2"/>
      <c r="J449" s="2"/>
      <c r="K449" s="2"/>
      <c r="L449" s="2"/>
      <c r="M449" s="2"/>
      <c r="N449" s="2"/>
      <c r="O449" s="2"/>
      <c r="P449" s="2"/>
      <c r="Q449" s="2"/>
    </row>
    <row r="450" spans="1:17" ht="12.5">
      <c r="A450" s="2"/>
      <c r="B450" s="2"/>
      <c r="C450" s="2"/>
      <c r="D450" s="2"/>
      <c r="E450" s="2"/>
      <c r="F450" s="2"/>
      <c r="G450" s="2"/>
      <c r="H450" s="2"/>
      <c r="I450" s="2"/>
      <c r="J450" s="2"/>
      <c r="K450" s="2"/>
      <c r="L450" s="2"/>
      <c r="M450" s="2"/>
      <c r="N450" s="2"/>
      <c r="O450" s="2"/>
      <c r="P450" s="2"/>
      <c r="Q450" s="2"/>
    </row>
    <row r="451" spans="1:17" ht="12.5">
      <c r="A451" s="2"/>
      <c r="B451" s="2"/>
      <c r="C451" s="2"/>
      <c r="D451" s="2"/>
      <c r="E451" s="2"/>
      <c r="F451" s="2"/>
      <c r="G451" s="2"/>
      <c r="H451" s="2"/>
      <c r="I451" s="2"/>
      <c r="J451" s="2"/>
      <c r="K451" s="2"/>
      <c r="L451" s="2"/>
      <c r="M451" s="2"/>
      <c r="N451" s="2"/>
      <c r="O451" s="2"/>
      <c r="P451" s="2"/>
      <c r="Q451" s="2"/>
    </row>
    <row r="452" spans="1:17" ht="12.5">
      <c r="A452" s="2"/>
      <c r="B452" s="2"/>
      <c r="C452" s="2"/>
      <c r="D452" s="2"/>
      <c r="E452" s="2"/>
      <c r="F452" s="2"/>
      <c r="G452" s="2"/>
      <c r="H452" s="2"/>
      <c r="I452" s="2"/>
      <c r="J452" s="2"/>
      <c r="K452" s="2"/>
      <c r="L452" s="2"/>
      <c r="M452" s="2"/>
      <c r="N452" s="2"/>
      <c r="O452" s="2"/>
      <c r="P452" s="2"/>
      <c r="Q452" s="2"/>
    </row>
    <row r="453" spans="1:17" ht="12.5">
      <c r="A453" s="2"/>
      <c r="B453" s="2"/>
      <c r="C453" s="2"/>
      <c r="D453" s="2"/>
      <c r="E453" s="2"/>
      <c r="F453" s="2"/>
      <c r="G453" s="2"/>
      <c r="H453" s="2"/>
      <c r="I453" s="2"/>
      <c r="J453" s="2"/>
      <c r="K453" s="2"/>
      <c r="L453" s="2"/>
      <c r="M453" s="2"/>
      <c r="N453" s="2"/>
      <c r="O453" s="2"/>
      <c r="P453" s="2"/>
      <c r="Q453" s="2"/>
    </row>
    <row r="454" spans="1:17" ht="12.5">
      <c r="A454" s="2"/>
      <c r="B454" s="2"/>
      <c r="C454" s="2"/>
      <c r="D454" s="2"/>
      <c r="E454" s="2"/>
      <c r="F454" s="2"/>
      <c r="G454" s="2"/>
      <c r="H454" s="2"/>
      <c r="I454" s="2"/>
      <c r="J454" s="2"/>
      <c r="K454" s="2"/>
      <c r="L454" s="2"/>
      <c r="M454" s="2"/>
      <c r="N454" s="2"/>
      <c r="O454" s="2"/>
      <c r="P454" s="2"/>
      <c r="Q454" s="2"/>
    </row>
    <row r="455" spans="1:17" ht="12.5">
      <c r="A455" s="2"/>
      <c r="B455" s="2"/>
      <c r="C455" s="2"/>
      <c r="D455" s="2"/>
      <c r="E455" s="2"/>
      <c r="F455" s="2"/>
      <c r="G455" s="2"/>
      <c r="H455" s="2"/>
      <c r="I455" s="2"/>
      <c r="J455" s="2"/>
      <c r="K455" s="2"/>
      <c r="L455" s="2"/>
      <c r="M455" s="2"/>
      <c r="N455" s="2"/>
      <c r="O455" s="2"/>
      <c r="P455" s="2"/>
      <c r="Q455" s="2"/>
    </row>
    <row r="456" spans="1:17" ht="12.5">
      <c r="A456" s="2"/>
      <c r="B456" s="2"/>
      <c r="C456" s="2"/>
      <c r="D456" s="2"/>
      <c r="E456" s="2"/>
      <c r="F456" s="2"/>
      <c r="G456" s="2"/>
      <c r="H456" s="2"/>
      <c r="I456" s="2"/>
      <c r="J456" s="2"/>
      <c r="K456" s="2"/>
      <c r="L456" s="2"/>
      <c r="M456" s="2"/>
      <c r="N456" s="2"/>
      <c r="O456" s="2"/>
      <c r="P456" s="2"/>
      <c r="Q456" s="2"/>
    </row>
    <row r="457" spans="1:17" ht="12.5">
      <c r="A457" s="2"/>
      <c r="B457" s="2"/>
      <c r="C457" s="2"/>
      <c r="D457" s="2"/>
      <c r="E457" s="2"/>
      <c r="F457" s="2"/>
      <c r="G457" s="2"/>
      <c r="H457" s="2"/>
      <c r="I457" s="2"/>
      <c r="J457" s="2"/>
      <c r="K457" s="2"/>
      <c r="L457" s="2"/>
      <c r="M457" s="2"/>
      <c r="N457" s="2"/>
      <c r="O457" s="2"/>
      <c r="P457" s="2"/>
      <c r="Q457" s="2"/>
    </row>
    <row r="458" spans="1:17" ht="12.5">
      <c r="A458" s="2"/>
      <c r="B458" s="2"/>
      <c r="C458" s="2"/>
      <c r="D458" s="2"/>
      <c r="E458" s="2"/>
      <c r="F458" s="2"/>
      <c r="G458" s="2"/>
      <c r="H458" s="2"/>
      <c r="I458" s="2"/>
      <c r="J458" s="2"/>
      <c r="K458" s="2"/>
      <c r="L458" s="2"/>
      <c r="M458" s="2"/>
      <c r="N458" s="2"/>
      <c r="O458" s="2"/>
      <c r="P458" s="2"/>
      <c r="Q458" s="2"/>
    </row>
    <row r="459" spans="1:17" ht="12.5">
      <c r="A459" s="2"/>
      <c r="B459" s="2"/>
      <c r="C459" s="2"/>
      <c r="D459" s="2"/>
      <c r="E459" s="2"/>
      <c r="F459" s="2"/>
      <c r="G459" s="2"/>
      <c r="H459" s="2"/>
      <c r="I459" s="2"/>
      <c r="J459" s="2"/>
      <c r="K459" s="2"/>
      <c r="L459" s="2"/>
      <c r="M459" s="2"/>
      <c r="N459" s="2"/>
      <c r="O459" s="2"/>
      <c r="P459" s="2"/>
      <c r="Q459" s="2"/>
    </row>
    <row r="460" spans="1:17" ht="12.5">
      <c r="A460" s="2"/>
      <c r="B460" s="2"/>
      <c r="C460" s="2"/>
      <c r="D460" s="2"/>
      <c r="E460" s="2"/>
      <c r="F460" s="2"/>
      <c r="G460" s="2"/>
      <c r="H460" s="2"/>
      <c r="I460" s="2"/>
      <c r="J460" s="2"/>
      <c r="K460" s="2"/>
      <c r="L460" s="2"/>
      <c r="M460" s="2"/>
      <c r="N460" s="2"/>
      <c r="O460" s="2"/>
      <c r="P460" s="2"/>
      <c r="Q460" s="2"/>
    </row>
    <row r="461" spans="1:17" ht="12.5">
      <c r="A461" s="2"/>
      <c r="B461" s="2"/>
      <c r="C461" s="2"/>
      <c r="D461" s="2"/>
      <c r="E461" s="2"/>
      <c r="F461" s="2"/>
      <c r="G461" s="2"/>
      <c r="H461" s="2"/>
      <c r="I461" s="2"/>
      <c r="J461" s="2"/>
      <c r="K461" s="2"/>
      <c r="L461" s="2"/>
      <c r="M461" s="2"/>
      <c r="N461" s="2"/>
      <c r="O461" s="2"/>
      <c r="P461" s="2"/>
      <c r="Q461" s="2"/>
    </row>
    <row r="462" spans="1:17" ht="12.5">
      <c r="A462" s="2"/>
      <c r="B462" s="2"/>
      <c r="C462" s="2"/>
      <c r="D462" s="2"/>
      <c r="E462" s="2"/>
      <c r="F462" s="2"/>
      <c r="G462" s="2"/>
      <c r="H462" s="2"/>
      <c r="I462" s="2"/>
      <c r="J462" s="2"/>
      <c r="K462" s="2"/>
      <c r="L462" s="2"/>
      <c r="M462" s="2"/>
      <c r="N462" s="2"/>
      <c r="O462" s="2"/>
      <c r="P462" s="2"/>
      <c r="Q462" s="2"/>
    </row>
    <row r="463" spans="1:17" ht="12.5">
      <c r="A463" s="2"/>
      <c r="B463" s="2"/>
      <c r="C463" s="2"/>
      <c r="D463" s="2"/>
      <c r="E463" s="2"/>
      <c r="F463" s="2"/>
      <c r="G463" s="2"/>
      <c r="H463" s="2"/>
      <c r="I463" s="2"/>
      <c r="J463" s="2"/>
      <c r="K463" s="2"/>
      <c r="L463" s="2"/>
      <c r="M463" s="2"/>
      <c r="N463" s="2"/>
      <c r="O463" s="2"/>
      <c r="P463" s="2"/>
      <c r="Q463" s="2"/>
    </row>
    <row r="464" spans="1:17" ht="12.5">
      <c r="A464" s="2"/>
      <c r="B464" s="2"/>
      <c r="C464" s="2"/>
      <c r="D464" s="2"/>
      <c r="E464" s="2"/>
      <c r="F464" s="2"/>
      <c r="G464" s="2"/>
      <c r="H464" s="2"/>
      <c r="I464" s="2"/>
      <c r="J464" s="2"/>
      <c r="K464" s="2"/>
      <c r="L464" s="2"/>
      <c r="M464" s="2"/>
      <c r="N464" s="2"/>
      <c r="O464" s="2"/>
      <c r="P464" s="2"/>
      <c r="Q464" s="2"/>
    </row>
    <row r="465" spans="1:17" ht="12.5">
      <c r="A465" s="2"/>
      <c r="B465" s="2"/>
      <c r="C465" s="2"/>
      <c r="D465" s="2"/>
      <c r="E465" s="2"/>
      <c r="F465" s="2"/>
      <c r="G465" s="2"/>
      <c r="H465" s="2"/>
      <c r="I465" s="2"/>
      <c r="J465" s="2"/>
      <c r="K465" s="2"/>
      <c r="L465" s="2"/>
      <c r="M465" s="2"/>
      <c r="N465" s="2"/>
      <c r="O465" s="2"/>
      <c r="P465" s="2"/>
      <c r="Q465" s="2"/>
    </row>
    <row r="466" spans="1:17" ht="12.5">
      <c r="A466" s="2"/>
      <c r="B466" s="2"/>
      <c r="C466" s="2"/>
      <c r="D466" s="2"/>
      <c r="E466" s="2"/>
      <c r="F466" s="2"/>
      <c r="G466" s="2"/>
      <c r="H466" s="2"/>
      <c r="I466" s="2"/>
      <c r="J466" s="2"/>
      <c r="K466" s="2"/>
      <c r="L466" s="2"/>
      <c r="M466" s="2"/>
      <c r="N466" s="2"/>
      <c r="O466" s="2"/>
      <c r="P466" s="2"/>
      <c r="Q466" s="2"/>
    </row>
    <row r="467" spans="1:17" ht="12.5">
      <c r="A467" s="2"/>
      <c r="B467" s="2"/>
      <c r="C467" s="2"/>
      <c r="D467" s="2"/>
      <c r="E467" s="2"/>
      <c r="F467" s="2"/>
      <c r="G467" s="2"/>
      <c r="H467" s="2"/>
      <c r="I467" s="2"/>
      <c r="J467" s="2"/>
      <c r="K467" s="2"/>
      <c r="L467" s="2"/>
      <c r="M467" s="2"/>
      <c r="N467" s="2"/>
      <c r="O467" s="2"/>
      <c r="P467" s="2"/>
      <c r="Q467" s="2"/>
    </row>
    <row r="468" spans="1:17" ht="12.5">
      <c r="A468" s="2"/>
      <c r="B468" s="2"/>
      <c r="C468" s="2"/>
      <c r="D468" s="2"/>
      <c r="E468" s="2"/>
      <c r="F468" s="2"/>
      <c r="G468" s="2"/>
      <c r="H468" s="2"/>
      <c r="I468" s="2"/>
      <c r="J468" s="2"/>
      <c r="K468" s="2"/>
      <c r="L468" s="2"/>
      <c r="M468" s="2"/>
      <c r="N468" s="2"/>
      <c r="O468" s="2"/>
      <c r="P468" s="2"/>
      <c r="Q468" s="2"/>
    </row>
    <row r="469" spans="1:17" ht="12.5">
      <c r="A469" s="2"/>
      <c r="B469" s="2"/>
      <c r="C469" s="2"/>
      <c r="D469" s="2"/>
      <c r="E469" s="2"/>
      <c r="F469" s="2"/>
      <c r="G469" s="2"/>
      <c r="H469" s="2"/>
      <c r="I469" s="2"/>
      <c r="J469" s="2"/>
      <c r="K469" s="2"/>
      <c r="L469" s="2"/>
      <c r="M469" s="2"/>
      <c r="N469" s="2"/>
      <c r="O469" s="2"/>
      <c r="P469" s="2"/>
      <c r="Q469" s="2"/>
    </row>
    <row r="470" spans="1:17" ht="12.5">
      <c r="A470" s="2"/>
      <c r="B470" s="2"/>
      <c r="C470" s="2"/>
      <c r="D470" s="2"/>
      <c r="E470" s="2"/>
      <c r="F470" s="2"/>
      <c r="G470" s="2"/>
      <c r="H470" s="2"/>
      <c r="I470" s="2"/>
      <c r="J470" s="2"/>
      <c r="K470" s="2"/>
      <c r="L470" s="2"/>
      <c r="M470" s="2"/>
      <c r="N470" s="2"/>
      <c r="O470" s="2"/>
      <c r="P470" s="2"/>
      <c r="Q470" s="2"/>
    </row>
    <row r="471" spans="1:17" ht="12.5">
      <c r="A471" s="2"/>
      <c r="B471" s="2"/>
      <c r="C471" s="2"/>
      <c r="D471" s="2"/>
      <c r="E471" s="2"/>
      <c r="F471" s="2"/>
      <c r="G471" s="2"/>
      <c r="H471" s="2"/>
      <c r="I471" s="2"/>
      <c r="J471" s="2"/>
      <c r="K471" s="2"/>
      <c r="L471" s="2"/>
      <c r="M471" s="2"/>
      <c r="N471" s="2"/>
      <c r="O471" s="2"/>
      <c r="P471" s="2"/>
      <c r="Q471" s="2"/>
    </row>
    <row r="472" spans="1:17" ht="12.5">
      <c r="A472" s="2"/>
      <c r="B472" s="2"/>
      <c r="C472" s="2"/>
      <c r="D472" s="2"/>
      <c r="E472" s="2"/>
      <c r="F472" s="2"/>
      <c r="G472" s="2"/>
      <c r="H472" s="2"/>
      <c r="I472" s="2"/>
      <c r="J472" s="2"/>
      <c r="K472" s="2"/>
      <c r="L472" s="2"/>
      <c r="M472" s="2"/>
      <c r="N472" s="2"/>
      <c r="O472" s="2"/>
      <c r="P472" s="2"/>
      <c r="Q472" s="2"/>
    </row>
    <row r="473" spans="1:17" ht="12.5">
      <c r="A473" s="2"/>
      <c r="B473" s="2"/>
      <c r="C473" s="2"/>
      <c r="D473" s="2"/>
      <c r="E473" s="2"/>
      <c r="F473" s="2"/>
      <c r="G473" s="2"/>
      <c r="H473" s="2"/>
      <c r="I473" s="2"/>
      <c r="J473" s="2"/>
      <c r="K473" s="2"/>
      <c r="L473" s="2"/>
      <c r="M473" s="2"/>
      <c r="N473" s="2"/>
      <c r="O473" s="2"/>
      <c r="P473" s="2"/>
      <c r="Q473" s="2"/>
    </row>
    <row r="474" spans="1:17" ht="12.5">
      <c r="A474" s="2"/>
      <c r="B474" s="2"/>
      <c r="C474" s="2"/>
      <c r="D474" s="2"/>
      <c r="E474" s="2"/>
      <c r="F474" s="2"/>
      <c r="G474" s="2"/>
      <c r="H474" s="2"/>
      <c r="I474" s="2"/>
      <c r="J474" s="2"/>
      <c r="K474" s="2"/>
      <c r="L474" s="2"/>
      <c r="M474" s="2"/>
      <c r="N474" s="2"/>
      <c r="O474" s="2"/>
      <c r="P474" s="2"/>
      <c r="Q474" s="2"/>
    </row>
    <row r="475" spans="1:17" ht="12.5">
      <c r="A475" s="2"/>
      <c r="B475" s="2"/>
      <c r="C475" s="2"/>
      <c r="D475" s="2"/>
      <c r="E475" s="2"/>
      <c r="F475" s="2"/>
      <c r="G475" s="2"/>
      <c r="H475" s="2"/>
      <c r="I475" s="2"/>
      <c r="J475" s="2"/>
      <c r="K475" s="2"/>
      <c r="L475" s="2"/>
      <c r="M475" s="2"/>
      <c r="N475" s="2"/>
      <c r="O475" s="2"/>
      <c r="P475" s="2"/>
      <c r="Q475" s="2"/>
    </row>
    <row r="476" spans="1:17" ht="12.5">
      <c r="A476" s="2"/>
      <c r="B476" s="2"/>
      <c r="C476" s="2"/>
      <c r="D476" s="2"/>
      <c r="E476" s="2"/>
      <c r="F476" s="2"/>
      <c r="G476" s="2"/>
      <c r="H476" s="2"/>
      <c r="I476" s="2"/>
      <c r="J476" s="2"/>
      <c r="K476" s="2"/>
      <c r="L476" s="2"/>
      <c r="M476" s="2"/>
      <c r="N476" s="2"/>
      <c r="O476" s="2"/>
      <c r="P476" s="2"/>
      <c r="Q476" s="2"/>
    </row>
    <row r="477" spans="1:17" ht="12.5">
      <c r="A477" s="2"/>
      <c r="B477" s="2"/>
      <c r="C477" s="2"/>
      <c r="D477" s="2"/>
      <c r="E477" s="2"/>
      <c r="F477" s="2"/>
      <c r="G477" s="2"/>
      <c r="H477" s="2"/>
      <c r="I477" s="2"/>
      <c r="J477" s="2"/>
      <c r="K477" s="2"/>
      <c r="L477" s="2"/>
      <c r="M477" s="2"/>
      <c r="N477" s="2"/>
      <c r="O477" s="2"/>
      <c r="P477" s="2"/>
      <c r="Q477" s="2"/>
    </row>
    <row r="478" spans="1:17" ht="12.5">
      <c r="A478" s="2"/>
      <c r="B478" s="2"/>
      <c r="C478" s="2"/>
      <c r="D478" s="2"/>
      <c r="E478" s="2"/>
      <c r="F478" s="2"/>
      <c r="G478" s="2"/>
      <c r="H478" s="2"/>
      <c r="I478" s="2"/>
      <c r="J478" s="2"/>
      <c r="K478" s="2"/>
      <c r="L478" s="2"/>
      <c r="M478" s="2"/>
      <c r="N478" s="2"/>
      <c r="O478" s="2"/>
      <c r="P478" s="2"/>
      <c r="Q478" s="2"/>
    </row>
    <row r="479" spans="1:17" ht="12.5">
      <c r="A479" s="2"/>
      <c r="B479" s="2"/>
      <c r="C479" s="2"/>
      <c r="D479" s="2"/>
      <c r="E479" s="2"/>
      <c r="F479" s="2"/>
      <c r="G479" s="2"/>
      <c r="H479" s="2"/>
      <c r="I479" s="2"/>
      <c r="J479" s="2"/>
      <c r="K479" s="2"/>
      <c r="L479" s="2"/>
      <c r="M479" s="2"/>
      <c r="N479" s="2"/>
      <c r="O479" s="2"/>
      <c r="P479" s="2"/>
      <c r="Q479" s="2"/>
    </row>
    <row r="480" spans="1:17" ht="12.5">
      <c r="A480" s="2"/>
      <c r="B480" s="2"/>
      <c r="C480" s="2"/>
      <c r="D480" s="2"/>
      <c r="E480" s="2"/>
      <c r="F480" s="2"/>
      <c r="G480" s="2"/>
      <c r="H480" s="2"/>
      <c r="I480" s="2"/>
      <c r="J480" s="2"/>
      <c r="K480" s="2"/>
      <c r="L480" s="2"/>
      <c r="M480" s="2"/>
      <c r="N480" s="2"/>
      <c r="O480" s="2"/>
      <c r="P480" s="2"/>
      <c r="Q480" s="2"/>
    </row>
    <row r="481" spans="1:17" ht="12.5">
      <c r="A481" s="2"/>
      <c r="B481" s="2"/>
      <c r="C481" s="2"/>
      <c r="D481" s="2"/>
      <c r="E481" s="2"/>
      <c r="F481" s="2"/>
      <c r="G481" s="2"/>
      <c r="H481" s="2"/>
      <c r="I481" s="2"/>
      <c r="J481" s="2"/>
      <c r="K481" s="2"/>
      <c r="L481" s="2"/>
      <c r="M481" s="2"/>
      <c r="N481" s="2"/>
      <c r="O481" s="2"/>
      <c r="P481" s="2"/>
      <c r="Q481" s="2"/>
    </row>
    <row r="482" spans="1:17" ht="12.5">
      <c r="A482" s="2"/>
      <c r="B482" s="2"/>
      <c r="C482" s="2"/>
      <c r="D482" s="2"/>
      <c r="E482" s="2"/>
      <c r="F482" s="2"/>
      <c r="G482" s="2"/>
      <c r="H482" s="2"/>
      <c r="I482" s="2"/>
      <c r="J482" s="2"/>
      <c r="K482" s="2"/>
      <c r="L482" s="2"/>
      <c r="M482" s="2"/>
      <c r="N482" s="2"/>
      <c r="O482" s="2"/>
      <c r="P482" s="2"/>
      <c r="Q482" s="2"/>
    </row>
    <row r="483" spans="1:17" ht="12.5">
      <c r="A483" s="2"/>
      <c r="B483" s="2"/>
      <c r="C483" s="2"/>
      <c r="D483" s="2"/>
      <c r="E483" s="2"/>
      <c r="F483" s="2"/>
      <c r="G483" s="2"/>
      <c r="H483" s="2"/>
      <c r="I483" s="2"/>
      <c r="J483" s="2"/>
      <c r="K483" s="2"/>
      <c r="L483" s="2"/>
      <c r="M483" s="2"/>
      <c r="N483" s="2"/>
      <c r="O483" s="2"/>
      <c r="P483" s="2"/>
      <c r="Q483" s="2"/>
    </row>
    <row r="484" spans="1:17" ht="12.5">
      <c r="A484" s="2"/>
      <c r="B484" s="2"/>
      <c r="C484" s="2"/>
      <c r="D484" s="2"/>
      <c r="E484" s="2"/>
      <c r="F484" s="2"/>
      <c r="G484" s="2"/>
      <c r="H484" s="2"/>
      <c r="I484" s="2"/>
      <c r="J484" s="2"/>
      <c r="K484" s="2"/>
      <c r="L484" s="2"/>
      <c r="M484" s="2"/>
      <c r="N484" s="2"/>
      <c r="O484" s="2"/>
      <c r="P484" s="2"/>
      <c r="Q484" s="2"/>
    </row>
    <row r="485" spans="1:17" ht="12.5">
      <c r="A485" s="2"/>
      <c r="B485" s="2"/>
      <c r="C485" s="2"/>
      <c r="D485" s="2"/>
      <c r="E485" s="2"/>
      <c r="F485" s="2"/>
      <c r="G485" s="2"/>
      <c r="H485" s="2"/>
      <c r="I485" s="2"/>
      <c r="J485" s="2"/>
      <c r="K485" s="2"/>
      <c r="L485" s="2"/>
      <c r="M485" s="2"/>
      <c r="N485" s="2"/>
      <c r="O485" s="2"/>
      <c r="P485" s="2"/>
      <c r="Q485" s="2"/>
    </row>
    <row r="486" spans="1:17" ht="12.5">
      <c r="A486" s="2"/>
      <c r="B486" s="2"/>
      <c r="C486" s="2"/>
      <c r="D486" s="2"/>
      <c r="E486" s="2"/>
      <c r="F486" s="2"/>
      <c r="G486" s="2"/>
      <c r="H486" s="2"/>
      <c r="I486" s="2"/>
      <c r="J486" s="2"/>
      <c r="K486" s="2"/>
      <c r="L486" s="2"/>
      <c r="M486" s="2"/>
      <c r="N486" s="2"/>
      <c r="O486" s="2"/>
      <c r="P486" s="2"/>
      <c r="Q486" s="2"/>
    </row>
    <row r="487" spans="1:17" ht="12.5">
      <c r="A487" s="2"/>
      <c r="B487" s="2"/>
      <c r="C487" s="2"/>
      <c r="D487" s="2"/>
      <c r="E487" s="2"/>
      <c r="F487" s="2"/>
      <c r="G487" s="2"/>
      <c r="H487" s="2"/>
      <c r="I487" s="2"/>
      <c r="J487" s="2"/>
      <c r="K487" s="2"/>
      <c r="L487" s="2"/>
      <c r="M487" s="2"/>
      <c r="N487" s="2"/>
      <c r="O487" s="2"/>
      <c r="P487" s="2"/>
      <c r="Q487" s="2"/>
    </row>
    <row r="488" spans="1:17" ht="12.5">
      <c r="A488" s="2"/>
      <c r="B488" s="2"/>
      <c r="C488" s="2"/>
      <c r="D488" s="2"/>
      <c r="E488" s="2"/>
      <c r="F488" s="2"/>
      <c r="G488" s="2"/>
      <c r="H488" s="2"/>
      <c r="I488" s="2"/>
      <c r="J488" s="2"/>
      <c r="K488" s="2"/>
      <c r="L488" s="2"/>
      <c r="M488" s="2"/>
      <c r="N488" s="2"/>
      <c r="O488" s="2"/>
      <c r="P488" s="2"/>
      <c r="Q488" s="2"/>
    </row>
    <row r="489" spans="1:17" ht="12.5">
      <c r="A489" s="2"/>
      <c r="B489" s="2"/>
      <c r="C489" s="2"/>
      <c r="D489" s="2"/>
      <c r="E489" s="2"/>
      <c r="F489" s="2"/>
      <c r="G489" s="2"/>
      <c r="H489" s="2"/>
      <c r="I489" s="2"/>
      <c r="J489" s="2"/>
      <c r="K489" s="2"/>
      <c r="L489" s="2"/>
      <c r="M489" s="2"/>
      <c r="N489" s="2"/>
      <c r="O489" s="2"/>
      <c r="P489" s="2"/>
      <c r="Q489" s="2"/>
    </row>
    <row r="490" spans="1:17" ht="12.5">
      <c r="A490" s="2"/>
      <c r="B490" s="2"/>
      <c r="C490" s="2"/>
      <c r="D490" s="2"/>
      <c r="E490" s="2"/>
      <c r="F490" s="2"/>
      <c r="G490" s="2"/>
      <c r="H490" s="2"/>
      <c r="I490" s="2"/>
      <c r="J490" s="2"/>
      <c r="K490" s="2"/>
      <c r="L490" s="2"/>
      <c r="M490" s="2"/>
      <c r="N490" s="2"/>
      <c r="O490" s="2"/>
      <c r="P490" s="2"/>
      <c r="Q490" s="2"/>
    </row>
    <row r="491" spans="1:17" ht="12.5">
      <c r="A491" s="2"/>
      <c r="B491" s="2"/>
      <c r="C491" s="2"/>
      <c r="D491" s="2"/>
      <c r="E491" s="2"/>
      <c r="F491" s="2"/>
      <c r="G491" s="2"/>
      <c r="H491" s="2"/>
      <c r="I491" s="2"/>
      <c r="J491" s="2"/>
      <c r="K491" s="2"/>
      <c r="L491" s="2"/>
      <c r="M491" s="2"/>
      <c r="N491" s="2"/>
      <c r="O491" s="2"/>
      <c r="P491" s="2"/>
      <c r="Q491" s="2"/>
    </row>
    <row r="492" spans="1:17" ht="12.5">
      <c r="A492" s="2"/>
      <c r="B492" s="2"/>
      <c r="C492" s="2"/>
      <c r="D492" s="2"/>
      <c r="E492" s="2"/>
      <c r="F492" s="2"/>
      <c r="G492" s="2"/>
      <c r="H492" s="2"/>
      <c r="I492" s="2"/>
      <c r="J492" s="2"/>
      <c r="K492" s="2"/>
      <c r="L492" s="2"/>
      <c r="M492" s="2"/>
      <c r="N492" s="2"/>
      <c r="O492" s="2"/>
      <c r="P492" s="2"/>
      <c r="Q492" s="2"/>
    </row>
    <row r="493" spans="1:17" ht="12.5">
      <c r="A493" s="2"/>
      <c r="B493" s="2"/>
      <c r="C493" s="2"/>
      <c r="D493" s="2"/>
      <c r="E493" s="2"/>
      <c r="F493" s="2"/>
      <c r="G493" s="2"/>
      <c r="H493" s="2"/>
      <c r="I493" s="2"/>
      <c r="J493" s="2"/>
      <c r="K493" s="2"/>
      <c r="L493" s="2"/>
      <c r="M493" s="2"/>
      <c r="N493" s="2"/>
      <c r="O493" s="2"/>
      <c r="P493" s="2"/>
      <c r="Q493" s="2"/>
    </row>
    <row r="494" spans="1:17" ht="12.5">
      <c r="A494" s="2"/>
      <c r="B494" s="2"/>
      <c r="C494" s="2"/>
      <c r="D494" s="2"/>
      <c r="E494" s="2"/>
      <c r="F494" s="2"/>
      <c r="G494" s="2"/>
      <c r="H494" s="2"/>
      <c r="I494" s="2"/>
      <c r="J494" s="2"/>
      <c r="K494" s="2"/>
      <c r="L494" s="2"/>
      <c r="M494" s="2"/>
      <c r="N494" s="2"/>
      <c r="O494" s="2"/>
      <c r="P494" s="2"/>
      <c r="Q494" s="2"/>
    </row>
    <row r="495" spans="1:17" ht="12.5">
      <c r="A495" s="2"/>
      <c r="B495" s="2"/>
      <c r="C495" s="2"/>
      <c r="D495" s="2"/>
      <c r="E495" s="2"/>
      <c r="F495" s="2"/>
      <c r="G495" s="2"/>
      <c r="H495" s="2"/>
      <c r="I495" s="2"/>
      <c r="J495" s="2"/>
      <c r="K495" s="2"/>
      <c r="L495" s="2"/>
      <c r="M495" s="2"/>
      <c r="N495" s="2"/>
      <c r="O495" s="2"/>
      <c r="P495" s="2"/>
      <c r="Q495" s="2"/>
    </row>
    <row r="496" spans="1:17" ht="12.5">
      <c r="A496" s="2"/>
      <c r="B496" s="2"/>
      <c r="C496" s="2"/>
      <c r="D496" s="2"/>
      <c r="E496" s="2"/>
      <c r="F496" s="2"/>
      <c r="G496" s="2"/>
      <c r="H496" s="2"/>
      <c r="I496" s="2"/>
      <c r="J496" s="2"/>
      <c r="K496" s="2"/>
      <c r="L496" s="2"/>
      <c r="M496" s="2"/>
      <c r="N496" s="2"/>
      <c r="O496" s="2"/>
      <c r="P496" s="2"/>
      <c r="Q496" s="2"/>
    </row>
    <row r="497" spans="1:17" ht="12.5">
      <c r="A497" s="2"/>
      <c r="B497" s="2"/>
      <c r="C497" s="2"/>
      <c r="D497" s="2"/>
      <c r="E497" s="2"/>
      <c r="F497" s="2"/>
      <c r="G497" s="2"/>
      <c r="H497" s="2"/>
      <c r="I497" s="2"/>
      <c r="J497" s="2"/>
      <c r="K497" s="2"/>
      <c r="L497" s="2"/>
      <c r="M497" s="2"/>
      <c r="N497" s="2"/>
      <c r="O497" s="2"/>
      <c r="P497" s="2"/>
      <c r="Q497" s="2"/>
    </row>
    <row r="498" spans="1:17" ht="12.5">
      <c r="A498" s="2"/>
      <c r="B498" s="2"/>
      <c r="C498" s="2"/>
      <c r="D498" s="2"/>
      <c r="E498" s="2"/>
      <c r="F498" s="2"/>
      <c r="G498" s="2"/>
      <c r="H498" s="2"/>
      <c r="I498" s="2"/>
      <c r="J498" s="2"/>
      <c r="K498" s="2"/>
      <c r="L498" s="2"/>
      <c r="M498" s="2"/>
      <c r="N498" s="2"/>
      <c r="O498" s="2"/>
      <c r="P498" s="2"/>
      <c r="Q498" s="2"/>
    </row>
    <row r="499" spans="1:17" ht="12.5">
      <c r="A499" s="2"/>
      <c r="B499" s="2"/>
      <c r="C499" s="2"/>
      <c r="D499" s="2"/>
      <c r="E499" s="2"/>
      <c r="F499" s="2"/>
      <c r="G499" s="2"/>
      <c r="H499" s="2"/>
      <c r="I499" s="2"/>
      <c r="J499" s="2"/>
      <c r="K499" s="2"/>
      <c r="L499" s="2"/>
      <c r="M499" s="2"/>
      <c r="N499" s="2"/>
      <c r="O499" s="2"/>
      <c r="P499" s="2"/>
      <c r="Q499" s="2"/>
    </row>
    <row r="500" spans="1:17" ht="12.5">
      <c r="A500" s="2"/>
      <c r="B500" s="2"/>
      <c r="C500" s="2"/>
      <c r="D500" s="2"/>
      <c r="E500" s="2"/>
      <c r="F500" s="2"/>
      <c r="G500" s="2"/>
      <c r="H500" s="2"/>
      <c r="I500" s="2"/>
      <c r="J500" s="2"/>
      <c r="K500" s="2"/>
      <c r="L500" s="2"/>
      <c r="M500" s="2"/>
      <c r="N500" s="2"/>
      <c r="O500" s="2"/>
      <c r="P500" s="2"/>
      <c r="Q500" s="2"/>
    </row>
    <row r="501" spans="1:17" ht="12.5">
      <c r="A501" s="2"/>
      <c r="B501" s="2"/>
      <c r="C501" s="2"/>
      <c r="D501" s="2"/>
      <c r="E501" s="2"/>
      <c r="F501" s="2"/>
      <c r="G501" s="2"/>
      <c r="H501" s="2"/>
      <c r="I501" s="2"/>
      <c r="J501" s="2"/>
      <c r="K501" s="2"/>
      <c r="L501" s="2"/>
      <c r="M501" s="2"/>
      <c r="N501" s="2"/>
      <c r="O501" s="2"/>
      <c r="P501" s="2"/>
      <c r="Q501" s="2"/>
    </row>
    <row r="502" spans="1:17" ht="12.5">
      <c r="A502" s="2"/>
      <c r="B502" s="2"/>
      <c r="C502" s="2"/>
      <c r="D502" s="2"/>
      <c r="E502" s="2"/>
      <c r="F502" s="2"/>
      <c r="G502" s="2"/>
      <c r="H502" s="2"/>
      <c r="I502" s="2"/>
      <c r="J502" s="2"/>
      <c r="K502" s="2"/>
      <c r="L502" s="2"/>
      <c r="M502" s="2"/>
      <c r="N502" s="2"/>
      <c r="O502" s="2"/>
      <c r="P502" s="2"/>
      <c r="Q502" s="2"/>
    </row>
    <row r="503" spans="1:17" ht="12.5">
      <c r="A503" s="2"/>
      <c r="B503" s="2"/>
      <c r="C503" s="2"/>
      <c r="D503" s="2"/>
      <c r="E503" s="2"/>
      <c r="F503" s="2"/>
      <c r="G503" s="2"/>
      <c r="H503" s="2"/>
      <c r="I503" s="2"/>
      <c r="J503" s="2"/>
      <c r="K503" s="2"/>
      <c r="L503" s="2"/>
      <c r="M503" s="2"/>
      <c r="N503" s="2"/>
      <c r="O503" s="2"/>
      <c r="P503" s="2"/>
      <c r="Q503" s="2"/>
    </row>
    <row r="504" spans="1:17" ht="12.5">
      <c r="A504" s="2"/>
      <c r="B504" s="2"/>
      <c r="C504" s="2"/>
      <c r="D504" s="2"/>
      <c r="E504" s="2"/>
      <c r="F504" s="2"/>
      <c r="G504" s="2"/>
      <c r="H504" s="2"/>
      <c r="I504" s="2"/>
      <c r="J504" s="2"/>
      <c r="K504" s="2"/>
      <c r="L504" s="2"/>
      <c r="M504" s="2"/>
      <c r="N504" s="2"/>
      <c r="O504" s="2"/>
      <c r="P504" s="2"/>
      <c r="Q504" s="2"/>
    </row>
    <row r="505" spans="1:17" ht="12.5">
      <c r="A505" s="2"/>
      <c r="B505" s="2"/>
      <c r="C505" s="2"/>
      <c r="D505" s="2"/>
      <c r="E505" s="2"/>
      <c r="F505" s="2"/>
      <c r="G505" s="2"/>
      <c r="H505" s="2"/>
      <c r="I505" s="2"/>
      <c r="J505" s="2"/>
      <c r="K505" s="2"/>
      <c r="L505" s="2"/>
      <c r="M505" s="2"/>
      <c r="N505" s="2"/>
      <c r="O505" s="2"/>
      <c r="P505" s="2"/>
      <c r="Q505" s="2"/>
    </row>
    <row r="506" spans="1:17" ht="12.5">
      <c r="A506" s="2"/>
      <c r="B506" s="2"/>
      <c r="C506" s="2"/>
      <c r="D506" s="2"/>
      <c r="E506" s="2"/>
      <c r="F506" s="2"/>
      <c r="G506" s="2"/>
      <c r="H506" s="2"/>
      <c r="I506" s="2"/>
      <c r="J506" s="2"/>
      <c r="K506" s="2"/>
      <c r="L506" s="2"/>
      <c r="M506" s="2"/>
      <c r="N506" s="2"/>
      <c r="O506" s="2"/>
      <c r="P506" s="2"/>
      <c r="Q506" s="2"/>
    </row>
    <row r="507" spans="1:17" ht="12.5">
      <c r="A507" s="2"/>
      <c r="B507" s="2"/>
      <c r="C507" s="2"/>
      <c r="D507" s="2"/>
      <c r="E507" s="2"/>
      <c r="F507" s="2"/>
      <c r="G507" s="2"/>
      <c r="H507" s="2"/>
      <c r="I507" s="2"/>
      <c r="J507" s="2"/>
      <c r="K507" s="2"/>
      <c r="L507" s="2"/>
      <c r="M507" s="2"/>
      <c r="N507" s="2"/>
      <c r="O507" s="2"/>
      <c r="P507" s="2"/>
      <c r="Q507" s="2"/>
    </row>
    <row r="508" spans="1:17" ht="12.5">
      <c r="A508" s="2"/>
      <c r="B508" s="2"/>
      <c r="C508" s="2"/>
      <c r="D508" s="2"/>
      <c r="E508" s="2"/>
      <c r="F508" s="2"/>
      <c r="G508" s="2"/>
      <c r="H508" s="2"/>
      <c r="I508" s="2"/>
      <c r="J508" s="2"/>
      <c r="K508" s="2"/>
      <c r="L508" s="2"/>
      <c r="M508" s="2"/>
      <c r="N508" s="2"/>
      <c r="O508" s="2"/>
      <c r="P508" s="2"/>
      <c r="Q508" s="2"/>
    </row>
    <row r="509" spans="1:17" ht="12.5">
      <c r="A509" s="2"/>
      <c r="B509" s="2"/>
      <c r="C509" s="2"/>
      <c r="D509" s="2"/>
      <c r="E509" s="2"/>
      <c r="F509" s="2"/>
      <c r="G509" s="2"/>
      <c r="H509" s="2"/>
      <c r="I509" s="2"/>
      <c r="J509" s="2"/>
      <c r="K509" s="2"/>
      <c r="L509" s="2"/>
      <c r="M509" s="2"/>
      <c r="N509" s="2"/>
      <c r="O509" s="2"/>
      <c r="P509" s="2"/>
      <c r="Q509" s="2"/>
    </row>
    <row r="510" spans="1:17" ht="12.5">
      <c r="A510" s="2"/>
      <c r="B510" s="2"/>
      <c r="C510" s="2"/>
      <c r="D510" s="2"/>
      <c r="E510" s="2"/>
      <c r="F510" s="2"/>
      <c r="G510" s="2"/>
      <c r="H510" s="2"/>
      <c r="I510" s="2"/>
      <c r="J510" s="2"/>
      <c r="K510" s="2"/>
      <c r="L510" s="2"/>
      <c r="M510" s="2"/>
      <c r="N510" s="2"/>
      <c r="O510" s="2"/>
      <c r="P510" s="2"/>
      <c r="Q510" s="2"/>
    </row>
    <row r="511" spans="1:17" ht="12.5">
      <c r="A511" s="2"/>
      <c r="B511" s="2"/>
      <c r="C511" s="2"/>
      <c r="D511" s="2"/>
      <c r="E511" s="2"/>
      <c r="F511" s="2"/>
      <c r="G511" s="2"/>
      <c r="H511" s="2"/>
      <c r="I511" s="2"/>
      <c r="J511" s="2"/>
      <c r="K511" s="2"/>
      <c r="L511" s="2"/>
      <c r="M511" s="2"/>
      <c r="N511" s="2"/>
      <c r="O511" s="2"/>
      <c r="P511" s="2"/>
      <c r="Q511" s="2"/>
    </row>
    <row r="512" spans="1:17" ht="12.5">
      <c r="A512" s="2"/>
      <c r="B512" s="2"/>
      <c r="C512" s="2"/>
      <c r="D512" s="2"/>
      <c r="E512" s="2"/>
      <c r="F512" s="2"/>
      <c r="G512" s="2"/>
      <c r="H512" s="2"/>
      <c r="I512" s="2"/>
      <c r="J512" s="2"/>
      <c r="K512" s="2"/>
      <c r="L512" s="2"/>
      <c r="M512" s="2"/>
      <c r="N512" s="2"/>
      <c r="O512" s="2"/>
      <c r="P512" s="2"/>
      <c r="Q512" s="2"/>
    </row>
    <row r="513" spans="1:17" ht="12.5">
      <c r="A513" s="2"/>
      <c r="B513" s="2"/>
      <c r="C513" s="2"/>
      <c r="D513" s="2"/>
      <c r="E513" s="2"/>
      <c r="F513" s="2"/>
      <c r="G513" s="2"/>
      <c r="H513" s="2"/>
      <c r="I513" s="2"/>
      <c r="J513" s="2"/>
      <c r="K513" s="2"/>
      <c r="L513" s="2"/>
      <c r="M513" s="2"/>
      <c r="N513" s="2"/>
      <c r="O513" s="2"/>
      <c r="P513" s="2"/>
      <c r="Q513" s="2"/>
    </row>
    <row r="514" spans="1:17" ht="12.5">
      <c r="A514" s="2"/>
      <c r="B514" s="2"/>
      <c r="C514" s="2"/>
      <c r="D514" s="2"/>
      <c r="E514" s="2"/>
      <c r="F514" s="2"/>
      <c r="G514" s="2"/>
      <c r="H514" s="2"/>
      <c r="I514" s="2"/>
      <c r="J514" s="2"/>
      <c r="K514" s="2"/>
      <c r="L514" s="2"/>
      <c r="M514" s="2"/>
      <c r="N514" s="2"/>
      <c r="O514" s="2"/>
      <c r="P514" s="2"/>
      <c r="Q514" s="2"/>
    </row>
    <row r="515" spans="1:17" ht="12.5">
      <c r="A515" s="2"/>
      <c r="B515" s="2"/>
      <c r="C515" s="2"/>
      <c r="D515" s="2"/>
      <c r="E515" s="2"/>
      <c r="F515" s="2"/>
      <c r="G515" s="2"/>
      <c r="H515" s="2"/>
      <c r="I515" s="2"/>
      <c r="J515" s="2"/>
      <c r="K515" s="2"/>
      <c r="L515" s="2"/>
      <c r="M515" s="2"/>
      <c r="N515" s="2"/>
      <c r="O515" s="2"/>
      <c r="P515" s="2"/>
      <c r="Q515" s="2"/>
    </row>
    <row r="516" spans="1:17" ht="12.5">
      <c r="A516" s="2"/>
      <c r="B516" s="2"/>
      <c r="C516" s="2"/>
      <c r="D516" s="2"/>
      <c r="E516" s="2"/>
      <c r="F516" s="2"/>
      <c r="G516" s="2"/>
      <c r="H516" s="2"/>
      <c r="I516" s="2"/>
      <c r="J516" s="2"/>
      <c r="K516" s="2"/>
      <c r="L516" s="2"/>
      <c r="M516" s="2"/>
      <c r="N516" s="2"/>
      <c r="O516" s="2"/>
      <c r="P516" s="2"/>
      <c r="Q516" s="2"/>
    </row>
    <row r="517" spans="1:17" ht="12.5">
      <c r="A517" s="2"/>
      <c r="B517" s="2"/>
      <c r="C517" s="2"/>
      <c r="D517" s="2"/>
      <c r="E517" s="2"/>
      <c r="F517" s="2"/>
      <c r="G517" s="2"/>
      <c r="H517" s="2"/>
      <c r="I517" s="2"/>
      <c r="J517" s="2"/>
      <c r="K517" s="2"/>
      <c r="L517" s="2"/>
      <c r="M517" s="2"/>
      <c r="N517" s="2"/>
      <c r="O517" s="2"/>
      <c r="P517" s="2"/>
      <c r="Q517" s="2"/>
    </row>
    <row r="518" spans="1:17" ht="12.5">
      <c r="A518" s="2"/>
      <c r="B518" s="2"/>
      <c r="C518" s="2"/>
      <c r="D518" s="2"/>
      <c r="E518" s="2"/>
      <c r="F518" s="2"/>
      <c r="G518" s="2"/>
      <c r="H518" s="2"/>
      <c r="I518" s="2"/>
      <c r="J518" s="2"/>
      <c r="K518" s="2"/>
      <c r="L518" s="2"/>
      <c r="M518" s="2"/>
      <c r="N518" s="2"/>
      <c r="O518" s="2"/>
      <c r="P518" s="2"/>
      <c r="Q518" s="2"/>
    </row>
    <row r="519" spans="1:17" ht="12.5">
      <c r="A519" s="2"/>
      <c r="B519" s="2"/>
      <c r="C519" s="2"/>
      <c r="D519" s="2"/>
      <c r="E519" s="2"/>
      <c r="F519" s="2"/>
      <c r="G519" s="2"/>
      <c r="H519" s="2"/>
      <c r="I519" s="2"/>
      <c r="J519" s="2"/>
      <c r="K519" s="2"/>
      <c r="L519" s="2"/>
      <c r="M519" s="2"/>
      <c r="N519" s="2"/>
      <c r="O519" s="2"/>
      <c r="P519" s="2"/>
      <c r="Q519" s="2"/>
    </row>
    <row r="520" spans="1:17" ht="12.5">
      <c r="A520" s="2"/>
      <c r="B520" s="2"/>
      <c r="C520" s="2"/>
      <c r="D520" s="2"/>
      <c r="E520" s="2"/>
      <c r="F520" s="2"/>
      <c r="G520" s="2"/>
      <c r="H520" s="2"/>
      <c r="I520" s="2"/>
      <c r="J520" s="2"/>
      <c r="K520" s="2"/>
      <c r="L520" s="2"/>
      <c r="M520" s="2"/>
      <c r="N520" s="2"/>
      <c r="O520" s="2"/>
      <c r="P520" s="2"/>
      <c r="Q520" s="2"/>
    </row>
    <row r="521" spans="1:17" ht="12.5">
      <c r="A521" s="2"/>
      <c r="B521" s="2"/>
      <c r="C521" s="2"/>
      <c r="D521" s="2"/>
      <c r="E521" s="2"/>
      <c r="F521" s="2"/>
      <c r="G521" s="2"/>
      <c r="H521" s="2"/>
      <c r="I521" s="2"/>
      <c r="J521" s="2"/>
      <c r="K521" s="2"/>
      <c r="L521" s="2"/>
      <c r="M521" s="2"/>
      <c r="N521" s="2"/>
      <c r="O521" s="2"/>
      <c r="P521" s="2"/>
      <c r="Q521" s="2"/>
    </row>
    <row r="522" spans="1:17" ht="12.5">
      <c r="A522" s="2"/>
      <c r="B522" s="2"/>
      <c r="C522" s="2"/>
      <c r="D522" s="2"/>
      <c r="E522" s="2"/>
      <c r="F522" s="2"/>
      <c r="G522" s="2"/>
      <c r="H522" s="2"/>
      <c r="I522" s="2"/>
      <c r="J522" s="2"/>
      <c r="K522" s="2"/>
      <c r="L522" s="2"/>
      <c r="M522" s="2"/>
      <c r="N522" s="2"/>
      <c r="O522" s="2"/>
      <c r="P522" s="2"/>
      <c r="Q522" s="2"/>
    </row>
    <row r="523" spans="1:17" ht="12.5">
      <c r="A523" s="2"/>
      <c r="B523" s="2"/>
      <c r="C523" s="2"/>
      <c r="D523" s="2"/>
      <c r="E523" s="2"/>
      <c r="F523" s="2"/>
      <c r="G523" s="2"/>
      <c r="H523" s="2"/>
      <c r="I523" s="2"/>
      <c r="J523" s="2"/>
      <c r="K523" s="2"/>
      <c r="L523" s="2"/>
      <c r="M523" s="2"/>
      <c r="N523" s="2"/>
      <c r="O523" s="2"/>
      <c r="P523" s="2"/>
      <c r="Q523" s="2"/>
    </row>
    <row r="524" spans="1:17" ht="12.5">
      <c r="A524" s="2"/>
      <c r="B524" s="2"/>
      <c r="C524" s="2"/>
      <c r="D524" s="2"/>
      <c r="E524" s="2"/>
      <c r="F524" s="2"/>
      <c r="G524" s="2"/>
      <c r="H524" s="2"/>
      <c r="I524" s="2"/>
      <c r="J524" s="2"/>
      <c r="K524" s="2"/>
      <c r="L524" s="2"/>
      <c r="M524" s="2"/>
      <c r="N524" s="2"/>
      <c r="O524" s="2"/>
      <c r="P524" s="2"/>
      <c r="Q524" s="2"/>
    </row>
    <row r="525" spans="1:17" ht="12.5">
      <c r="A525" s="2"/>
      <c r="B525" s="2"/>
      <c r="C525" s="2"/>
      <c r="D525" s="2"/>
      <c r="E525" s="2"/>
      <c r="F525" s="2"/>
      <c r="G525" s="2"/>
      <c r="H525" s="2"/>
      <c r="I525" s="2"/>
      <c r="J525" s="2"/>
      <c r="K525" s="2"/>
      <c r="L525" s="2"/>
      <c r="M525" s="2"/>
      <c r="N525" s="2"/>
      <c r="O525" s="2"/>
      <c r="P525" s="2"/>
      <c r="Q525" s="2"/>
    </row>
    <row r="526" spans="1:17" ht="12.5">
      <c r="A526" s="2"/>
      <c r="B526" s="2"/>
      <c r="C526" s="2"/>
      <c r="D526" s="2"/>
      <c r="E526" s="2"/>
      <c r="F526" s="2"/>
      <c r="G526" s="2"/>
      <c r="H526" s="2"/>
      <c r="I526" s="2"/>
      <c r="J526" s="2"/>
      <c r="K526" s="2"/>
      <c r="L526" s="2"/>
      <c r="M526" s="2"/>
      <c r="N526" s="2"/>
      <c r="O526" s="2"/>
      <c r="P526" s="2"/>
      <c r="Q526" s="2"/>
    </row>
    <row r="527" spans="1:17" ht="12.5">
      <c r="A527" s="2"/>
      <c r="B527" s="2"/>
      <c r="C527" s="2"/>
      <c r="D527" s="2"/>
      <c r="E527" s="2"/>
      <c r="F527" s="2"/>
      <c r="G527" s="2"/>
      <c r="H527" s="2"/>
      <c r="I527" s="2"/>
      <c r="J527" s="2"/>
      <c r="K527" s="2"/>
      <c r="L527" s="2"/>
      <c r="M527" s="2"/>
      <c r="N527" s="2"/>
      <c r="O527" s="2"/>
      <c r="P527" s="2"/>
      <c r="Q527" s="2"/>
    </row>
    <row r="528" spans="1:17" ht="12.5">
      <c r="A528" s="2"/>
      <c r="B528" s="2"/>
      <c r="C528" s="2"/>
      <c r="D528" s="2"/>
      <c r="E528" s="2"/>
      <c r="F528" s="2"/>
      <c r="G528" s="2"/>
      <c r="H528" s="2"/>
      <c r="I528" s="2"/>
      <c r="J528" s="2"/>
      <c r="K528" s="2"/>
      <c r="L528" s="2"/>
      <c r="M528" s="2"/>
      <c r="N528" s="2"/>
      <c r="O528" s="2"/>
      <c r="P528" s="2"/>
      <c r="Q528" s="2"/>
    </row>
    <row r="529" spans="1:17" ht="12.5">
      <c r="A529" s="2"/>
      <c r="B529" s="2"/>
      <c r="C529" s="2"/>
      <c r="D529" s="2"/>
      <c r="E529" s="2"/>
      <c r="F529" s="2"/>
      <c r="G529" s="2"/>
      <c r="H529" s="2"/>
      <c r="I529" s="2"/>
      <c r="J529" s="2"/>
      <c r="K529" s="2"/>
      <c r="L529" s="2"/>
      <c r="M529" s="2"/>
      <c r="N529" s="2"/>
      <c r="O529" s="2"/>
      <c r="P529" s="2"/>
      <c r="Q529" s="2"/>
    </row>
    <row r="530" spans="1:17" ht="12.5">
      <c r="A530" s="2"/>
      <c r="B530" s="2"/>
      <c r="C530" s="2"/>
      <c r="D530" s="2"/>
      <c r="E530" s="2"/>
      <c r="F530" s="2"/>
      <c r="G530" s="2"/>
      <c r="H530" s="2"/>
      <c r="I530" s="2"/>
      <c r="J530" s="2"/>
      <c r="K530" s="2"/>
      <c r="L530" s="2"/>
      <c r="M530" s="2"/>
      <c r="N530" s="2"/>
      <c r="O530" s="2"/>
      <c r="P530" s="2"/>
      <c r="Q530" s="2"/>
    </row>
    <row r="531" spans="1:17" ht="12.5">
      <c r="A531" s="2"/>
      <c r="B531" s="2"/>
      <c r="C531" s="2"/>
      <c r="D531" s="2"/>
      <c r="E531" s="2"/>
      <c r="F531" s="2"/>
      <c r="G531" s="2"/>
      <c r="H531" s="2"/>
      <c r="I531" s="2"/>
      <c r="J531" s="2"/>
      <c r="K531" s="2"/>
      <c r="L531" s="2"/>
      <c r="M531" s="2"/>
      <c r="N531" s="2"/>
      <c r="O531" s="2"/>
      <c r="P531" s="2"/>
      <c r="Q531" s="2"/>
    </row>
    <row r="532" spans="1:17" ht="12.5">
      <c r="A532" s="2"/>
      <c r="B532" s="2"/>
      <c r="C532" s="2"/>
      <c r="D532" s="2"/>
      <c r="E532" s="2"/>
      <c r="F532" s="2"/>
      <c r="G532" s="2"/>
      <c r="H532" s="2"/>
      <c r="I532" s="2"/>
      <c r="J532" s="2"/>
      <c r="K532" s="2"/>
      <c r="L532" s="2"/>
      <c r="M532" s="2"/>
      <c r="N532" s="2"/>
      <c r="O532" s="2"/>
      <c r="P532" s="2"/>
      <c r="Q532" s="2"/>
    </row>
    <row r="533" spans="1:17" ht="12.5">
      <c r="A533" s="2"/>
      <c r="B533" s="2"/>
      <c r="C533" s="2"/>
      <c r="D533" s="2"/>
      <c r="E533" s="2"/>
      <c r="F533" s="2"/>
      <c r="G533" s="2"/>
      <c r="H533" s="2"/>
      <c r="I533" s="2"/>
      <c r="J533" s="2"/>
      <c r="K533" s="2"/>
      <c r="L533" s="2"/>
      <c r="M533" s="2"/>
      <c r="N533" s="2"/>
      <c r="O533" s="2"/>
      <c r="P533" s="2"/>
      <c r="Q533" s="2"/>
    </row>
    <row r="534" spans="1:17" ht="12.5">
      <c r="A534" s="2"/>
      <c r="B534" s="2"/>
      <c r="C534" s="2"/>
      <c r="D534" s="2"/>
      <c r="E534" s="2"/>
      <c r="F534" s="2"/>
      <c r="G534" s="2"/>
      <c r="H534" s="2"/>
      <c r="I534" s="2"/>
      <c r="J534" s="2"/>
      <c r="K534" s="2"/>
      <c r="L534" s="2"/>
      <c r="M534" s="2"/>
      <c r="N534" s="2"/>
      <c r="O534" s="2"/>
      <c r="P534" s="2"/>
      <c r="Q534" s="2"/>
    </row>
    <row r="535" spans="1:17" ht="12.5">
      <c r="A535" s="2"/>
      <c r="B535" s="2"/>
      <c r="C535" s="2"/>
      <c r="D535" s="2"/>
      <c r="E535" s="2"/>
      <c r="F535" s="2"/>
      <c r="G535" s="2"/>
      <c r="H535" s="2"/>
      <c r="I535" s="2"/>
      <c r="J535" s="2"/>
      <c r="K535" s="2"/>
      <c r="L535" s="2"/>
      <c r="M535" s="2"/>
      <c r="N535" s="2"/>
      <c r="O535" s="2"/>
      <c r="P535" s="2"/>
      <c r="Q535" s="2"/>
    </row>
    <row r="536" spans="1:17" ht="12.5">
      <c r="A536" s="2"/>
      <c r="B536" s="2"/>
      <c r="C536" s="2"/>
      <c r="D536" s="2"/>
      <c r="E536" s="2"/>
      <c r="F536" s="2"/>
      <c r="G536" s="2"/>
      <c r="H536" s="2"/>
      <c r="I536" s="2"/>
      <c r="J536" s="2"/>
      <c r="K536" s="2"/>
      <c r="L536" s="2"/>
      <c r="M536" s="2"/>
      <c r="N536" s="2"/>
      <c r="O536" s="2"/>
      <c r="P536" s="2"/>
      <c r="Q536" s="2"/>
    </row>
    <row r="537" spans="1:17" ht="12.5">
      <c r="A537" s="2"/>
      <c r="B537" s="2"/>
      <c r="C537" s="2"/>
      <c r="D537" s="2"/>
      <c r="E537" s="2"/>
      <c r="F537" s="2"/>
      <c r="G537" s="2"/>
      <c r="H537" s="2"/>
      <c r="I537" s="2"/>
      <c r="J537" s="2"/>
      <c r="K537" s="2"/>
      <c r="L537" s="2"/>
      <c r="M537" s="2"/>
      <c r="N537" s="2"/>
      <c r="O537" s="2"/>
      <c r="P537" s="2"/>
      <c r="Q537" s="2"/>
    </row>
    <row r="538" spans="1:17" ht="12.5">
      <c r="A538" s="2"/>
      <c r="B538" s="2"/>
      <c r="C538" s="2"/>
      <c r="D538" s="2"/>
      <c r="E538" s="2"/>
      <c r="F538" s="2"/>
      <c r="G538" s="2"/>
      <c r="H538" s="2"/>
      <c r="I538" s="2"/>
      <c r="J538" s="2"/>
      <c r="K538" s="2"/>
      <c r="L538" s="2"/>
      <c r="M538" s="2"/>
      <c r="N538" s="2"/>
      <c r="O538" s="2"/>
      <c r="P538" s="2"/>
      <c r="Q538" s="2"/>
    </row>
    <row r="539" spans="1:17" ht="12.5">
      <c r="A539" s="2"/>
      <c r="B539" s="2"/>
      <c r="C539" s="2"/>
      <c r="D539" s="2"/>
      <c r="E539" s="2"/>
      <c r="F539" s="2"/>
      <c r="G539" s="2"/>
      <c r="H539" s="2"/>
      <c r="I539" s="2"/>
      <c r="J539" s="2"/>
      <c r="K539" s="2"/>
      <c r="L539" s="2"/>
      <c r="M539" s="2"/>
      <c r="N539" s="2"/>
      <c r="O539" s="2"/>
      <c r="P539" s="2"/>
      <c r="Q539" s="2"/>
    </row>
    <row r="540" spans="1:17" ht="12.5">
      <c r="A540" s="2"/>
      <c r="B540" s="2"/>
      <c r="C540" s="2"/>
      <c r="D540" s="2"/>
      <c r="E540" s="2"/>
      <c r="F540" s="2"/>
      <c r="G540" s="2"/>
      <c r="H540" s="2"/>
      <c r="I540" s="2"/>
      <c r="J540" s="2"/>
      <c r="K540" s="2"/>
      <c r="L540" s="2"/>
      <c r="M540" s="2"/>
      <c r="N540" s="2"/>
      <c r="O540" s="2"/>
      <c r="P540" s="2"/>
      <c r="Q540" s="2"/>
    </row>
    <row r="541" spans="1:17" ht="12.5">
      <c r="A541" s="2"/>
      <c r="B541" s="2"/>
      <c r="C541" s="2"/>
      <c r="D541" s="2"/>
      <c r="E541" s="2"/>
      <c r="F541" s="2"/>
      <c r="G541" s="2"/>
      <c r="H541" s="2"/>
      <c r="I541" s="2"/>
      <c r="J541" s="2"/>
      <c r="K541" s="2"/>
      <c r="L541" s="2"/>
      <c r="M541" s="2"/>
      <c r="N541" s="2"/>
      <c r="O541" s="2"/>
      <c r="P541" s="2"/>
      <c r="Q541" s="2"/>
    </row>
    <row r="542" spans="1:17" ht="12.5">
      <c r="A542" s="2"/>
      <c r="B542" s="2"/>
      <c r="C542" s="2"/>
      <c r="D542" s="2"/>
      <c r="E542" s="2"/>
      <c r="F542" s="2"/>
      <c r="G542" s="2"/>
      <c r="H542" s="2"/>
      <c r="I542" s="2"/>
      <c r="J542" s="2"/>
      <c r="K542" s="2"/>
      <c r="L542" s="2"/>
      <c r="M542" s="2"/>
      <c r="N542" s="2"/>
      <c r="O542" s="2"/>
      <c r="P542" s="2"/>
      <c r="Q542" s="2"/>
    </row>
    <row r="543" spans="1:17" ht="12.5">
      <c r="A543" s="2"/>
      <c r="B543" s="2"/>
      <c r="C543" s="2"/>
      <c r="D543" s="2"/>
      <c r="E543" s="2"/>
      <c r="F543" s="2"/>
      <c r="G543" s="2"/>
      <c r="H543" s="2"/>
      <c r="I543" s="2"/>
      <c r="J543" s="2"/>
      <c r="K543" s="2"/>
      <c r="L543" s="2"/>
      <c r="M543" s="2"/>
      <c r="N543" s="2"/>
      <c r="O543" s="2"/>
      <c r="P543" s="2"/>
      <c r="Q543" s="2"/>
    </row>
    <row r="544" spans="1:17" ht="12.5">
      <c r="A544" s="2"/>
      <c r="B544" s="2"/>
      <c r="C544" s="2"/>
      <c r="D544" s="2"/>
      <c r="E544" s="2"/>
      <c r="F544" s="2"/>
      <c r="G544" s="2"/>
      <c r="H544" s="2"/>
      <c r="I544" s="2"/>
      <c r="J544" s="2"/>
      <c r="K544" s="2"/>
      <c r="L544" s="2"/>
      <c r="M544" s="2"/>
      <c r="N544" s="2"/>
      <c r="O544" s="2"/>
      <c r="P544" s="2"/>
      <c r="Q544" s="2"/>
    </row>
    <row r="545" spans="1:17" ht="12.5">
      <c r="A545" s="2"/>
      <c r="B545" s="2"/>
      <c r="C545" s="2"/>
      <c r="D545" s="2"/>
      <c r="E545" s="2"/>
      <c r="F545" s="2"/>
      <c r="G545" s="2"/>
      <c r="H545" s="2"/>
      <c r="I545" s="2"/>
      <c r="J545" s="2"/>
      <c r="K545" s="2"/>
      <c r="L545" s="2"/>
      <c r="M545" s="2"/>
      <c r="N545" s="2"/>
      <c r="O545" s="2"/>
      <c r="P545" s="2"/>
      <c r="Q545" s="2"/>
    </row>
    <row r="546" spans="1:17" ht="12.5">
      <c r="A546" s="2"/>
      <c r="B546" s="2"/>
      <c r="C546" s="2"/>
      <c r="D546" s="2"/>
      <c r="E546" s="2"/>
      <c r="F546" s="2"/>
      <c r="G546" s="2"/>
      <c r="H546" s="2"/>
      <c r="I546" s="2"/>
      <c r="J546" s="2"/>
      <c r="K546" s="2"/>
      <c r="L546" s="2"/>
      <c r="M546" s="2"/>
      <c r="N546" s="2"/>
      <c r="O546" s="2"/>
      <c r="P546" s="2"/>
      <c r="Q546" s="2"/>
    </row>
    <row r="547" spans="1:17" ht="12.5">
      <c r="A547" s="2"/>
      <c r="B547" s="2"/>
      <c r="C547" s="2"/>
      <c r="D547" s="2"/>
      <c r="E547" s="2"/>
      <c r="F547" s="2"/>
      <c r="G547" s="2"/>
      <c r="H547" s="2"/>
      <c r="I547" s="2"/>
      <c r="J547" s="2"/>
      <c r="K547" s="2"/>
      <c r="L547" s="2"/>
      <c r="M547" s="2"/>
      <c r="N547" s="2"/>
      <c r="O547" s="2"/>
      <c r="P547" s="2"/>
      <c r="Q547" s="2"/>
    </row>
    <row r="548" spans="1:17" ht="12.5">
      <c r="A548" s="2"/>
      <c r="B548" s="2"/>
      <c r="C548" s="2"/>
      <c r="D548" s="2"/>
      <c r="E548" s="2"/>
      <c r="F548" s="2"/>
      <c r="G548" s="2"/>
      <c r="H548" s="2"/>
      <c r="I548" s="2"/>
      <c r="J548" s="2"/>
      <c r="K548" s="2"/>
      <c r="L548" s="2"/>
      <c r="M548" s="2"/>
      <c r="N548" s="2"/>
      <c r="O548" s="2"/>
      <c r="P548" s="2"/>
      <c r="Q548" s="2"/>
    </row>
    <row r="549" spans="1:17" ht="12.5">
      <c r="A549" s="2"/>
      <c r="B549" s="2"/>
      <c r="C549" s="2"/>
      <c r="D549" s="2"/>
      <c r="E549" s="2"/>
      <c r="F549" s="2"/>
      <c r="G549" s="2"/>
      <c r="H549" s="2"/>
      <c r="I549" s="2"/>
      <c r="J549" s="2"/>
      <c r="K549" s="2"/>
      <c r="L549" s="2"/>
      <c r="M549" s="2"/>
      <c r="N549" s="2"/>
      <c r="O549" s="2"/>
      <c r="P549" s="2"/>
      <c r="Q549" s="2"/>
    </row>
    <row r="550" spans="1:17" ht="12.5">
      <c r="A550" s="2"/>
      <c r="B550" s="2"/>
      <c r="C550" s="2"/>
      <c r="D550" s="2"/>
      <c r="E550" s="2"/>
      <c r="F550" s="2"/>
      <c r="G550" s="2"/>
      <c r="H550" s="2"/>
      <c r="I550" s="2"/>
      <c r="J550" s="2"/>
      <c r="K550" s="2"/>
      <c r="L550" s="2"/>
      <c r="M550" s="2"/>
      <c r="N550" s="2"/>
      <c r="O550" s="2"/>
      <c r="P550" s="2"/>
      <c r="Q550" s="2"/>
    </row>
    <row r="551" spans="1:17" ht="12.5">
      <c r="A551" s="2"/>
      <c r="B551" s="2"/>
      <c r="C551" s="2"/>
      <c r="D551" s="2"/>
      <c r="E551" s="2"/>
      <c r="F551" s="2"/>
      <c r="G551" s="2"/>
      <c r="H551" s="2"/>
      <c r="I551" s="2"/>
      <c r="J551" s="2"/>
      <c r="K551" s="2"/>
      <c r="L551" s="2"/>
      <c r="M551" s="2"/>
      <c r="N551" s="2"/>
      <c r="O551" s="2"/>
      <c r="P551" s="2"/>
      <c r="Q551" s="2"/>
    </row>
    <row r="552" spans="1:17" ht="12.5">
      <c r="A552" s="2"/>
      <c r="B552" s="2"/>
      <c r="C552" s="2"/>
      <c r="D552" s="2"/>
      <c r="E552" s="2"/>
      <c r="F552" s="2"/>
      <c r="G552" s="2"/>
      <c r="H552" s="2"/>
      <c r="I552" s="2"/>
      <c r="J552" s="2"/>
      <c r="K552" s="2"/>
      <c r="L552" s="2"/>
      <c r="M552" s="2"/>
      <c r="N552" s="2"/>
      <c r="O552" s="2"/>
      <c r="P552" s="2"/>
      <c r="Q552" s="2"/>
    </row>
    <row r="553" spans="1:17" ht="12.5">
      <c r="A553" s="2"/>
      <c r="B553" s="2"/>
      <c r="C553" s="2"/>
      <c r="D553" s="2"/>
      <c r="E553" s="2"/>
      <c r="F553" s="2"/>
      <c r="G553" s="2"/>
      <c r="H553" s="2"/>
      <c r="I553" s="2"/>
      <c r="J553" s="2"/>
      <c r="K553" s="2"/>
      <c r="L553" s="2"/>
      <c r="M553" s="2"/>
      <c r="N553" s="2"/>
      <c r="O553" s="2"/>
      <c r="P553" s="2"/>
      <c r="Q553" s="2"/>
    </row>
    <row r="554" spans="1:17" ht="12.5">
      <c r="A554" s="2"/>
      <c r="B554" s="2"/>
      <c r="C554" s="2"/>
      <c r="D554" s="2"/>
      <c r="E554" s="2"/>
      <c r="F554" s="2"/>
      <c r="G554" s="2"/>
      <c r="H554" s="2"/>
      <c r="I554" s="2"/>
      <c r="J554" s="2"/>
      <c r="K554" s="2"/>
      <c r="L554" s="2"/>
      <c r="M554" s="2"/>
      <c r="N554" s="2"/>
      <c r="O554" s="2"/>
      <c r="P554" s="2"/>
      <c r="Q554" s="2"/>
    </row>
    <row r="555" spans="1:17" ht="12.5">
      <c r="A555" s="2"/>
      <c r="B555" s="2"/>
      <c r="C555" s="2"/>
      <c r="D555" s="2"/>
      <c r="E555" s="2"/>
      <c r="F555" s="2"/>
      <c r="G555" s="2"/>
      <c r="H555" s="2"/>
      <c r="I555" s="2"/>
      <c r="J555" s="2"/>
      <c r="K555" s="2"/>
      <c r="L555" s="2"/>
      <c r="M555" s="2"/>
      <c r="N555" s="2"/>
      <c r="O555" s="2"/>
      <c r="P555" s="2"/>
      <c r="Q555" s="2"/>
    </row>
    <row r="556" spans="1:17" ht="12.5">
      <c r="A556" s="2"/>
      <c r="B556" s="2"/>
      <c r="C556" s="2"/>
      <c r="D556" s="2"/>
      <c r="E556" s="2"/>
      <c r="F556" s="2"/>
      <c r="G556" s="2"/>
      <c r="H556" s="2"/>
      <c r="I556" s="2"/>
      <c r="J556" s="2"/>
      <c r="K556" s="2"/>
      <c r="L556" s="2"/>
      <c r="M556" s="2"/>
      <c r="N556" s="2"/>
      <c r="O556" s="2"/>
      <c r="P556" s="2"/>
      <c r="Q556" s="2"/>
    </row>
    <row r="557" spans="1:17" ht="12.5">
      <c r="A557" s="2"/>
      <c r="B557" s="2"/>
      <c r="C557" s="2"/>
      <c r="D557" s="2"/>
      <c r="E557" s="2"/>
      <c r="F557" s="2"/>
      <c r="G557" s="2"/>
      <c r="H557" s="2"/>
      <c r="I557" s="2"/>
      <c r="J557" s="2"/>
      <c r="K557" s="2"/>
      <c r="L557" s="2"/>
      <c r="M557" s="2"/>
      <c r="N557" s="2"/>
      <c r="O557" s="2"/>
      <c r="P557" s="2"/>
      <c r="Q557" s="2"/>
    </row>
    <row r="558" spans="1:17" ht="12.5">
      <c r="A558" s="2"/>
      <c r="B558" s="2"/>
      <c r="C558" s="2"/>
      <c r="D558" s="2"/>
      <c r="E558" s="2"/>
      <c r="F558" s="2"/>
      <c r="G558" s="2"/>
      <c r="H558" s="2"/>
      <c r="I558" s="2"/>
      <c r="J558" s="2"/>
      <c r="K558" s="2"/>
      <c r="L558" s="2"/>
      <c r="M558" s="2"/>
      <c r="N558" s="2"/>
      <c r="O558" s="2"/>
      <c r="P558" s="2"/>
      <c r="Q558" s="2"/>
    </row>
    <row r="559" spans="1:17" ht="12.5">
      <c r="A559" s="2"/>
      <c r="B559" s="2"/>
      <c r="C559" s="2"/>
      <c r="D559" s="2"/>
      <c r="E559" s="2"/>
      <c r="F559" s="2"/>
      <c r="G559" s="2"/>
      <c r="H559" s="2"/>
      <c r="I559" s="2"/>
      <c r="J559" s="2"/>
      <c r="K559" s="2"/>
      <c r="L559" s="2"/>
      <c r="M559" s="2"/>
      <c r="N559" s="2"/>
      <c r="O559" s="2"/>
      <c r="P559" s="2"/>
      <c r="Q559" s="2"/>
    </row>
    <row r="560" spans="1:17" ht="12.5">
      <c r="A560" s="2"/>
      <c r="B560" s="2"/>
      <c r="C560" s="2"/>
      <c r="D560" s="2"/>
      <c r="E560" s="2"/>
      <c r="F560" s="2"/>
      <c r="G560" s="2"/>
      <c r="H560" s="2"/>
      <c r="I560" s="2"/>
      <c r="J560" s="2"/>
      <c r="K560" s="2"/>
      <c r="L560" s="2"/>
      <c r="M560" s="2"/>
      <c r="N560" s="2"/>
      <c r="O560" s="2"/>
      <c r="P560" s="2"/>
      <c r="Q560" s="2"/>
    </row>
    <row r="561" spans="1:17" ht="12.5">
      <c r="A561" s="2"/>
      <c r="B561" s="2"/>
      <c r="C561" s="2"/>
      <c r="D561" s="2"/>
      <c r="E561" s="2"/>
      <c r="F561" s="2"/>
      <c r="G561" s="2"/>
      <c r="H561" s="2"/>
      <c r="I561" s="2"/>
      <c r="J561" s="2"/>
      <c r="K561" s="2"/>
      <c r="L561" s="2"/>
      <c r="M561" s="2"/>
      <c r="N561" s="2"/>
      <c r="O561" s="2"/>
      <c r="P561" s="2"/>
      <c r="Q561" s="2"/>
    </row>
    <row r="562" spans="1:17" ht="12.5">
      <c r="A562" s="2"/>
      <c r="B562" s="2"/>
      <c r="C562" s="2"/>
      <c r="D562" s="2"/>
      <c r="E562" s="2"/>
      <c r="F562" s="2"/>
      <c r="G562" s="2"/>
      <c r="H562" s="2"/>
      <c r="I562" s="2"/>
      <c r="J562" s="2"/>
      <c r="K562" s="2"/>
      <c r="L562" s="2"/>
      <c r="M562" s="2"/>
      <c r="N562" s="2"/>
      <c r="O562" s="2"/>
      <c r="P562" s="2"/>
      <c r="Q562" s="2"/>
    </row>
    <row r="563" spans="1:17" ht="12.5">
      <c r="A563" s="2"/>
      <c r="B563" s="2"/>
      <c r="C563" s="2"/>
      <c r="D563" s="2"/>
      <c r="E563" s="2"/>
      <c r="F563" s="2"/>
      <c r="G563" s="2"/>
      <c r="H563" s="2"/>
      <c r="I563" s="2"/>
      <c r="J563" s="2"/>
      <c r="K563" s="2"/>
      <c r="L563" s="2"/>
      <c r="M563" s="2"/>
      <c r="N563" s="2"/>
      <c r="O563" s="2"/>
      <c r="P563" s="2"/>
      <c r="Q563" s="2"/>
    </row>
    <row r="564" spans="1:17" ht="12.5">
      <c r="A564" s="2"/>
      <c r="B564" s="2"/>
      <c r="C564" s="2"/>
      <c r="D564" s="2"/>
      <c r="E564" s="2"/>
      <c r="F564" s="2"/>
      <c r="G564" s="2"/>
      <c r="H564" s="2"/>
      <c r="I564" s="2"/>
      <c r="J564" s="2"/>
      <c r="K564" s="2"/>
      <c r="L564" s="2"/>
      <c r="M564" s="2"/>
      <c r="N564" s="2"/>
      <c r="O564" s="2"/>
      <c r="P564" s="2"/>
      <c r="Q564" s="2"/>
    </row>
    <row r="565" spans="1:17" ht="12.5">
      <c r="A565" s="2"/>
      <c r="B565" s="2"/>
      <c r="C565" s="2"/>
      <c r="D565" s="2"/>
      <c r="E565" s="2"/>
      <c r="F565" s="2"/>
      <c r="G565" s="2"/>
      <c r="H565" s="2"/>
      <c r="I565" s="2"/>
      <c r="J565" s="2"/>
      <c r="K565" s="2"/>
      <c r="L565" s="2"/>
      <c r="M565" s="2"/>
      <c r="N565" s="2"/>
      <c r="O565" s="2"/>
      <c r="P565" s="2"/>
      <c r="Q565" s="2"/>
    </row>
    <row r="566" spans="1:17" ht="12.5">
      <c r="A566" s="2"/>
      <c r="B566" s="2"/>
      <c r="C566" s="2"/>
      <c r="D566" s="2"/>
      <c r="E566" s="2"/>
      <c r="F566" s="2"/>
      <c r="G566" s="2"/>
      <c r="H566" s="2"/>
      <c r="I566" s="2"/>
      <c r="J566" s="2"/>
      <c r="K566" s="2"/>
      <c r="L566" s="2"/>
      <c r="M566" s="2"/>
      <c r="N566" s="2"/>
      <c r="O566" s="2"/>
      <c r="P566" s="2"/>
      <c r="Q566" s="2"/>
    </row>
    <row r="567" spans="1:17" ht="12.5">
      <c r="A567" s="2"/>
      <c r="B567" s="2"/>
      <c r="C567" s="2"/>
      <c r="D567" s="2"/>
      <c r="E567" s="2"/>
      <c r="F567" s="2"/>
      <c r="G567" s="2"/>
      <c r="H567" s="2"/>
      <c r="I567" s="2"/>
      <c r="J567" s="2"/>
      <c r="K567" s="2"/>
      <c r="L567" s="2"/>
      <c r="M567" s="2"/>
      <c r="N567" s="2"/>
      <c r="O567" s="2"/>
      <c r="P567" s="2"/>
      <c r="Q567" s="2"/>
    </row>
    <row r="568" spans="1:17" ht="12.5">
      <c r="A568" s="2"/>
      <c r="B568" s="2"/>
      <c r="C568" s="2"/>
      <c r="D568" s="2"/>
      <c r="E568" s="2"/>
      <c r="F568" s="2"/>
      <c r="G568" s="2"/>
      <c r="H568" s="2"/>
      <c r="I568" s="2"/>
      <c r="J568" s="2"/>
      <c r="K568" s="2"/>
      <c r="L568" s="2"/>
      <c r="M568" s="2"/>
      <c r="N568" s="2"/>
      <c r="O568" s="2"/>
      <c r="P568" s="2"/>
      <c r="Q568" s="2"/>
    </row>
    <row r="569" spans="1:17" ht="12.5">
      <c r="A569" s="2"/>
      <c r="B569" s="2"/>
      <c r="C569" s="2"/>
      <c r="D569" s="2"/>
      <c r="E569" s="2"/>
      <c r="F569" s="2"/>
      <c r="G569" s="2"/>
      <c r="H569" s="2"/>
      <c r="I569" s="2"/>
      <c r="J569" s="2"/>
      <c r="K569" s="2"/>
      <c r="L569" s="2"/>
      <c r="M569" s="2"/>
      <c r="N569" s="2"/>
      <c r="O569" s="2"/>
      <c r="P569" s="2"/>
      <c r="Q569" s="2"/>
    </row>
    <row r="570" spans="1:17" ht="12.5">
      <c r="A570" s="2"/>
      <c r="B570" s="2"/>
      <c r="C570" s="2"/>
      <c r="D570" s="2"/>
      <c r="E570" s="2"/>
      <c r="F570" s="2"/>
      <c r="G570" s="2"/>
      <c r="H570" s="2"/>
      <c r="I570" s="2"/>
      <c r="J570" s="2"/>
      <c r="K570" s="2"/>
      <c r="L570" s="2"/>
      <c r="M570" s="2"/>
      <c r="N570" s="2"/>
      <c r="O570" s="2"/>
      <c r="P570" s="2"/>
      <c r="Q570" s="2"/>
    </row>
    <row r="571" spans="1:17" ht="12.5">
      <c r="A571" s="2"/>
      <c r="B571" s="2"/>
      <c r="C571" s="2"/>
      <c r="D571" s="2"/>
      <c r="E571" s="2"/>
      <c r="F571" s="2"/>
      <c r="G571" s="2"/>
      <c r="H571" s="2"/>
      <c r="I571" s="2"/>
      <c r="J571" s="2"/>
      <c r="K571" s="2"/>
      <c r="L571" s="2"/>
      <c r="M571" s="2"/>
      <c r="N571" s="2"/>
      <c r="O571" s="2"/>
      <c r="P571" s="2"/>
      <c r="Q571" s="2"/>
    </row>
    <row r="572" spans="1:17" ht="12.5">
      <c r="A572" s="2"/>
      <c r="B572" s="2"/>
      <c r="C572" s="2"/>
      <c r="D572" s="2"/>
      <c r="E572" s="2"/>
      <c r="F572" s="2"/>
      <c r="G572" s="2"/>
      <c r="H572" s="2"/>
      <c r="I572" s="2"/>
      <c r="J572" s="2"/>
      <c r="K572" s="2"/>
      <c r="L572" s="2"/>
      <c r="M572" s="2"/>
      <c r="N572" s="2"/>
      <c r="O572" s="2"/>
      <c r="P572" s="2"/>
      <c r="Q572" s="2"/>
    </row>
    <row r="573" spans="1:17" ht="12.5">
      <c r="A573" s="2"/>
      <c r="B573" s="2"/>
      <c r="C573" s="2"/>
      <c r="D573" s="2"/>
      <c r="E573" s="2"/>
      <c r="F573" s="2"/>
      <c r="G573" s="2"/>
      <c r="H573" s="2"/>
      <c r="I573" s="2"/>
      <c r="J573" s="2"/>
      <c r="K573" s="2"/>
      <c r="L573" s="2"/>
      <c r="M573" s="2"/>
      <c r="N573" s="2"/>
      <c r="O573" s="2"/>
      <c r="P573" s="2"/>
      <c r="Q573" s="2"/>
    </row>
    <row r="574" spans="1:17" ht="12.5">
      <c r="A574" s="2"/>
      <c r="B574" s="2"/>
      <c r="C574" s="2"/>
      <c r="D574" s="2"/>
      <c r="E574" s="2"/>
      <c r="F574" s="2"/>
      <c r="G574" s="2"/>
      <c r="H574" s="2"/>
      <c r="I574" s="2"/>
      <c r="J574" s="2"/>
      <c r="K574" s="2"/>
      <c r="L574" s="2"/>
      <c r="M574" s="2"/>
      <c r="N574" s="2"/>
      <c r="O574" s="2"/>
      <c r="P574" s="2"/>
      <c r="Q574" s="2"/>
    </row>
    <row r="575" spans="1:17" ht="12.5">
      <c r="A575" s="2"/>
      <c r="B575" s="2"/>
      <c r="C575" s="2"/>
      <c r="D575" s="2"/>
      <c r="E575" s="2"/>
      <c r="F575" s="2"/>
      <c r="G575" s="2"/>
      <c r="H575" s="2"/>
      <c r="I575" s="2"/>
      <c r="J575" s="2"/>
      <c r="K575" s="2"/>
      <c r="L575" s="2"/>
      <c r="M575" s="2"/>
      <c r="N575" s="2"/>
      <c r="O575" s="2"/>
      <c r="P575" s="2"/>
      <c r="Q575" s="2"/>
    </row>
    <row r="576" spans="1:17" ht="12.5">
      <c r="A576" s="2"/>
      <c r="B576" s="2"/>
      <c r="C576" s="2"/>
      <c r="D576" s="2"/>
      <c r="E576" s="2"/>
      <c r="F576" s="2"/>
      <c r="G576" s="2"/>
      <c r="H576" s="2"/>
      <c r="I576" s="2"/>
      <c r="J576" s="2"/>
      <c r="K576" s="2"/>
      <c r="L576" s="2"/>
      <c r="M576" s="2"/>
      <c r="N576" s="2"/>
      <c r="O576" s="2"/>
      <c r="P576" s="2"/>
      <c r="Q576" s="2"/>
    </row>
    <row r="577" spans="1:17" ht="12.5">
      <c r="A577" s="2"/>
      <c r="B577" s="2"/>
      <c r="C577" s="2"/>
      <c r="D577" s="2"/>
      <c r="E577" s="2"/>
      <c r="F577" s="2"/>
      <c r="G577" s="2"/>
      <c r="H577" s="2"/>
      <c r="I577" s="2"/>
      <c r="J577" s="2"/>
      <c r="K577" s="2"/>
      <c r="L577" s="2"/>
      <c r="M577" s="2"/>
      <c r="N577" s="2"/>
      <c r="O577" s="2"/>
      <c r="P577" s="2"/>
      <c r="Q577" s="2"/>
    </row>
    <row r="578" spans="1:17" ht="12.5">
      <c r="A578" s="2"/>
      <c r="B578" s="2"/>
      <c r="C578" s="2"/>
      <c r="D578" s="2"/>
      <c r="E578" s="2"/>
      <c r="F578" s="2"/>
      <c r="G578" s="2"/>
      <c r="H578" s="2"/>
      <c r="I578" s="2"/>
      <c r="J578" s="2"/>
      <c r="K578" s="2"/>
      <c r="L578" s="2"/>
      <c r="M578" s="2"/>
      <c r="N578" s="2"/>
      <c r="O578" s="2"/>
      <c r="P578" s="2"/>
      <c r="Q578" s="2"/>
    </row>
    <row r="579" spans="1:17" ht="12.5">
      <c r="A579" s="2"/>
      <c r="B579" s="2"/>
      <c r="C579" s="2"/>
      <c r="D579" s="2"/>
      <c r="E579" s="2"/>
      <c r="F579" s="2"/>
      <c r="G579" s="2"/>
      <c r="H579" s="2"/>
      <c r="I579" s="2"/>
      <c r="J579" s="2"/>
      <c r="K579" s="2"/>
      <c r="L579" s="2"/>
      <c r="M579" s="2"/>
      <c r="N579" s="2"/>
      <c r="O579" s="2"/>
      <c r="P579" s="2"/>
      <c r="Q579" s="2"/>
    </row>
    <row r="580" spans="1:17" ht="12.5">
      <c r="A580" s="2"/>
      <c r="B580" s="2"/>
      <c r="C580" s="2"/>
      <c r="D580" s="2"/>
      <c r="E580" s="2"/>
      <c r="F580" s="2"/>
      <c r="G580" s="2"/>
      <c r="H580" s="2"/>
      <c r="I580" s="2"/>
      <c r="J580" s="2"/>
      <c r="K580" s="2"/>
      <c r="L580" s="2"/>
      <c r="M580" s="2"/>
      <c r="N580" s="2"/>
      <c r="O580" s="2"/>
      <c r="P580" s="2"/>
      <c r="Q580" s="2"/>
    </row>
    <row r="581" spans="1:17" ht="12.5">
      <c r="A581" s="2"/>
      <c r="B581" s="2"/>
      <c r="C581" s="2"/>
      <c r="D581" s="2"/>
      <c r="E581" s="2"/>
      <c r="F581" s="2"/>
      <c r="G581" s="2"/>
      <c r="H581" s="2"/>
      <c r="I581" s="2"/>
      <c r="J581" s="2"/>
      <c r="K581" s="2"/>
      <c r="L581" s="2"/>
      <c r="M581" s="2"/>
      <c r="N581" s="2"/>
      <c r="O581" s="2"/>
      <c r="P581" s="2"/>
      <c r="Q581" s="2"/>
    </row>
    <row r="582" spans="1:17" ht="12.5">
      <c r="A582" s="2"/>
      <c r="B582" s="2"/>
      <c r="C582" s="2"/>
      <c r="D582" s="2"/>
      <c r="E582" s="2"/>
      <c r="F582" s="2"/>
      <c r="G582" s="2"/>
      <c r="H582" s="2"/>
      <c r="I582" s="2"/>
      <c r="J582" s="2"/>
      <c r="K582" s="2"/>
      <c r="L582" s="2"/>
      <c r="M582" s="2"/>
      <c r="N582" s="2"/>
      <c r="O582" s="2"/>
      <c r="P582" s="2"/>
      <c r="Q582" s="2"/>
    </row>
    <row r="583" spans="1:17" ht="12.5">
      <c r="A583" s="2"/>
      <c r="B583" s="2"/>
      <c r="C583" s="2"/>
      <c r="D583" s="2"/>
      <c r="E583" s="2"/>
      <c r="F583" s="2"/>
      <c r="G583" s="2"/>
      <c r="H583" s="2"/>
      <c r="I583" s="2"/>
      <c r="J583" s="2"/>
      <c r="K583" s="2"/>
      <c r="L583" s="2"/>
      <c r="M583" s="2"/>
      <c r="N583" s="2"/>
      <c r="O583" s="2"/>
      <c r="P583" s="2"/>
      <c r="Q583" s="2"/>
    </row>
    <row r="584" spans="1:17" ht="12.5">
      <c r="A584" s="2"/>
      <c r="B584" s="2"/>
      <c r="C584" s="2"/>
      <c r="D584" s="2"/>
      <c r="E584" s="2"/>
      <c r="F584" s="2"/>
      <c r="G584" s="2"/>
      <c r="H584" s="2"/>
      <c r="I584" s="2"/>
      <c r="J584" s="2"/>
      <c r="K584" s="2"/>
      <c r="L584" s="2"/>
      <c r="M584" s="2"/>
      <c r="N584" s="2"/>
      <c r="O584" s="2"/>
      <c r="P584" s="2"/>
      <c r="Q584" s="2"/>
    </row>
    <row r="585" spans="1:17" ht="12.5">
      <c r="A585" s="2"/>
      <c r="B585" s="2"/>
      <c r="C585" s="2"/>
      <c r="D585" s="2"/>
      <c r="E585" s="2"/>
      <c r="F585" s="2"/>
      <c r="G585" s="2"/>
      <c r="H585" s="2"/>
      <c r="I585" s="2"/>
      <c r="J585" s="2"/>
      <c r="K585" s="2"/>
      <c r="L585" s="2"/>
      <c r="M585" s="2"/>
      <c r="N585" s="2"/>
      <c r="O585" s="2"/>
      <c r="P585" s="2"/>
      <c r="Q585" s="2"/>
    </row>
    <row r="586" spans="1:17" ht="12.5">
      <c r="A586" s="2"/>
      <c r="B586" s="2"/>
      <c r="C586" s="2"/>
      <c r="D586" s="2"/>
      <c r="E586" s="2"/>
      <c r="F586" s="2"/>
      <c r="G586" s="2"/>
      <c r="H586" s="2"/>
      <c r="I586" s="2"/>
      <c r="J586" s="2"/>
      <c r="K586" s="2"/>
      <c r="L586" s="2"/>
      <c r="M586" s="2"/>
      <c r="N586" s="2"/>
      <c r="O586" s="2"/>
      <c r="P586" s="2"/>
      <c r="Q586" s="2"/>
    </row>
    <row r="587" spans="1:17" ht="12.5">
      <c r="A587" s="2"/>
      <c r="B587" s="2"/>
      <c r="C587" s="2"/>
      <c r="D587" s="2"/>
      <c r="E587" s="2"/>
      <c r="F587" s="2"/>
      <c r="G587" s="2"/>
      <c r="H587" s="2"/>
      <c r="I587" s="2"/>
      <c r="J587" s="2"/>
      <c r="K587" s="2"/>
      <c r="L587" s="2"/>
      <c r="M587" s="2"/>
      <c r="N587" s="2"/>
      <c r="O587" s="2"/>
      <c r="P587" s="2"/>
      <c r="Q587" s="2"/>
    </row>
    <row r="588" spans="1:17" ht="12.5">
      <c r="A588" s="2"/>
      <c r="B588" s="2"/>
      <c r="C588" s="2"/>
      <c r="D588" s="2"/>
      <c r="E588" s="2"/>
      <c r="F588" s="2"/>
      <c r="G588" s="2"/>
      <c r="H588" s="2"/>
      <c r="I588" s="2"/>
      <c r="J588" s="2"/>
      <c r="K588" s="2"/>
      <c r="L588" s="2"/>
      <c r="M588" s="2"/>
      <c r="N588" s="2"/>
      <c r="O588" s="2"/>
      <c r="P588" s="2"/>
      <c r="Q588" s="2"/>
    </row>
    <row r="589" spans="1:17" ht="12.5">
      <c r="A589" s="2"/>
      <c r="B589" s="2"/>
      <c r="C589" s="2"/>
      <c r="D589" s="2"/>
      <c r="E589" s="2"/>
      <c r="F589" s="2"/>
      <c r="G589" s="2"/>
      <c r="H589" s="2"/>
      <c r="I589" s="2"/>
      <c r="J589" s="2"/>
      <c r="K589" s="2"/>
      <c r="L589" s="2"/>
      <c r="M589" s="2"/>
      <c r="N589" s="2"/>
      <c r="O589" s="2"/>
      <c r="P589" s="2"/>
      <c r="Q589" s="2"/>
    </row>
    <row r="590" spans="1:17" ht="12.5">
      <c r="A590" s="2"/>
      <c r="B590" s="2"/>
      <c r="C590" s="2"/>
      <c r="D590" s="2"/>
      <c r="E590" s="2"/>
      <c r="F590" s="2"/>
      <c r="G590" s="2"/>
      <c r="H590" s="2"/>
      <c r="I590" s="2"/>
      <c r="J590" s="2"/>
      <c r="K590" s="2"/>
      <c r="L590" s="2"/>
      <c r="M590" s="2"/>
      <c r="N590" s="2"/>
      <c r="O590" s="2"/>
      <c r="P590" s="2"/>
      <c r="Q590" s="2"/>
    </row>
    <row r="591" spans="1:17" ht="12.5">
      <c r="A591" s="2"/>
      <c r="B591" s="2"/>
      <c r="C591" s="2"/>
      <c r="D591" s="2"/>
      <c r="E591" s="2"/>
      <c r="F591" s="2"/>
      <c r="G591" s="2"/>
      <c r="H591" s="2"/>
      <c r="I591" s="2"/>
      <c r="J591" s="2"/>
      <c r="K591" s="2"/>
      <c r="L591" s="2"/>
      <c r="M591" s="2"/>
      <c r="N591" s="2"/>
      <c r="O591" s="2"/>
      <c r="P591" s="2"/>
      <c r="Q591" s="2"/>
    </row>
    <row r="592" spans="1:17" ht="12.5">
      <c r="A592" s="2"/>
      <c r="B592" s="2"/>
      <c r="C592" s="2"/>
      <c r="D592" s="2"/>
      <c r="E592" s="2"/>
      <c r="F592" s="2"/>
      <c r="G592" s="2"/>
      <c r="H592" s="2"/>
      <c r="I592" s="2"/>
      <c r="J592" s="2"/>
      <c r="K592" s="2"/>
      <c r="L592" s="2"/>
      <c r="M592" s="2"/>
      <c r="N592" s="2"/>
      <c r="O592" s="2"/>
      <c r="P592" s="2"/>
      <c r="Q592" s="2"/>
    </row>
    <row r="593" spans="1:17" ht="12.5">
      <c r="A593" s="2"/>
      <c r="B593" s="2"/>
      <c r="C593" s="2"/>
      <c r="D593" s="2"/>
      <c r="E593" s="2"/>
      <c r="F593" s="2"/>
      <c r="G593" s="2"/>
      <c r="H593" s="2"/>
      <c r="I593" s="2"/>
      <c r="J593" s="2"/>
      <c r="K593" s="2"/>
      <c r="L593" s="2"/>
      <c r="M593" s="2"/>
      <c r="N593" s="2"/>
      <c r="O593" s="2"/>
      <c r="P593" s="2"/>
      <c r="Q593" s="2"/>
    </row>
    <row r="594" spans="1:17" ht="12.5">
      <c r="A594" s="2"/>
      <c r="B594" s="2"/>
      <c r="C594" s="2"/>
      <c r="D594" s="2"/>
      <c r="E594" s="2"/>
      <c r="F594" s="2"/>
      <c r="G594" s="2"/>
      <c r="H594" s="2"/>
      <c r="I594" s="2"/>
      <c r="J594" s="2"/>
      <c r="K594" s="2"/>
      <c r="L594" s="2"/>
      <c r="M594" s="2"/>
      <c r="N594" s="2"/>
      <c r="O594" s="2"/>
      <c r="P594" s="2"/>
      <c r="Q594" s="2"/>
    </row>
    <row r="595" spans="1:17" ht="12.5">
      <c r="A595" s="2"/>
      <c r="B595" s="2"/>
      <c r="C595" s="2"/>
      <c r="D595" s="2"/>
      <c r="E595" s="2"/>
      <c r="F595" s="2"/>
      <c r="G595" s="2"/>
      <c r="H595" s="2"/>
      <c r="I595" s="2"/>
      <c r="J595" s="2"/>
      <c r="K595" s="2"/>
      <c r="L595" s="2"/>
      <c r="M595" s="2"/>
      <c r="N595" s="2"/>
      <c r="O595" s="2"/>
      <c r="P595" s="2"/>
      <c r="Q595" s="2"/>
    </row>
    <row r="596" spans="1:17" ht="12.5">
      <c r="A596" s="2"/>
      <c r="B596" s="2"/>
      <c r="C596" s="2"/>
      <c r="D596" s="2"/>
      <c r="E596" s="2"/>
      <c r="F596" s="2"/>
      <c r="G596" s="2"/>
      <c r="H596" s="2"/>
      <c r="I596" s="2"/>
      <c r="J596" s="2"/>
      <c r="K596" s="2"/>
      <c r="L596" s="2"/>
      <c r="M596" s="2"/>
      <c r="N596" s="2"/>
      <c r="O596" s="2"/>
      <c r="P596" s="2"/>
      <c r="Q596" s="2"/>
    </row>
    <row r="597" spans="1:17" ht="12.5">
      <c r="A597" s="2"/>
      <c r="B597" s="2"/>
      <c r="C597" s="2"/>
      <c r="D597" s="2"/>
      <c r="E597" s="2"/>
      <c r="F597" s="2"/>
      <c r="G597" s="2"/>
      <c r="H597" s="2"/>
      <c r="I597" s="2"/>
      <c r="J597" s="2"/>
      <c r="K597" s="2"/>
      <c r="L597" s="2"/>
      <c r="M597" s="2"/>
      <c r="N597" s="2"/>
      <c r="O597" s="2"/>
      <c r="P597" s="2"/>
      <c r="Q597" s="2"/>
    </row>
    <row r="598" spans="1:17" ht="12.5">
      <c r="A598" s="2"/>
      <c r="B598" s="2"/>
      <c r="C598" s="2"/>
      <c r="D598" s="2"/>
      <c r="E598" s="2"/>
      <c r="F598" s="2"/>
      <c r="G598" s="2"/>
      <c r="H598" s="2"/>
      <c r="I598" s="2"/>
      <c r="J598" s="2"/>
      <c r="K598" s="2"/>
      <c r="L598" s="2"/>
      <c r="M598" s="2"/>
      <c r="N598" s="2"/>
      <c r="O598" s="2"/>
      <c r="P598" s="2"/>
      <c r="Q598" s="2"/>
    </row>
    <row r="599" spans="1:17" ht="12.5">
      <c r="A599" s="2"/>
      <c r="B599" s="2"/>
      <c r="C599" s="2"/>
      <c r="D599" s="2"/>
      <c r="E599" s="2"/>
      <c r="F599" s="2"/>
      <c r="G599" s="2"/>
      <c r="H599" s="2"/>
      <c r="I599" s="2"/>
      <c r="J599" s="2"/>
      <c r="K599" s="2"/>
      <c r="L599" s="2"/>
      <c r="M599" s="2"/>
      <c r="N599" s="2"/>
      <c r="O599" s="2"/>
      <c r="P599" s="2"/>
      <c r="Q599" s="2"/>
    </row>
    <row r="600" spans="1:17" ht="12.5">
      <c r="A600" s="2"/>
      <c r="B600" s="2"/>
      <c r="C600" s="2"/>
      <c r="D600" s="2"/>
      <c r="E600" s="2"/>
      <c r="F600" s="2"/>
      <c r="G600" s="2"/>
      <c r="H600" s="2"/>
      <c r="I600" s="2"/>
      <c r="J600" s="2"/>
      <c r="K600" s="2"/>
      <c r="L600" s="2"/>
      <c r="M600" s="2"/>
      <c r="N600" s="2"/>
      <c r="O600" s="2"/>
      <c r="P600" s="2"/>
      <c r="Q600" s="2"/>
    </row>
    <row r="601" spans="1:17" ht="12.5">
      <c r="A601" s="2"/>
      <c r="B601" s="2"/>
      <c r="C601" s="2"/>
      <c r="D601" s="2"/>
      <c r="E601" s="2"/>
      <c r="F601" s="2"/>
      <c r="G601" s="2"/>
      <c r="H601" s="2"/>
      <c r="I601" s="2"/>
      <c r="J601" s="2"/>
      <c r="K601" s="2"/>
      <c r="L601" s="2"/>
      <c r="M601" s="2"/>
      <c r="N601" s="2"/>
      <c r="O601" s="2"/>
      <c r="P601" s="2"/>
      <c r="Q601" s="2"/>
    </row>
    <row r="602" spans="1:17" ht="12.5">
      <c r="A602" s="2"/>
      <c r="B602" s="2"/>
      <c r="C602" s="2"/>
      <c r="D602" s="2"/>
      <c r="E602" s="2"/>
      <c r="F602" s="2"/>
      <c r="G602" s="2"/>
      <c r="H602" s="2"/>
      <c r="I602" s="2"/>
      <c r="J602" s="2"/>
      <c r="K602" s="2"/>
      <c r="L602" s="2"/>
      <c r="M602" s="2"/>
      <c r="N602" s="2"/>
      <c r="O602" s="2"/>
      <c r="P602" s="2"/>
      <c r="Q602" s="2"/>
    </row>
    <row r="603" spans="1:17" ht="12.5">
      <c r="A603" s="2"/>
      <c r="B603" s="2"/>
      <c r="C603" s="2"/>
      <c r="D603" s="2"/>
      <c r="E603" s="2"/>
      <c r="F603" s="2"/>
      <c r="G603" s="2"/>
      <c r="H603" s="2"/>
      <c r="I603" s="2"/>
      <c r="J603" s="2"/>
      <c r="K603" s="2"/>
      <c r="L603" s="2"/>
      <c r="M603" s="2"/>
      <c r="N603" s="2"/>
      <c r="O603" s="2"/>
      <c r="P603" s="2"/>
      <c r="Q603" s="2"/>
    </row>
    <row r="604" spans="1:17" ht="12.5">
      <c r="A604" s="2"/>
      <c r="B604" s="2"/>
      <c r="C604" s="2"/>
      <c r="D604" s="2"/>
      <c r="E604" s="2"/>
      <c r="F604" s="2"/>
      <c r="G604" s="2"/>
      <c r="H604" s="2"/>
      <c r="I604" s="2"/>
      <c r="J604" s="2"/>
      <c r="K604" s="2"/>
      <c r="L604" s="2"/>
      <c r="M604" s="2"/>
      <c r="N604" s="2"/>
      <c r="O604" s="2"/>
      <c r="P604" s="2"/>
      <c r="Q604" s="2"/>
    </row>
    <row r="605" spans="1:17" ht="12.5">
      <c r="A605" s="2"/>
      <c r="B605" s="2"/>
      <c r="C605" s="2"/>
      <c r="D605" s="2"/>
      <c r="E605" s="2"/>
      <c r="F605" s="2"/>
      <c r="G605" s="2"/>
      <c r="H605" s="2"/>
      <c r="I605" s="2"/>
      <c r="J605" s="2"/>
      <c r="K605" s="2"/>
      <c r="L605" s="2"/>
      <c r="M605" s="2"/>
      <c r="N605" s="2"/>
      <c r="O605" s="2"/>
      <c r="P605" s="2"/>
      <c r="Q605" s="2"/>
    </row>
    <row r="606" spans="1:17" ht="12.5">
      <c r="A606" s="2"/>
      <c r="B606" s="2"/>
      <c r="C606" s="2"/>
      <c r="D606" s="2"/>
      <c r="E606" s="2"/>
      <c r="F606" s="2"/>
      <c r="G606" s="2"/>
      <c r="H606" s="2"/>
      <c r="I606" s="2"/>
      <c r="J606" s="2"/>
      <c r="K606" s="2"/>
      <c r="L606" s="2"/>
      <c r="M606" s="2"/>
      <c r="N606" s="2"/>
      <c r="O606" s="2"/>
      <c r="P606" s="2"/>
      <c r="Q606" s="2"/>
    </row>
    <row r="607" spans="1:17" ht="12.5">
      <c r="A607" s="2"/>
      <c r="B607" s="2"/>
      <c r="C607" s="2"/>
      <c r="D607" s="2"/>
      <c r="E607" s="2"/>
      <c r="F607" s="2"/>
      <c r="G607" s="2"/>
      <c r="H607" s="2"/>
      <c r="I607" s="2"/>
      <c r="J607" s="2"/>
      <c r="K607" s="2"/>
      <c r="L607" s="2"/>
      <c r="M607" s="2"/>
      <c r="N607" s="2"/>
      <c r="O607" s="2"/>
      <c r="P607" s="2"/>
      <c r="Q607" s="2"/>
    </row>
    <row r="608" spans="1:17" ht="12.5">
      <c r="A608" s="2"/>
      <c r="B608" s="2"/>
      <c r="C608" s="2"/>
      <c r="D608" s="2"/>
      <c r="E608" s="2"/>
      <c r="F608" s="2"/>
      <c r="G608" s="2"/>
      <c r="H608" s="2"/>
      <c r="I608" s="2"/>
      <c r="J608" s="2"/>
      <c r="K608" s="2"/>
      <c r="L608" s="2"/>
      <c r="M608" s="2"/>
      <c r="N608" s="2"/>
      <c r="O608" s="2"/>
      <c r="P608" s="2"/>
      <c r="Q608" s="2"/>
    </row>
    <row r="609" spans="1:17" ht="12.5">
      <c r="A609" s="2"/>
      <c r="B609" s="2"/>
      <c r="C609" s="2"/>
      <c r="D609" s="2"/>
      <c r="E609" s="2"/>
      <c r="F609" s="2"/>
      <c r="G609" s="2"/>
      <c r="H609" s="2"/>
      <c r="I609" s="2"/>
      <c r="J609" s="2"/>
      <c r="K609" s="2"/>
      <c r="L609" s="2"/>
      <c r="M609" s="2"/>
      <c r="N609" s="2"/>
      <c r="O609" s="2"/>
      <c r="P609" s="2"/>
      <c r="Q609" s="2"/>
    </row>
    <row r="610" spans="1:17" ht="12.5">
      <c r="A610" s="2"/>
      <c r="B610" s="2"/>
      <c r="C610" s="2"/>
      <c r="D610" s="2"/>
      <c r="E610" s="2"/>
      <c r="F610" s="2"/>
      <c r="G610" s="2"/>
      <c r="H610" s="2"/>
      <c r="I610" s="2"/>
      <c r="J610" s="2"/>
      <c r="K610" s="2"/>
      <c r="L610" s="2"/>
      <c r="M610" s="2"/>
      <c r="N610" s="2"/>
      <c r="O610" s="2"/>
      <c r="P610" s="2"/>
      <c r="Q610" s="2"/>
    </row>
    <row r="611" spans="1:17" ht="12.5">
      <c r="A611" s="2"/>
      <c r="B611" s="2"/>
      <c r="C611" s="2"/>
      <c r="D611" s="2"/>
      <c r="E611" s="2"/>
      <c r="F611" s="2"/>
      <c r="G611" s="2"/>
      <c r="H611" s="2"/>
      <c r="I611" s="2"/>
      <c r="J611" s="2"/>
      <c r="K611" s="2"/>
      <c r="L611" s="2"/>
      <c r="M611" s="2"/>
      <c r="N611" s="2"/>
      <c r="O611" s="2"/>
      <c r="P611" s="2"/>
      <c r="Q611" s="2"/>
    </row>
    <row r="612" spans="1:17" ht="12.5">
      <c r="A612" s="2"/>
      <c r="B612" s="2"/>
      <c r="C612" s="2"/>
      <c r="D612" s="2"/>
      <c r="E612" s="2"/>
      <c r="F612" s="2"/>
      <c r="G612" s="2"/>
      <c r="H612" s="2"/>
      <c r="I612" s="2"/>
      <c r="J612" s="2"/>
      <c r="K612" s="2"/>
      <c r="L612" s="2"/>
      <c r="M612" s="2"/>
      <c r="N612" s="2"/>
      <c r="O612" s="2"/>
      <c r="P612" s="2"/>
      <c r="Q612" s="2"/>
    </row>
    <row r="613" spans="1:17" ht="12.5">
      <c r="A613" s="2"/>
      <c r="B613" s="2"/>
      <c r="C613" s="2"/>
      <c r="D613" s="2"/>
      <c r="E613" s="2"/>
      <c r="F613" s="2"/>
      <c r="G613" s="2"/>
      <c r="H613" s="2"/>
      <c r="I613" s="2"/>
      <c r="J613" s="2"/>
      <c r="K613" s="2"/>
      <c r="L613" s="2"/>
      <c r="M613" s="2"/>
      <c r="N613" s="2"/>
      <c r="O613" s="2"/>
      <c r="P613" s="2"/>
      <c r="Q613" s="2"/>
    </row>
    <row r="614" spans="1:17" ht="12.5">
      <c r="A614" s="2"/>
      <c r="B614" s="2"/>
      <c r="C614" s="2"/>
      <c r="D614" s="2"/>
      <c r="E614" s="2"/>
      <c r="F614" s="2"/>
      <c r="G614" s="2"/>
      <c r="H614" s="2"/>
      <c r="I614" s="2"/>
      <c r="J614" s="2"/>
      <c r="K614" s="2"/>
      <c r="L614" s="2"/>
      <c r="M614" s="2"/>
      <c r="N614" s="2"/>
      <c r="O614" s="2"/>
      <c r="P614" s="2"/>
      <c r="Q614" s="2"/>
    </row>
    <row r="615" spans="1:17" ht="12.5">
      <c r="A615" s="2"/>
      <c r="B615" s="2"/>
      <c r="C615" s="2"/>
      <c r="D615" s="2"/>
      <c r="E615" s="2"/>
      <c r="F615" s="2"/>
      <c r="G615" s="2"/>
      <c r="H615" s="2"/>
      <c r="I615" s="2"/>
      <c r="J615" s="2"/>
      <c r="K615" s="2"/>
      <c r="L615" s="2"/>
      <c r="M615" s="2"/>
      <c r="N615" s="2"/>
      <c r="O615" s="2"/>
      <c r="P615" s="2"/>
      <c r="Q615" s="2"/>
    </row>
    <row r="616" spans="1:17" ht="12.5">
      <c r="A616" s="2"/>
      <c r="B616" s="2"/>
      <c r="C616" s="2"/>
      <c r="D616" s="2"/>
      <c r="E616" s="2"/>
      <c r="F616" s="2"/>
      <c r="G616" s="2"/>
      <c r="H616" s="2"/>
      <c r="I616" s="2"/>
      <c r="J616" s="2"/>
      <c r="K616" s="2"/>
      <c r="L616" s="2"/>
      <c r="M616" s="2"/>
      <c r="N616" s="2"/>
      <c r="O616" s="2"/>
      <c r="P616" s="2"/>
      <c r="Q616" s="2"/>
    </row>
    <row r="617" spans="1:17" ht="12.5">
      <c r="A617" s="2"/>
      <c r="B617" s="2"/>
      <c r="C617" s="2"/>
      <c r="D617" s="2"/>
      <c r="E617" s="2"/>
      <c r="F617" s="2"/>
      <c r="G617" s="2"/>
      <c r="H617" s="2"/>
      <c r="I617" s="2"/>
      <c r="J617" s="2"/>
      <c r="K617" s="2"/>
      <c r="L617" s="2"/>
      <c r="M617" s="2"/>
      <c r="N617" s="2"/>
      <c r="O617" s="2"/>
      <c r="P617" s="2"/>
      <c r="Q617" s="2"/>
    </row>
    <row r="618" spans="1:17" ht="12.5">
      <c r="A618" s="2"/>
      <c r="B618" s="2"/>
      <c r="C618" s="2"/>
      <c r="D618" s="2"/>
      <c r="E618" s="2"/>
      <c r="F618" s="2"/>
      <c r="G618" s="2"/>
      <c r="H618" s="2"/>
      <c r="I618" s="2"/>
      <c r="J618" s="2"/>
      <c r="K618" s="2"/>
      <c r="L618" s="2"/>
      <c r="M618" s="2"/>
      <c r="N618" s="2"/>
      <c r="O618" s="2"/>
      <c r="P618" s="2"/>
      <c r="Q618" s="2"/>
    </row>
    <row r="619" spans="1:17" ht="12.5">
      <c r="A619" s="2"/>
      <c r="B619" s="2"/>
      <c r="C619" s="2"/>
      <c r="D619" s="2"/>
      <c r="E619" s="2"/>
      <c r="F619" s="2"/>
      <c r="G619" s="2"/>
      <c r="H619" s="2"/>
      <c r="I619" s="2"/>
      <c r="J619" s="2"/>
      <c r="K619" s="2"/>
      <c r="L619" s="2"/>
      <c r="M619" s="2"/>
      <c r="N619" s="2"/>
      <c r="O619" s="2"/>
      <c r="P619" s="2"/>
      <c r="Q619" s="2"/>
    </row>
    <row r="620" spans="1:17" ht="12.5">
      <c r="A620" s="2"/>
      <c r="B620" s="2"/>
      <c r="C620" s="2"/>
      <c r="D620" s="2"/>
      <c r="E620" s="2"/>
      <c r="F620" s="2"/>
      <c r="G620" s="2"/>
      <c r="H620" s="2"/>
      <c r="I620" s="2"/>
      <c r="J620" s="2"/>
      <c r="K620" s="2"/>
      <c r="L620" s="2"/>
      <c r="M620" s="2"/>
      <c r="N620" s="2"/>
      <c r="O620" s="2"/>
      <c r="P620" s="2"/>
      <c r="Q620" s="2"/>
    </row>
    <row r="621" spans="1:17" ht="12.5">
      <c r="A621" s="2"/>
      <c r="B621" s="2"/>
      <c r="C621" s="2"/>
      <c r="D621" s="2"/>
      <c r="E621" s="2"/>
      <c r="F621" s="2"/>
      <c r="G621" s="2"/>
      <c r="H621" s="2"/>
      <c r="I621" s="2"/>
      <c r="J621" s="2"/>
      <c r="K621" s="2"/>
      <c r="L621" s="2"/>
      <c r="M621" s="2"/>
      <c r="N621" s="2"/>
      <c r="O621" s="2"/>
      <c r="P621" s="2"/>
      <c r="Q621" s="2"/>
    </row>
    <row r="622" spans="1:17" ht="12.5">
      <c r="A622" s="2"/>
      <c r="B622" s="2"/>
      <c r="C622" s="2"/>
      <c r="D622" s="2"/>
      <c r="E622" s="2"/>
      <c r="F622" s="2"/>
      <c r="G622" s="2"/>
      <c r="H622" s="2"/>
      <c r="I622" s="2"/>
      <c r="J622" s="2"/>
      <c r="K622" s="2"/>
      <c r="L622" s="2"/>
      <c r="M622" s="2"/>
      <c r="N622" s="2"/>
      <c r="O622" s="2"/>
      <c r="P622" s="2"/>
      <c r="Q622" s="2"/>
    </row>
    <row r="623" spans="1:17" ht="12.5">
      <c r="A623" s="2"/>
      <c r="B623" s="2"/>
      <c r="C623" s="2"/>
      <c r="D623" s="2"/>
      <c r="E623" s="2"/>
      <c r="F623" s="2"/>
      <c r="G623" s="2"/>
      <c r="H623" s="2"/>
      <c r="I623" s="2"/>
      <c r="J623" s="2"/>
      <c r="K623" s="2"/>
      <c r="L623" s="2"/>
      <c r="M623" s="2"/>
      <c r="N623" s="2"/>
      <c r="O623" s="2"/>
      <c r="P623" s="2"/>
      <c r="Q623" s="2"/>
    </row>
    <row r="624" spans="1:17" ht="12.5">
      <c r="A624" s="2"/>
      <c r="B624" s="2"/>
      <c r="C624" s="2"/>
      <c r="D624" s="2"/>
      <c r="E624" s="2"/>
      <c r="F624" s="2"/>
      <c r="G624" s="2"/>
      <c r="H624" s="2"/>
      <c r="I624" s="2"/>
      <c r="J624" s="2"/>
      <c r="K624" s="2"/>
      <c r="L624" s="2"/>
      <c r="M624" s="2"/>
      <c r="N624" s="2"/>
      <c r="O624" s="2"/>
      <c r="P624" s="2"/>
      <c r="Q624" s="2"/>
    </row>
    <row r="625" spans="1:17" ht="12.5">
      <c r="A625" s="2"/>
      <c r="B625" s="2"/>
      <c r="C625" s="2"/>
      <c r="D625" s="2"/>
      <c r="E625" s="2"/>
      <c r="F625" s="2"/>
      <c r="G625" s="2"/>
      <c r="H625" s="2"/>
      <c r="I625" s="2"/>
      <c r="J625" s="2"/>
      <c r="K625" s="2"/>
      <c r="L625" s="2"/>
      <c r="M625" s="2"/>
      <c r="N625" s="2"/>
      <c r="O625" s="2"/>
      <c r="P625" s="2"/>
      <c r="Q625" s="2"/>
    </row>
    <row r="626" spans="1:17" ht="12.5">
      <c r="A626" s="2"/>
      <c r="B626" s="2"/>
      <c r="C626" s="2"/>
      <c r="D626" s="2"/>
      <c r="E626" s="2"/>
      <c r="F626" s="2"/>
      <c r="G626" s="2"/>
      <c r="H626" s="2"/>
      <c r="I626" s="2"/>
      <c r="J626" s="2"/>
      <c r="K626" s="2"/>
      <c r="L626" s="2"/>
      <c r="M626" s="2"/>
      <c r="N626" s="2"/>
      <c r="O626" s="2"/>
      <c r="P626" s="2"/>
      <c r="Q626" s="2"/>
    </row>
    <row r="627" spans="1:17" ht="12.5">
      <c r="A627" s="2"/>
      <c r="B627" s="2"/>
      <c r="C627" s="2"/>
      <c r="D627" s="2"/>
      <c r="E627" s="2"/>
      <c r="F627" s="2"/>
      <c r="G627" s="2"/>
      <c r="H627" s="2"/>
      <c r="I627" s="2"/>
      <c r="J627" s="2"/>
      <c r="K627" s="2"/>
      <c r="L627" s="2"/>
      <c r="M627" s="2"/>
      <c r="N627" s="2"/>
      <c r="O627" s="2"/>
      <c r="P627" s="2"/>
      <c r="Q627" s="2"/>
    </row>
    <row r="628" spans="1:17" ht="12.5">
      <c r="A628" s="2"/>
      <c r="B628" s="2"/>
      <c r="C628" s="2"/>
      <c r="D628" s="2"/>
      <c r="E628" s="2"/>
      <c r="F628" s="2"/>
      <c r="G628" s="2"/>
      <c r="H628" s="2"/>
      <c r="I628" s="2"/>
      <c r="J628" s="2"/>
      <c r="K628" s="2"/>
      <c r="L628" s="2"/>
      <c r="M628" s="2"/>
      <c r="N628" s="2"/>
      <c r="O628" s="2"/>
      <c r="P628" s="2"/>
      <c r="Q628" s="2"/>
    </row>
    <row r="629" spans="1:17" ht="12.5">
      <c r="A629" s="2"/>
      <c r="B629" s="2"/>
      <c r="C629" s="2"/>
      <c r="D629" s="2"/>
      <c r="E629" s="2"/>
      <c r="F629" s="2"/>
      <c r="G629" s="2"/>
      <c r="H629" s="2"/>
      <c r="I629" s="2"/>
      <c r="J629" s="2"/>
      <c r="K629" s="2"/>
      <c r="L629" s="2"/>
      <c r="M629" s="2"/>
      <c r="N629" s="2"/>
      <c r="O629" s="2"/>
      <c r="P629" s="2"/>
      <c r="Q629" s="2"/>
    </row>
    <row r="630" spans="1:17" ht="12.5">
      <c r="A630" s="2"/>
      <c r="B630" s="2"/>
      <c r="C630" s="2"/>
      <c r="D630" s="2"/>
      <c r="E630" s="2"/>
      <c r="F630" s="2"/>
      <c r="G630" s="2"/>
      <c r="H630" s="2"/>
      <c r="I630" s="2"/>
      <c r="J630" s="2"/>
      <c r="K630" s="2"/>
      <c r="L630" s="2"/>
      <c r="M630" s="2"/>
      <c r="N630" s="2"/>
      <c r="O630" s="2"/>
      <c r="P630" s="2"/>
      <c r="Q630" s="2"/>
    </row>
    <row r="631" spans="1:17" ht="12.5">
      <c r="A631" s="2"/>
      <c r="B631" s="2"/>
      <c r="C631" s="2"/>
      <c r="D631" s="2"/>
      <c r="E631" s="2"/>
      <c r="F631" s="2"/>
      <c r="G631" s="2"/>
      <c r="H631" s="2"/>
      <c r="I631" s="2"/>
      <c r="J631" s="2"/>
      <c r="K631" s="2"/>
      <c r="L631" s="2"/>
      <c r="M631" s="2"/>
      <c r="N631" s="2"/>
      <c r="O631" s="2"/>
      <c r="P631" s="2"/>
      <c r="Q631" s="2"/>
    </row>
    <row r="632" spans="1:17" ht="12.5">
      <c r="A632" s="2"/>
      <c r="B632" s="2"/>
      <c r="C632" s="2"/>
      <c r="D632" s="2"/>
      <c r="E632" s="2"/>
      <c r="F632" s="2"/>
      <c r="G632" s="2"/>
      <c r="H632" s="2"/>
      <c r="I632" s="2"/>
      <c r="J632" s="2"/>
      <c r="K632" s="2"/>
      <c r="L632" s="2"/>
      <c r="M632" s="2"/>
      <c r="N632" s="2"/>
      <c r="O632" s="2"/>
      <c r="P632" s="2"/>
      <c r="Q632" s="2"/>
    </row>
    <row r="633" spans="1:17" ht="12.5">
      <c r="A633" s="2"/>
      <c r="B633" s="2"/>
      <c r="C633" s="2"/>
      <c r="D633" s="2"/>
      <c r="E633" s="2"/>
      <c r="F633" s="2"/>
      <c r="G633" s="2"/>
      <c r="H633" s="2"/>
      <c r="I633" s="2"/>
      <c r="J633" s="2"/>
      <c r="K633" s="2"/>
      <c r="L633" s="2"/>
      <c r="M633" s="2"/>
      <c r="N633" s="2"/>
      <c r="O633" s="2"/>
      <c r="P633" s="2"/>
      <c r="Q633" s="2"/>
    </row>
    <row r="634" spans="1:17" ht="12.5">
      <c r="A634" s="2"/>
      <c r="B634" s="2"/>
      <c r="C634" s="2"/>
      <c r="D634" s="2"/>
      <c r="E634" s="2"/>
      <c r="F634" s="2"/>
      <c r="G634" s="2"/>
      <c r="H634" s="2"/>
      <c r="I634" s="2"/>
      <c r="J634" s="2"/>
      <c r="K634" s="2"/>
      <c r="L634" s="2"/>
      <c r="M634" s="2"/>
      <c r="N634" s="2"/>
      <c r="O634" s="2"/>
      <c r="P634" s="2"/>
      <c r="Q634" s="2"/>
    </row>
    <row r="635" spans="1:17" ht="12.5">
      <c r="A635" s="2"/>
      <c r="B635" s="2"/>
      <c r="C635" s="2"/>
      <c r="D635" s="2"/>
      <c r="E635" s="2"/>
      <c r="F635" s="2"/>
      <c r="G635" s="2"/>
      <c r="H635" s="2"/>
      <c r="I635" s="2"/>
      <c r="J635" s="2"/>
      <c r="K635" s="2"/>
      <c r="L635" s="2"/>
      <c r="M635" s="2"/>
      <c r="N635" s="2"/>
      <c r="O635" s="2"/>
      <c r="P635" s="2"/>
      <c r="Q635" s="2"/>
    </row>
    <row r="636" spans="1:17" ht="12.5">
      <c r="A636" s="2"/>
      <c r="B636" s="2"/>
      <c r="C636" s="2"/>
      <c r="D636" s="2"/>
      <c r="E636" s="2"/>
      <c r="F636" s="2"/>
      <c r="G636" s="2"/>
      <c r="H636" s="2"/>
      <c r="I636" s="2"/>
      <c r="J636" s="2"/>
      <c r="K636" s="2"/>
      <c r="L636" s="2"/>
      <c r="M636" s="2"/>
      <c r="N636" s="2"/>
      <c r="O636" s="2"/>
      <c r="P636" s="2"/>
      <c r="Q636" s="2"/>
    </row>
    <row r="637" spans="1:17" ht="12.5">
      <c r="A637" s="2"/>
      <c r="B637" s="2"/>
      <c r="C637" s="2"/>
      <c r="D637" s="2"/>
      <c r="E637" s="2"/>
      <c r="F637" s="2"/>
      <c r="G637" s="2"/>
      <c r="H637" s="2"/>
      <c r="I637" s="2"/>
      <c r="J637" s="2"/>
      <c r="K637" s="2"/>
      <c r="L637" s="2"/>
      <c r="M637" s="2"/>
      <c r="N637" s="2"/>
      <c r="O637" s="2"/>
      <c r="P637" s="2"/>
      <c r="Q637" s="2"/>
    </row>
    <row r="638" spans="1:17" ht="12.5">
      <c r="A638" s="2"/>
      <c r="B638" s="2"/>
      <c r="C638" s="2"/>
      <c r="D638" s="2"/>
      <c r="E638" s="2"/>
      <c r="F638" s="2"/>
      <c r="G638" s="2"/>
      <c r="H638" s="2"/>
      <c r="I638" s="2"/>
      <c r="J638" s="2"/>
      <c r="K638" s="2"/>
      <c r="L638" s="2"/>
      <c r="M638" s="2"/>
      <c r="N638" s="2"/>
      <c r="O638" s="2"/>
      <c r="P638" s="2"/>
      <c r="Q638" s="2"/>
    </row>
    <row r="639" spans="1:17" ht="12.5">
      <c r="A639" s="2"/>
      <c r="B639" s="2"/>
      <c r="C639" s="2"/>
      <c r="D639" s="2"/>
      <c r="E639" s="2"/>
      <c r="F639" s="2"/>
      <c r="G639" s="2"/>
      <c r="H639" s="2"/>
      <c r="I639" s="2"/>
      <c r="J639" s="2"/>
      <c r="K639" s="2"/>
      <c r="L639" s="2"/>
      <c r="M639" s="2"/>
      <c r="N639" s="2"/>
      <c r="O639" s="2"/>
      <c r="P639" s="2"/>
      <c r="Q639" s="2"/>
    </row>
    <row r="640" spans="1:17" ht="12.5">
      <c r="A640" s="2"/>
      <c r="B640" s="2"/>
      <c r="C640" s="2"/>
      <c r="D640" s="2"/>
      <c r="E640" s="2"/>
      <c r="F640" s="2"/>
      <c r="G640" s="2"/>
      <c r="H640" s="2"/>
      <c r="I640" s="2"/>
      <c r="J640" s="2"/>
      <c r="K640" s="2"/>
      <c r="L640" s="2"/>
      <c r="M640" s="2"/>
      <c r="N640" s="2"/>
      <c r="O640" s="2"/>
      <c r="P640" s="2"/>
      <c r="Q640" s="2"/>
    </row>
    <row r="641" spans="1:17" ht="12.5">
      <c r="A641" s="2"/>
      <c r="B641" s="2"/>
      <c r="C641" s="2"/>
      <c r="D641" s="2"/>
      <c r="E641" s="2"/>
      <c r="F641" s="2"/>
      <c r="G641" s="2"/>
      <c r="H641" s="2"/>
      <c r="I641" s="2"/>
      <c r="J641" s="2"/>
      <c r="K641" s="2"/>
      <c r="L641" s="2"/>
      <c r="M641" s="2"/>
      <c r="N641" s="2"/>
      <c r="O641" s="2"/>
      <c r="P641" s="2"/>
      <c r="Q641" s="2"/>
    </row>
    <row r="642" spans="1:17" ht="12.5">
      <c r="A642" s="2"/>
      <c r="B642" s="2"/>
      <c r="C642" s="2"/>
      <c r="D642" s="2"/>
      <c r="E642" s="2"/>
      <c r="F642" s="2"/>
      <c r="G642" s="2"/>
      <c r="H642" s="2"/>
      <c r="I642" s="2"/>
      <c r="J642" s="2"/>
      <c r="K642" s="2"/>
      <c r="L642" s="2"/>
      <c r="M642" s="2"/>
      <c r="N642" s="2"/>
      <c r="O642" s="2"/>
      <c r="P642" s="2"/>
      <c r="Q642" s="2"/>
    </row>
    <row r="643" spans="1:17" ht="12.5">
      <c r="A643" s="2"/>
      <c r="B643" s="2"/>
      <c r="C643" s="2"/>
      <c r="D643" s="2"/>
      <c r="E643" s="2"/>
      <c r="F643" s="2"/>
      <c r="G643" s="2"/>
      <c r="H643" s="2"/>
      <c r="I643" s="2"/>
      <c r="J643" s="2"/>
      <c r="K643" s="2"/>
      <c r="L643" s="2"/>
      <c r="M643" s="2"/>
      <c r="N643" s="2"/>
      <c r="O643" s="2"/>
      <c r="P643" s="2"/>
      <c r="Q643" s="2"/>
    </row>
    <row r="644" spans="1:17" ht="12.5">
      <c r="A644" s="2"/>
      <c r="B644" s="2"/>
      <c r="C644" s="2"/>
      <c r="D644" s="2"/>
      <c r="E644" s="2"/>
      <c r="F644" s="2"/>
      <c r="G644" s="2"/>
      <c r="H644" s="2"/>
      <c r="I644" s="2"/>
      <c r="J644" s="2"/>
      <c r="K644" s="2"/>
      <c r="L644" s="2"/>
      <c r="M644" s="2"/>
      <c r="N644" s="2"/>
      <c r="O644" s="2"/>
      <c r="P644" s="2"/>
      <c r="Q644" s="2"/>
    </row>
    <row r="645" spans="1:17" ht="12.5">
      <c r="A645" s="2"/>
      <c r="B645" s="2"/>
      <c r="C645" s="2"/>
      <c r="D645" s="2"/>
      <c r="E645" s="2"/>
      <c r="F645" s="2"/>
      <c r="G645" s="2"/>
      <c r="H645" s="2"/>
      <c r="I645" s="2"/>
      <c r="J645" s="2"/>
      <c r="K645" s="2"/>
      <c r="L645" s="2"/>
      <c r="M645" s="2"/>
      <c r="N645" s="2"/>
      <c r="O645" s="2"/>
      <c r="P645" s="2"/>
      <c r="Q645" s="2"/>
    </row>
    <row r="646" spans="1:17" ht="12.5">
      <c r="A646" s="2"/>
      <c r="B646" s="2"/>
      <c r="C646" s="2"/>
      <c r="D646" s="2"/>
      <c r="E646" s="2"/>
      <c r="F646" s="2"/>
      <c r="G646" s="2"/>
      <c r="H646" s="2"/>
      <c r="I646" s="2"/>
      <c r="J646" s="2"/>
      <c r="K646" s="2"/>
      <c r="L646" s="2"/>
      <c r="M646" s="2"/>
      <c r="N646" s="2"/>
      <c r="O646" s="2"/>
      <c r="P646" s="2"/>
      <c r="Q646" s="2"/>
    </row>
    <row r="647" spans="1:17" ht="12.5">
      <c r="A647" s="2"/>
      <c r="B647" s="2"/>
      <c r="C647" s="2"/>
      <c r="D647" s="2"/>
      <c r="E647" s="2"/>
      <c r="F647" s="2"/>
      <c r="G647" s="2"/>
      <c r="H647" s="2"/>
      <c r="I647" s="2"/>
      <c r="J647" s="2"/>
      <c r="K647" s="2"/>
      <c r="L647" s="2"/>
      <c r="M647" s="2"/>
      <c r="N647" s="2"/>
      <c r="O647" s="2"/>
      <c r="P647" s="2"/>
      <c r="Q647" s="2"/>
    </row>
    <row r="648" spans="1:17" ht="12.5">
      <c r="A648" s="2"/>
      <c r="B648" s="2"/>
      <c r="C648" s="2"/>
      <c r="D648" s="2"/>
      <c r="E648" s="2"/>
      <c r="F648" s="2"/>
      <c r="G648" s="2"/>
      <c r="H648" s="2"/>
      <c r="I648" s="2"/>
      <c r="J648" s="2"/>
      <c r="K648" s="2"/>
      <c r="L648" s="2"/>
      <c r="M648" s="2"/>
      <c r="N648" s="2"/>
      <c r="O648" s="2"/>
      <c r="P648" s="2"/>
      <c r="Q648" s="2"/>
    </row>
    <row r="649" spans="1:17" ht="12.5">
      <c r="A649" s="2"/>
      <c r="B649" s="2"/>
      <c r="C649" s="2"/>
      <c r="D649" s="2"/>
      <c r="E649" s="2"/>
      <c r="F649" s="2"/>
      <c r="G649" s="2"/>
      <c r="H649" s="2"/>
      <c r="I649" s="2"/>
      <c r="J649" s="2"/>
      <c r="K649" s="2"/>
      <c r="L649" s="2"/>
      <c r="M649" s="2"/>
      <c r="N649" s="2"/>
      <c r="O649" s="2"/>
      <c r="P649" s="2"/>
      <c r="Q649" s="2"/>
    </row>
    <row r="650" spans="1:17" ht="12.5">
      <c r="A650" s="2"/>
      <c r="B650" s="2"/>
      <c r="C650" s="2"/>
      <c r="D650" s="2"/>
      <c r="E650" s="2"/>
      <c r="F650" s="2"/>
      <c r="G650" s="2"/>
      <c r="H650" s="2"/>
      <c r="I650" s="2"/>
      <c r="J650" s="2"/>
      <c r="K650" s="2"/>
      <c r="L650" s="2"/>
      <c r="M650" s="2"/>
      <c r="N650" s="2"/>
      <c r="O650" s="2"/>
      <c r="P650" s="2"/>
      <c r="Q650" s="2"/>
    </row>
    <row r="651" spans="1:17" ht="12.5">
      <c r="A651" s="2"/>
      <c r="B651" s="2"/>
      <c r="C651" s="2"/>
      <c r="D651" s="2"/>
      <c r="E651" s="2"/>
      <c r="F651" s="2"/>
      <c r="G651" s="2"/>
      <c r="H651" s="2"/>
      <c r="I651" s="2"/>
      <c r="J651" s="2"/>
      <c r="K651" s="2"/>
      <c r="L651" s="2"/>
      <c r="M651" s="2"/>
      <c r="N651" s="2"/>
      <c r="O651" s="2"/>
      <c r="P651" s="2"/>
      <c r="Q651" s="2"/>
    </row>
    <row r="652" spans="1:17" ht="12.5">
      <c r="A652" s="2"/>
      <c r="B652" s="2"/>
      <c r="C652" s="2"/>
      <c r="D652" s="2"/>
      <c r="E652" s="2"/>
      <c r="F652" s="2"/>
      <c r="G652" s="2"/>
      <c r="H652" s="2"/>
      <c r="I652" s="2"/>
      <c r="J652" s="2"/>
      <c r="K652" s="2"/>
      <c r="L652" s="2"/>
      <c r="M652" s="2"/>
      <c r="N652" s="2"/>
      <c r="O652" s="2"/>
      <c r="P652" s="2"/>
      <c r="Q652" s="2"/>
    </row>
    <row r="653" spans="1:17" ht="12.5">
      <c r="A653" s="2"/>
      <c r="B653" s="2"/>
      <c r="C653" s="2"/>
      <c r="D653" s="2"/>
      <c r="E653" s="2"/>
      <c r="F653" s="2"/>
      <c r="G653" s="2"/>
      <c r="H653" s="2"/>
      <c r="I653" s="2"/>
      <c r="J653" s="2"/>
      <c r="K653" s="2"/>
      <c r="L653" s="2"/>
      <c r="M653" s="2"/>
      <c r="N653" s="2"/>
      <c r="O653" s="2"/>
      <c r="P653" s="2"/>
      <c r="Q653" s="2"/>
    </row>
    <row r="654" spans="1:17" ht="12.5">
      <c r="A654" s="2"/>
      <c r="B654" s="2"/>
      <c r="C654" s="2"/>
      <c r="D654" s="2"/>
      <c r="E654" s="2"/>
      <c r="F654" s="2"/>
      <c r="G654" s="2"/>
      <c r="H654" s="2"/>
      <c r="I654" s="2"/>
      <c r="J654" s="2"/>
      <c r="K654" s="2"/>
      <c r="L654" s="2"/>
      <c r="M654" s="2"/>
      <c r="N654" s="2"/>
      <c r="O654" s="2"/>
      <c r="P654" s="2"/>
      <c r="Q654" s="2"/>
    </row>
    <row r="655" spans="1:17" ht="12.5">
      <c r="A655" s="2"/>
      <c r="B655" s="2"/>
      <c r="C655" s="2"/>
      <c r="D655" s="2"/>
      <c r="E655" s="2"/>
      <c r="F655" s="2"/>
      <c r="G655" s="2"/>
      <c r="H655" s="2"/>
      <c r="I655" s="2"/>
      <c r="J655" s="2"/>
      <c r="K655" s="2"/>
      <c r="L655" s="2"/>
      <c r="M655" s="2"/>
      <c r="N655" s="2"/>
      <c r="O655" s="2"/>
      <c r="P655" s="2"/>
      <c r="Q655" s="2"/>
    </row>
    <row r="656" spans="1:17" ht="12.5">
      <c r="A656" s="2"/>
      <c r="B656" s="2"/>
      <c r="C656" s="2"/>
      <c r="D656" s="2"/>
      <c r="E656" s="2"/>
      <c r="F656" s="2"/>
      <c r="G656" s="2"/>
      <c r="H656" s="2"/>
      <c r="I656" s="2"/>
      <c r="J656" s="2"/>
      <c r="K656" s="2"/>
      <c r="L656" s="2"/>
      <c r="M656" s="2"/>
      <c r="N656" s="2"/>
      <c r="O656" s="2"/>
      <c r="P656" s="2"/>
      <c r="Q656" s="2"/>
    </row>
    <row r="657" spans="1:17" ht="12.5">
      <c r="A657" s="2"/>
      <c r="B657" s="2"/>
      <c r="C657" s="2"/>
      <c r="D657" s="2"/>
      <c r="E657" s="2"/>
      <c r="F657" s="2"/>
      <c r="G657" s="2"/>
      <c r="H657" s="2"/>
      <c r="I657" s="2"/>
      <c r="J657" s="2"/>
      <c r="K657" s="2"/>
      <c r="L657" s="2"/>
      <c r="M657" s="2"/>
      <c r="N657" s="2"/>
      <c r="O657" s="2"/>
      <c r="P657" s="2"/>
      <c r="Q657" s="2"/>
    </row>
    <row r="658" spans="1:17" ht="12.5">
      <c r="A658" s="2"/>
      <c r="B658" s="2"/>
      <c r="C658" s="2"/>
      <c r="D658" s="2"/>
      <c r="E658" s="2"/>
      <c r="F658" s="2"/>
      <c r="G658" s="2"/>
      <c r="H658" s="2"/>
      <c r="I658" s="2"/>
      <c r="J658" s="2"/>
      <c r="K658" s="2"/>
      <c r="L658" s="2"/>
      <c r="M658" s="2"/>
      <c r="N658" s="2"/>
      <c r="O658" s="2"/>
      <c r="P658" s="2"/>
      <c r="Q658" s="2"/>
    </row>
    <row r="659" spans="1:17" ht="12.5">
      <c r="A659" s="2"/>
      <c r="B659" s="2"/>
      <c r="C659" s="2"/>
      <c r="D659" s="2"/>
      <c r="E659" s="2"/>
      <c r="F659" s="2"/>
      <c r="G659" s="2"/>
      <c r="H659" s="2"/>
      <c r="I659" s="2"/>
      <c r="J659" s="2"/>
      <c r="K659" s="2"/>
      <c r="L659" s="2"/>
      <c r="M659" s="2"/>
      <c r="N659" s="2"/>
      <c r="O659" s="2"/>
      <c r="P659" s="2"/>
      <c r="Q659" s="2"/>
    </row>
    <row r="660" spans="1:17" ht="12.5">
      <c r="A660" s="2"/>
      <c r="B660" s="2"/>
      <c r="C660" s="2"/>
      <c r="D660" s="2"/>
      <c r="E660" s="2"/>
      <c r="F660" s="2"/>
      <c r="G660" s="2"/>
      <c r="H660" s="2"/>
      <c r="I660" s="2"/>
      <c r="J660" s="2"/>
      <c r="K660" s="2"/>
      <c r="L660" s="2"/>
      <c r="M660" s="2"/>
      <c r="N660" s="2"/>
      <c r="O660" s="2"/>
      <c r="P660" s="2"/>
      <c r="Q660" s="2"/>
    </row>
    <row r="661" spans="1:17" ht="12.5">
      <c r="A661" s="2"/>
      <c r="B661" s="2"/>
      <c r="C661" s="2"/>
      <c r="D661" s="2"/>
      <c r="E661" s="2"/>
      <c r="F661" s="2"/>
      <c r="G661" s="2"/>
      <c r="H661" s="2"/>
      <c r="I661" s="2"/>
      <c r="J661" s="2"/>
      <c r="K661" s="2"/>
      <c r="L661" s="2"/>
      <c r="M661" s="2"/>
      <c r="N661" s="2"/>
      <c r="O661" s="2"/>
      <c r="P661" s="2"/>
      <c r="Q661" s="2"/>
    </row>
    <row r="662" spans="1:17" ht="12.5">
      <c r="A662" s="2"/>
      <c r="B662" s="2"/>
      <c r="C662" s="2"/>
      <c r="D662" s="2"/>
      <c r="E662" s="2"/>
      <c r="F662" s="2"/>
      <c r="G662" s="2"/>
      <c r="H662" s="2"/>
      <c r="I662" s="2"/>
      <c r="J662" s="2"/>
      <c r="K662" s="2"/>
      <c r="L662" s="2"/>
      <c r="M662" s="2"/>
      <c r="N662" s="2"/>
      <c r="O662" s="2"/>
      <c r="P662" s="2"/>
      <c r="Q662" s="2"/>
    </row>
    <row r="663" spans="1:17" ht="12.5">
      <c r="A663" s="2"/>
      <c r="B663" s="2"/>
      <c r="C663" s="2"/>
      <c r="D663" s="2"/>
      <c r="E663" s="2"/>
      <c r="F663" s="2"/>
      <c r="G663" s="2"/>
      <c r="H663" s="2"/>
      <c r="I663" s="2"/>
      <c r="J663" s="2"/>
      <c r="K663" s="2"/>
      <c r="L663" s="2"/>
      <c r="M663" s="2"/>
      <c r="N663" s="2"/>
      <c r="O663" s="2"/>
      <c r="P663" s="2"/>
      <c r="Q663" s="2"/>
    </row>
    <row r="664" spans="1:17" ht="12.5">
      <c r="A664" s="2"/>
      <c r="B664" s="2"/>
      <c r="C664" s="2"/>
      <c r="D664" s="2"/>
      <c r="E664" s="2"/>
      <c r="F664" s="2"/>
      <c r="G664" s="2"/>
      <c r="H664" s="2"/>
      <c r="I664" s="2"/>
      <c r="J664" s="2"/>
      <c r="K664" s="2"/>
      <c r="L664" s="2"/>
      <c r="M664" s="2"/>
      <c r="N664" s="2"/>
      <c r="O664" s="2"/>
      <c r="P664" s="2"/>
      <c r="Q664" s="2"/>
    </row>
    <row r="665" spans="1:17" ht="12.5">
      <c r="A665" s="2"/>
      <c r="B665" s="2"/>
      <c r="C665" s="2"/>
      <c r="D665" s="2"/>
      <c r="E665" s="2"/>
      <c r="F665" s="2"/>
      <c r="G665" s="2"/>
      <c r="H665" s="2"/>
      <c r="I665" s="2"/>
      <c r="J665" s="2"/>
      <c r="K665" s="2"/>
      <c r="L665" s="2"/>
      <c r="M665" s="2"/>
      <c r="N665" s="2"/>
      <c r="O665" s="2"/>
      <c r="P665" s="2"/>
      <c r="Q665" s="2"/>
    </row>
    <row r="666" spans="1:17" ht="12.5">
      <c r="A666" s="2"/>
      <c r="B666" s="2"/>
      <c r="C666" s="2"/>
      <c r="D666" s="2"/>
      <c r="E666" s="2"/>
      <c r="F666" s="2"/>
      <c r="G666" s="2"/>
      <c r="H666" s="2"/>
      <c r="I666" s="2"/>
      <c r="J666" s="2"/>
      <c r="K666" s="2"/>
      <c r="L666" s="2"/>
      <c r="M666" s="2"/>
      <c r="N666" s="2"/>
      <c r="O666" s="2"/>
      <c r="P666" s="2"/>
      <c r="Q666" s="2"/>
    </row>
    <row r="667" spans="1:17" ht="12.5">
      <c r="A667" s="2"/>
      <c r="B667" s="2"/>
      <c r="C667" s="2"/>
      <c r="D667" s="2"/>
      <c r="E667" s="2"/>
      <c r="F667" s="2"/>
      <c r="G667" s="2"/>
      <c r="H667" s="2"/>
      <c r="I667" s="2"/>
      <c r="J667" s="2"/>
      <c r="K667" s="2"/>
      <c r="L667" s="2"/>
      <c r="M667" s="2"/>
      <c r="N667" s="2"/>
      <c r="O667" s="2"/>
      <c r="P667" s="2"/>
      <c r="Q667" s="2"/>
    </row>
    <row r="668" spans="1:17" ht="12.5">
      <c r="A668" s="2"/>
      <c r="B668" s="2"/>
      <c r="C668" s="2"/>
      <c r="D668" s="2"/>
      <c r="E668" s="2"/>
      <c r="F668" s="2"/>
      <c r="G668" s="2"/>
      <c r="H668" s="2"/>
      <c r="I668" s="2"/>
      <c r="J668" s="2"/>
      <c r="K668" s="2"/>
      <c r="L668" s="2"/>
      <c r="M668" s="2"/>
      <c r="N668" s="2"/>
      <c r="O668" s="2"/>
      <c r="P668" s="2"/>
      <c r="Q668" s="2"/>
    </row>
    <row r="669" spans="1:17" ht="12.5">
      <c r="A669" s="2"/>
      <c r="B669" s="2"/>
      <c r="C669" s="2"/>
      <c r="D669" s="2"/>
      <c r="E669" s="2"/>
      <c r="F669" s="2"/>
      <c r="G669" s="2"/>
      <c r="H669" s="2"/>
      <c r="I669" s="2"/>
      <c r="J669" s="2"/>
      <c r="K669" s="2"/>
      <c r="L669" s="2"/>
      <c r="M669" s="2"/>
      <c r="N669" s="2"/>
      <c r="O669" s="2"/>
      <c r="P669" s="2"/>
      <c r="Q669" s="2"/>
    </row>
    <row r="670" spans="1:17" ht="12.5">
      <c r="A670" s="2"/>
      <c r="B670" s="2"/>
      <c r="C670" s="2"/>
      <c r="D670" s="2"/>
      <c r="E670" s="2"/>
      <c r="F670" s="2"/>
      <c r="G670" s="2"/>
      <c r="H670" s="2"/>
      <c r="I670" s="2"/>
      <c r="J670" s="2"/>
      <c r="K670" s="2"/>
      <c r="L670" s="2"/>
      <c r="M670" s="2"/>
      <c r="N670" s="2"/>
      <c r="O670" s="2"/>
      <c r="P670" s="2"/>
      <c r="Q670" s="2"/>
    </row>
    <row r="671" spans="1:17" ht="12.5">
      <c r="A671" s="2"/>
      <c r="B671" s="2"/>
      <c r="C671" s="2"/>
      <c r="D671" s="2"/>
      <c r="E671" s="2"/>
      <c r="F671" s="2"/>
      <c r="G671" s="2"/>
      <c r="H671" s="2"/>
      <c r="I671" s="2"/>
      <c r="J671" s="2"/>
      <c r="K671" s="2"/>
      <c r="L671" s="2"/>
      <c r="M671" s="2"/>
      <c r="N671" s="2"/>
      <c r="O671" s="2"/>
      <c r="P671" s="2"/>
      <c r="Q671" s="2"/>
    </row>
    <row r="672" spans="1:17" ht="12.5">
      <c r="A672" s="2"/>
      <c r="B672" s="2"/>
      <c r="C672" s="2"/>
      <c r="D672" s="2"/>
      <c r="E672" s="2"/>
      <c r="F672" s="2"/>
      <c r="G672" s="2"/>
      <c r="H672" s="2"/>
      <c r="I672" s="2"/>
      <c r="J672" s="2"/>
      <c r="K672" s="2"/>
      <c r="L672" s="2"/>
      <c r="M672" s="2"/>
      <c r="N672" s="2"/>
      <c r="O672" s="2"/>
      <c r="P672" s="2"/>
      <c r="Q672" s="2"/>
    </row>
    <row r="673" spans="1:17" ht="12.5">
      <c r="A673" s="2"/>
      <c r="B673" s="2"/>
      <c r="C673" s="2"/>
      <c r="D673" s="2"/>
      <c r="E673" s="2"/>
      <c r="F673" s="2"/>
      <c r="G673" s="2"/>
      <c r="H673" s="2"/>
      <c r="I673" s="2"/>
      <c r="J673" s="2"/>
      <c r="K673" s="2"/>
      <c r="L673" s="2"/>
      <c r="M673" s="2"/>
      <c r="N673" s="2"/>
      <c r="O673" s="2"/>
      <c r="P673" s="2"/>
      <c r="Q673" s="2"/>
    </row>
    <row r="674" spans="1:17" ht="12.5">
      <c r="A674" s="2"/>
      <c r="B674" s="2"/>
      <c r="C674" s="2"/>
      <c r="D674" s="2"/>
      <c r="E674" s="2"/>
      <c r="F674" s="2"/>
      <c r="G674" s="2"/>
      <c r="H674" s="2"/>
      <c r="I674" s="2"/>
      <c r="J674" s="2"/>
      <c r="K674" s="2"/>
      <c r="L674" s="2"/>
      <c r="M674" s="2"/>
      <c r="N674" s="2"/>
      <c r="O674" s="2"/>
      <c r="P674" s="2"/>
      <c r="Q674" s="2"/>
    </row>
    <row r="675" spans="1:17" ht="12.5">
      <c r="A675" s="2"/>
      <c r="B675" s="2"/>
      <c r="C675" s="2"/>
      <c r="D675" s="2"/>
      <c r="E675" s="2"/>
      <c r="F675" s="2"/>
      <c r="G675" s="2"/>
      <c r="H675" s="2"/>
      <c r="I675" s="2"/>
      <c r="J675" s="2"/>
      <c r="K675" s="2"/>
      <c r="L675" s="2"/>
      <c r="M675" s="2"/>
      <c r="N675" s="2"/>
      <c r="O675" s="2"/>
      <c r="P675" s="2"/>
      <c r="Q675" s="2"/>
    </row>
    <row r="676" spans="1:17" ht="12.5">
      <c r="A676" s="2"/>
      <c r="B676" s="2"/>
      <c r="C676" s="2"/>
      <c r="D676" s="2"/>
      <c r="E676" s="2"/>
      <c r="F676" s="2"/>
      <c r="G676" s="2"/>
      <c r="H676" s="2"/>
      <c r="I676" s="2"/>
      <c r="J676" s="2"/>
      <c r="K676" s="2"/>
      <c r="L676" s="2"/>
      <c r="M676" s="2"/>
      <c r="N676" s="2"/>
      <c r="O676" s="2"/>
      <c r="P676" s="2"/>
      <c r="Q676" s="2"/>
    </row>
    <row r="677" spans="1:17" ht="12.5">
      <c r="A677" s="2"/>
      <c r="B677" s="2"/>
      <c r="C677" s="2"/>
      <c r="D677" s="2"/>
      <c r="E677" s="2"/>
      <c r="F677" s="2"/>
      <c r="G677" s="2"/>
      <c r="H677" s="2"/>
      <c r="I677" s="2"/>
      <c r="J677" s="2"/>
      <c r="K677" s="2"/>
      <c r="L677" s="2"/>
      <c r="M677" s="2"/>
      <c r="N677" s="2"/>
      <c r="O677" s="2"/>
      <c r="P677" s="2"/>
      <c r="Q677" s="2"/>
    </row>
    <row r="678" spans="1:17" ht="12.5">
      <c r="A678" s="2"/>
      <c r="B678" s="2"/>
      <c r="C678" s="2"/>
      <c r="D678" s="2"/>
      <c r="E678" s="2"/>
      <c r="F678" s="2"/>
      <c r="G678" s="2"/>
      <c r="H678" s="2"/>
      <c r="I678" s="2"/>
      <c r="J678" s="2"/>
      <c r="K678" s="2"/>
      <c r="L678" s="2"/>
      <c r="M678" s="2"/>
      <c r="N678" s="2"/>
      <c r="O678" s="2"/>
      <c r="P678" s="2"/>
      <c r="Q678" s="2"/>
    </row>
    <row r="679" spans="1:17" ht="12.5">
      <c r="A679" s="2"/>
      <c r="B679" s="2"/>
      <c r="C679" s="2"/>
      <c r="D679" s="2"/>
      <c r="E679" s="2"/>
      <c r="F679" s="2"/>
      <c r="G679" s="2"/>
      <c r="H679" s="2"/>
      <c r="I679" s="2"/>
      <c r="J679" s="2"/>
      <c r="K679" s="2"/>
      <c r="L679" s="2"/>
      <c r="M679" s="2"/>
      <c r="N679" s="2"/>
      <c r="O679" s="2"/>
      <c r="P679" s="2"/>
      <c r="Q679" s="2"/>
    </row>
    <row r="680" spans="1:17" ht="12.5">
      <c r="A680" s="2"/>
      <c r="B680" s="2"/>
      <c r="C680" s="2"/>
      <c r="D680" s="2"/>
      <c r="E680" s="2"/>
      <c r="F680" s="2"/>
      <c r="G680" s="2"/>
      <c r="H680" s="2"/>
      <c r="I680" s="2"/>
      <c r="J680" s="2"/>
      <c r="K680" s="2"/>
      <c r="L680" s="2"/>
      <c r="M680" s="2"/>
      <c r="N680" s="2"/>
      <c r="O680" s="2"/>
      <c r="P680" s="2"/>
      <c r="Q680" s="2"/>
    </row>
    <row r="681" spans="1:17" ht="12.5">
      <c r="A681" s="2"/>
      <c r="B681" s="2"/>
      <c r="C681" s="2"/>
      <c r="D681" s="2"/>
      <c r="E681" s="2"/>
      <c r="F681" s="2"/>
      <c r="G681" s="2"/>
      <c r="H681" s="2"/>
      <c r="I681" s="2"/>
      <c r="J681" s="2"/>
      <c r="K681" s="2"/>
      <c r="L681" s="2"/>
      <c r="M681" s="2"/>
      <c r="N681" s="2"/>
      <c r="O681" s="2"/>
      <c r="P681" s="2"/>
      <c r="Q681" s="2"/>
    </row>
    <row r="682" spans="1:17" ht="12.5">
      <c r="A682" s="2"/>
      <c r="B682" s="2"/>
      <c r="C682" s="2"/>
      <c r="D682" s="2"/>
      <c r="E682" s="2"/>
      <c r="F682" s="2"/>
      <c r="G682" s="2"/>
      <c r="H682" s="2"/>
      <c r="I682" s="2"/>
      <c r="J682" s="2"/>
      <c r="K682" s="2"/>
      <c r="L682" s="2"/>
      <c r="M682" s="2"/>
      <c r="N682" s="2"/>
      <c r="O682" s="2"/>
      <c r="P682" s="2"/>
      <c r="Q682" s="2"/>
    </row>
    <row r="683" spans="1:17" ht="12.5">
      <c r="A683" s="2"/>
      <c r="B683" s="2"/>
      <c r="C683" s="2"/>
      <c r="D683" s="2"/>
      <c r="E683" s="2"/>
      <c r="F683" s="2"/>
      <c r="G683" s="2"/>
      <c r="H683" s="2"/>
      <c r="I683" s="2"/>
      <c r="J683" s="2"/>
      <c r="K683" s="2"/>
      <c r="L683" s="2"/>
      <c r="M683" s="2"/>
      <c r="N683" s="2"/>
      <c r="O683" s="2"/>
      <c r="P683" s="2"/>
      <c r="Q683" s="2"/>
    </row>
    <row r="684" spans="1:17" ht="12.5">
      <c r="A684" s="2"/>
      <c r="B684" s="2"/>
      <c r="C684" s="2"/>
      <c r="D684" s="2"/>
      <c r="E684" s="2"/>
      <c r="F684" s="2"/>
      <c r="G684" s="2"/>
      <c r="H684" s="2"/>
      <c r="I684" s="2"/>
      <c r="J684" s="2"/>
      <c r="K684" s="2"/>
      <c r="L684" s="2"/>
      <c r="M684" s="2"/>
      <c r="N684" s="2"/>
      <c r="O684" s="2"/>
      <c r="P684" s="2"/>
      <c r="Q684" s="2"/>
    </row>
    <row r="685" spans="1:17" ht="12.5">
      <c r="A685" s="2"/>
      <c r="B685" s="2"/>
      <c r="C685" s="2"/>
      <c r="D685" s="2"/>
      <c r="E685" s="2"/>
      <c r="F685" s="2"/>
      <c r="G685" s="2"/>
      <c r="H685" s="2"/>
      <c r="I685" s="2"/>
      <c r="J685" s="2"/>
      <c r="K685" s="2"/>
      <c r="L685" s="2"/>
      <c r="M685" s="2"/>
      <c r="N685" s="2"/>
      <c r="O685" s="2"/>
      <c r="P685" s="2"/>
      <c r="Q685" s="2"/>
    </row>
    <row r="686" spans="1:17" ht="12.5">
      <c r="A686" s="2"/>
      <c r="B686" s="2"/>
      <c r="C686" s="2"/>
      <c r="D686" s="2"/>
      <c r="E686" s="2"/>
      <c r="F686" s="2"/>
      <c r="G686" s="2"/>
      <c r="H686" s="2"/>
      <c r="I686" s="2"/>
      <c r="J686" s="2"/>
      <c r="K686" s="2"/>
      <c r="L686" s="2"/>
      <c r="M686" s="2"/>
      <c r="N686" s="2"/>
      <c r="O686" s="2"/>
      <c r="P686" s="2"/>
      <c r="Q686" s="2"/>
    </row>
    <row r="687" spans="1:17" ht="12.5">
      <c r="A687" s="2"/>
      <c r="B687" s="2"/>
      <c r="C687" s="2"/>
      <c r="D687" s="2"/>
      <c r="E687" s="2"/>
      <c r="F687" s="2"/>
      <c r="G687" s="2"/>
      <c r="H687" s="2"/>
      <c r="I687" s="2"/>
      <c r="J687" s="2"/>
      <c r="K687" s="2"/>
      <c r="L687" s="2"/>
      <c r="M687" s="2"/>
      <c r="N687" s="2"/>
      <c r="O687" s="2"/>
      <c r="P687" s="2"/>
      <c r="Q687" s="2"/>
    </row>
    <row r="688" spans="1:17" ht="12.5">
      <c r="A688" s="2"/>
      <c r="B688" s="2"/>
      <c r="C688" s="2"/>
      <c r="D688" s="2"/>
      <c r="E688" s="2"/>
      <c r="F688" s="2"/>
      <c r="G688" s="2"/>
      <c r="H688" s="2"/>
      <c r="I688" s="2"/>
      <c r="J688" s="2"/>
      <c r="K688" s="2"/>
      <c r="L688" s="2"/>
      <c r="M688" s="2"/>
      <c r="N688" s="2"/>
      <c r="O688" s="2"/>
      <c r="P688" s="2"/>
      <c r="Q688" s="2"/>
    </row>
    <row r="689" spans="1:17" ht="12.5">
      <c r="A689" s="2"/>
      <c r="B689" s="2"/>
      <c r="C689" s="2"/>
      <c r="D689" s="2"/>
      <c r="E689" s="2"/>
      <c r="F689" s="2"/>
      <c r="G689" s="2"/>
      <c r="H689" s="2"/>
      <c r="I689" s="2"/>
      <c r="J689" s="2"/>
      <c r="K689" s="2"/>
      <c r="L689" s="2"/>
      <c r="M689" s="2"/>
      <c r="N689" s="2"/>
      <c r="O689" s="2"/>
      <c r="P689" s="2"/>
      <c r="Q689" s="2"/>
    </row>
    <row r="690" spans="1:17" ht="12.5">
      <c r="A690" s="2"/>
      <c r="B690" s="2"/>
      <c r="C690" s="2"/>
      <c r="D690" s="2"/>
      <c r="E690" s="2"/>
      <c r="F690" s="2"/>
      <c r="G690" s="2"/>
      <c r="H690" s="2"/>
      <c r="I690" s="2"/>
      <c r="J690" s="2"/>
      <c r="K690" s="2"/>
      <c r="L690" s="2"/>
      <c r="M690" s="2"/>
      <c r="N690" s="2"/>
      <c r="O690" s="2"/>
      <c r="P690" s="2"/>
      <c r="Q690" s="2"/>
    </row>
    <row r="691" spans="1:17" ht="12.5">
      <c r="A691" s="2"/>
      <c r="B691" s="2"/>
      <c r="C691" s="2"/>
      <c r="D691" s="2"/>
      <c r="E691" s="2"/>
      <c r="F691" s="2"/>
      <c r="G691" s="2"/>
      <c r="H691" s="2"/>
      <c r="I691" s="2"/>
      <c r="J691" s="2"/>
      <c r="K691" s="2"/>
      <c r="L691" s="2"/>
      <c r="M691" s="2"/>
      <c r="N691" s="2"/>
      <c r="O691" s="2"/>
      <c r="P691" s="2"/>
      <c r="Q691" s="2"/>
    </row>
    <row r="692" spans="1:17" ht="12.5">
      <c r="A692" s="2"/>
      <c r="B692" s="2"/>
      <c r="C692" s="2"/>
      <c r="D692" s="2"/>
      <c r="E692" s="2"/>
      <c r="F692" s="2"/>
      <c r="G692" s="2"/>
      <c r="H692" s="2"/>
      <c r="I692" s="2"/>
      <c r="J692" s="2"/>
      <c r="K692" s="2"/>
      <c r="L692" s="2"/>
      <c r="M692" s="2"/>
      <c r="N692" s="2"/>
      <c r="O692" s="2"/>
      <c r="P692" s="2"/>
      <c r="Q692" s="2"/>
    </row>
    <row r="693" spans="1:17" ht="12.5">
      <c r="A693" s="2"/>
      <c r="B693" s="2"/>
      <c r="C693" s="2"/>
      <c r="D693" s="2"/>
      <c r="E693" s="2"/>
      <c r="F693" s="2"/>
      <c r="G693" s="2"/>
      <c r="H693" s="2"/>
      <c r="I693" s="2"/>
      <c r="J693" s="2"/>
      <c r="K693" s="2"/>
      <c r="L693" s="2"/>
      <c r="M693" s="2"/>
      <c r="N693" s="2"/>
      <c r="O693" s="2"/>
      <c r="P693" s="2"/>
      <c r="Q693" s="2"/>
    </row>
    <row r="694" spans="1:17" ht="12.5">
      <c r="A694" s="2"/>
      <c r="B694" s="2"/>
      <c r="C694" s="2"/>
      <c r="D694" s="2"/>
      <c r="E694" s="2"/>
      <c r="F694" s="2"/>
      <c r="G694" s="2"/>
      <c r="H694" s="2"/>
      <c r="I694" s="2"/>
      <c r="J694" s="2"/>
      <c r="K694" s="2"/>
      <c r="L694" s="2"/>
      <c r="M694" s="2"/>
      <c r="N694" s="2"/>
      <c r="O694" s="2"/>
      <c r="P694" s="2"/>
      <c r="Q694" s="2"/>
    </row>
    <row r="695" spans="1:17" ht="12.5">
      <c r="A695" s="2"/>
      <c r="B695" s="2"/>
      <c r="C695" s="2"/>
      <c r="D695" s="2"/>
      <c r="E695" s="2"/>
      <c r="F695" s="2"/>
      <c r="G695" s="2"/>
      <c r="H695" s="2"/>
      <c r="I695" s="2"/>
      <c r="J695" s="2"/>
      <c r="K695" s="2"/>
      <c r="L695" s="2"/>
      <c r="M695" s="2"/>
      <c r="N695" s="2"/>
      <c r="O695" s="2"/>
      <c r="P695" s="2"/>
      <c r="Q695" s="2"/>
    </row>
    <row r="696" spans="1:17" ht="12.5">
      <c r="A696" s="2"/>
      <c r="B696" s="2"/>
      <c r="C696" s="2"/>
      <c r="D696" s="2"/>
      <c r="E696" s="2"/>
      <c r="F696" s="2"/>
      <c r="G696" s="2"/>
      <c r="H696" s="2"/>
      <c r="I696" s="2"/>
      <c r="J696" s="2"/>
      <c r="K696" s="2"/>
      <c r="L696" s="2"/>
      <c r="M696" s="2"/>
      <c r="N696" s="2"/>
      <c r="O696" s="2"/>
      <c r="P696" s="2"/>
      <c r="Q696" s="2"/>
    </row>
    <row r="697" spans="1:17" ht="12.5">
      <c r="A697" s="2"/>
      <c r="B697" s="2"/>
      <c r="C697" s="2"/>
      <c r="D697" s="2"/>
      <c r="E697" s="2"/>
      <c r="F697" s="2"/>
      <c r="G697" s="2"/>
      <c r="H697" s="2"/>
      <c r="I697" s="2"/>
      <c r="J697" s="2"/>
      <c r="K697" s="2"/>
      <c r="L697" s="2"/>
      <c r="M697" s="2"/>
      <c r="N697" s="2"/>
      <c r="O697" s="2"/>
      <c r="P697" s="2"/>
      <c r="Q697" s="2"/>
    </row>
    <row r="698" spans="1:17" ht="12.5">
      <c r="A698" s="2"/>
      <c r="B698" s="2"/>
      <c r="C698" s="2"/>
      <c r="D698" s="2"/>
      <c r="E698" s="2"/>
      <c r="F698" s="2"/>
      <c r="G698" s="2"/>
      <c r="H698" s="2"/>
      <c r="I698" s="2"/>
      <c r="J698" s="2"/>
      <c r="K698" s="2"/>
      <c r="L698" s="2"/>
      <c r="M698" s="2"/>
      <c r="N698" s="2"/>
      <c r="O698" s="2"/>
      <c r="P698" s="2"/>
      <c r="Q698" s="2"/>
    </row>
    <row r="699" spans="1:17" ht="12.5">
      <c r="A699" s="2"/>
      <c r="B699" s="2"/>
      <c r="C699" s="2"/>
      <c r="D699" s="2"/>
      <c r="E699" s="2"/>
      <c r="F699" s="2"/>
      <c r="G699" s="2"/>
      <c r="H699" s="2"/>
      <c r="I699" s="2"/>
      <c r="J699" s="2"/>
      <c r="K699" s="2"/>
      <c r="L699" s="2"/>
      <c r="M699" s="2"/>
      <c r="N699" s="2"/>
      <c r="O699" s="2"/>
      <c r="P699" s="2"/>
      <c r="Q699" s="2"/>
    </row>
    <row r="700" spans="1:17" ht="12.5">
      <c r="A700" s="2"/>
      <c r="B700" s="2"/>
      <c r="C700" s="2"/>
      <c r="D700" s="2"/>
      <c r="E700" s="2"/>
      <c r="F700" s="2"/>
      <c r="G700" s="2"/>
      <c r="H700" s="2"/>
      <c r="I700" s="2"/>
      <c r="J700" s="2"/>
      <c r="K700" s="2"/>
      <c r="L700" s="2"/>
      <c r="M700" s="2"/>
      <c r="N700" s="2"/>
      <c r="O700" s="2"/>
      <c r="P700" s="2"/>
      <c r="Q700" s="2"/>
    </row>
    <row r="701" spans="1:17" ht="12.5">
      <c r="A701" s="2"/>
      <c r="B701" s="2"/>
      <c r="C701" s="2"/>
      <c r="D701" s="2"/>
      <c r="E701" s="2"/>
      <c r="F701" s="2"/>
      <c r="G701" s="2"/>
      <c r="H701" s="2"/>
      <c r="I701" s="2"/>
      <c r="J701" s="2"/>
      <c r="K701" s="2"/>
      <c r="L701" s="2"/>
      <c r="M701" s="2"/>
      <c r="N701" s="2"/>
      <c r="O701" s="2"/>
      <c r="P701" s="2"/>
      <c r="Q701" s="2"/>
    </row>
    <row r="702" spans="1:17" ht="12.5">
      <c r="A702" s="2"/>
      <c r="B702" s="2"/>
      <c r="C702" s="2"/>
      <c r="D702" s="2"/>
      <c r="E702" s="2"/>
      <c r="F702" s="2"/>
      <c r="G702" s="2"/>
      <c r="H702" s="2"/>
      <c r="I702" s="2"/>
      <c r="J702" s="2"/>
      <c r="K702" s="2"/>
      <c r="L702" s="2"/>
      <c r="M702" s="2"/>
      <c r="N702" s="2"/>
      <c r="O702" s="2"/>
      <c r="P702" s="2"/>
      <c r="Q702" s="2"/>
    </row>
    <row r="703" spans="1:17" ht="12.5">
      <c r="A703" s="2"/>
      <c r="B703" s="2"/>
      <c r="C703" s="2"/>
      <c r="D703" s="2"/>
      <c r="E703" s="2"/>
      <c r="F703" s="2"/>
      <c r="G703" s="2"/>
      <c r="H703" s="2"/>
      <c r="I703" s="2"/>
      <c r="J703" s="2"/>
      <c r="K703" s="2"/>
      <c r="L703" s="2"/>
      <c r="M703" s="2"/>
      <c r="N703" s="2"/>
      <c r="O703" s="2"/>
      <c r="P703" s="2"/>
      <c r="Q703" s="2"/>
    </row>
    <row r="704" spans="1:17" ht="12.5">
      <c r="A704" s="2"/>
      <c r="B704" s="2"/>
      <c r="C704" s="2"/>
      <c r="D704" s="2"/>
      <c r="E704" s="2"/>
      <c r="F704" s="2"/>
      <c r="G704" s="2"/>
      <c r="H704" s="2"/>
      <c r="I704" s="2"/>
      <c r="J704" s="2"/>
      <c r="K704" s="2"/>
      <c r="L704" s="2"/>
      <c r="M704" s="2"/>
      <c r="N704" s="2"/>
      <c r="O704" s="2"/>
      <c r="P704" s="2"/>
      <c r="Q704" s="2"/>
    </row>
    <row r="705" spans="1:17" ht="12.5">
      <c r="A705" s="2"/>
      <c r="B705" s="2"/>
      <c r="C705" s="2"/>
      <c r="D705" s="2"/>
      <c r="E705" s="2"/>
      <c r="F705" s="2"/>
      <c r="G705" s="2"/>
      <c r="H705" s="2"/>
      <c r="I705" s="2"/>
      <c r="J705" s="2"/>
      <c r="K705" s="2"/>
      <c r="L705" s="2"/>
      <c r="M705" s="2"/>
      <c r="N705" s="2"/>
      <c r="O705" s="2"/>
      <c r="P705" s="2"/>
      <c r="Q705" s="2"/>
    </row>
    <row r="706" spans="1:17" ht="12.5">
      <c r="A706" s="2"/>
      <c r="B706" s="2"/>
      <c r="C706" s="2"/>
      <c r="D706" s="2"/>
      <c r="E706" s="2"/>
      <c r="F706" s="2"/>
      <c r="G706" s="2"/>
      <c r="H706" s="2"/>
      <c r="I706" s="2"/>
      <c r="J706" s="2"/>
      <c r="K706" s="2"/>
      <c r="L706" s="2"/>
      <c r="M706" s="2"/>
      <c r="N706" s="2"/>
      <c r="O706" s="2"/>
      <c r="P706" s="2"/>
      <c r="Q706" s="2"/>
    </row>
    <row r="707" spans="1:17" ht="12.5">
      <c r="A707" s="2"/>
      <c r="B707" s="2"/>
      <c r="C707" s="2"/>
      <c r="D707" s="2"/>
      <c r="E707" s="2"/>
      <c r="F707" s="2"/>
      <c r="G707" s="2"/>
      <c r="H707" s="2"/>
      <c r="I707" s="2"/>
      <c r="J707" s="2"/>
      <c r="K707" s="2"/>
      <c r="L707" s="2"/>
      <c r="M707" s="2"/>
      <c r="N707" s="2"/>
      <c r="O707" s="2"/>
      <c r="P707" s="2"/>
      <c r="Q707" s="2"/>
    </row>
    <row r="708" spans="1:17" ht="12.5">
      <c r="A708" s="2"/>
      <c r="B708" s="2"/>
      <c r="C708" s="2"/>
      <c r="D708" s="2"/>
      <c r="E708" s="2"/>
      <c r="F708" s="2"/>
      <c r="G708" s="2"/>
      <c r="H708" s="2"/>
      <c r="I708" s="2"/>
      <c r="J708" s="2"/>
      <c r="K708" s="2"/>
      <c r="L708" s="2"/>
      <c r="M708" s="2"/>
      <c r="N708" s="2"/>
      <c r="O708" s="2"/>
      <c r="P708" s="2"/>
      <c r="Q708" s="2"/>
    </row>
    <row r="709" spans="1:17" ht="12.5">
      <c r="A709" s="2"/>
      <c r="B709" s="2"/>
      <c r="C709" s="2"/>
      <c r="D709" s="2"/>
      <c r="E709" s="2"/>
      <c r="F709" s="2"/>
      <c r="G709" s="2"/>
      <c r="H709" s="2"/>
      <c r="I709" s="2"/>
      <c r="J709" s="2"/>
      <c r="K709" s="2"/>
      <c r="L709" s="2"/>
      <c r="M709" s="2"/>
      <c r="N709" s="2"/>
      <c r="O709" s="2"/>
      <c r="P709" s="2"/>
      <c r="Q709" s="2"/>
    </row>
    <row r="710" spans="1:17" ht="12.5">
      <c r="A710" s="2"/>
      <c r="B710" s="2"/>
      <c r="C710" s="2"/>
      <c r="D710" s="2"/>
      <c r="E710" s="2"/>
      <c r="F710" s="2"/>
      <c r="G710" s="2"/>
      <c r="H710" s="2"/>
      <c r="I710" s="2"/>
      <c r="J710" s="2"/>
      <c r="K710" s="2"/>
      <c r="L710" s="2"/>
      <c r="M710" s="2"/>
      <c r="N710" s="2"/>
      <c r="O710" s="2"/>
      <c r="P710" s="2"/>
      <c r="Q710" s="2"/>
    </row>
    <row r="711" spans="1:17" ht="12.5">
      <c r="A711" s="2"/>
      <c r="B711" s="2"/>
      <c r="C711" s="2"/>
      <c r="D711" s="2"/>
      <c r="E711" s="2"/>
      <c r="F711" s="2"/>
      <c r="G711" s="2"/>
      <c r="H711" s="2"/>
      <c r="I711" s="2"/>
      <c r="J711" s="2"/>
      <c r="K711" s="2"/>
      <c r="L711" s="2"/>
      <c r="M711" s="2"/>
      <c r="N711" s="2"/>
      <c r="O711" s="2"/>
      <c r="P711" s="2"/>
      <c r="Q711" s="2"/>
    </row>
    <row r="712" spans="1:17" ht="12.5">
      <c r="A712" s="2"/>
      <c r="B712" s="2"/>
      <c r="C712" s="2"/>
      <c r="D712" s="2"/>
      <c r="E712" s="2"/>
      <c r="F712" s="2"/>
      <c r="G712" s="2"/>
      <c r="H712" s="2"/>
      <c r="I712" s="2"/>
      <c r="J712" s="2"/>
      <c r="K712" s="2"/>
      <c r="L712" s="2"/>
      <c r="M712" s="2"/>
      <c r="N712" s="2"/>
      <c r="O712" s="2"/>
      <c r="P712" s="2"/>
      <c r="Q712" s="2"/>
    </row>
    <row r="713" spans="1:17" ht="12.5">
      <c r="A713" s="2"/>
      <c r="B713" s="2"/>
      <c r="C713" s="2"/>
      <c r="D713" s="2"/>
      <c r="E713" s="2"/>
      <c r="F713" s="2"/>
      <c r="G713" s="2"/>
      <c r="H713" s="2"/>
      <c r="I713" s="2"/>
      <c r="J713" s="2"/>
      <c r="K713" s="2"/>
      <c r="L713" s="2"/>
      <c r="M713" s="2"/>
      <c r="N713" s="2"/>
      <c r="O713" s="2"/>
      <c r="P713" s="2"/>
      <c r="Q713" s="2"/>
    </row>
    <row r="714" spans="1:17" ht="12.5">
      <c r="A714" s="2"/>
      <c r="B714" s="2"/>
      <c r="C714" s="2"/>
      <c r="D714" s="2"/>
      <c r="E714" s="2"/>
      <c r="F714" s="2"/>
      <c r="G714" s="2"/>
      <c r="H714" s="2"/>
      <c r="I714" s="2"/>
      <c r="J714" s="2"/>
      <c r="K714" s="2"/>
      <c r="L714" s="2"/>
      <c r="M714" s="2"/>
      <c r="N714" s="2"/>
      <c r="O714" s="2"/>
      <c r="P714" s="2"/>
      <c r="Q714" s="2"/>
    </row>
    <row r="715" spans="1:17" ht="12.5">
      <c r="A715" s="2"/>
      <c r="B715" s="2"/>
      <c r="C715" s="2"/>
      <c r="D715" s="2"/>
      <c r="E715" s="2"/>
      <c r="F715" s="2"/>
      <c r="G715" s="2"/>
      <c r="H715" s="2"/>
      <c r="I715" s="2"/>
      <c r="J715" s="2"/>
      <c r="K715" s="2"/>
      <c r="L715" s="2"/>
      <c r="M715" s="2"/>
      <c r="N715" s="2"/>
      <c r="O715" s="2"/>
      <c r="P715" s="2"/>
      <c r="Q715" s="2"/>
    </row>
    <row r="716" spans="1:17" ht="12.5">
      <c r="A716" s="2"/>
      <c r="B716" s="2"/>
      <c r="C716" s="2"/>
      <c r="D716" s="2"/>
      <c r="E716" s="2"/>
      <c r="F716" s="2"/>
      <c r="G716" s="2"/>
      <c r="H716" s="2"/>
      <c r="I716" s="2"/>
      <c r="J716" s="2"/>
      <c r="K716" s="2"/>
      <c r="L716" s="2"/>
      <c r="M716" s="2"/>
      <c r="N716" s="2"/>
      <c r="O716" s="2"/>
      <c r="P716" s="2"/>
      <c r="Q716" s="2"/>
    </row>
    <row r="717" spans="1:17" ht="12.5">
      <c r="A717" s="2"/>
      <c r="B717" s="2"/>
      <c r="C717" s="2"/>
      <c r="D717" s="2"/>
      <c r="E717" s="2"/>
      <c r="F717" s="2"/>
      <c r="G717" s="2"/>
      <c r="H717" s="2"/>
      <c r="I717" s="2"/>
      <c r="J717" s="2"/>
      <c r="K717" s="2"/>
      <c r="L717" s="2"/>
      <c r="M717" s="2"/>
      <c r="N717" s="2"/>
      <c r="O717" s="2"/>
      <c r="P717" s="2"/>
      <c r="Q717" s="2"/>
    </row>
    <row r="718" spans="1:17" ht="12.5">
      <c r="A718" s="2"/>
      <c r="B718" s="2"/>
      <c r="C718" s="2"/>
      <c r="D718" s="2"/>
      <c r="E718" s="2"/>
      <c r="F718" s="2"/>
      <c r="G718" s="2"/>
      <c r="H718" s="2"/>
      <c r="I718" s="2"/>
      <c r="J718" s="2"/>
      <c r="K718" s="2"/>
      <c r="L718" s="2"/>
      <c r="M718" s="2"/>
      <c r="N718" s="2"/>
      <c r="O718" s="2"/>
      <c r="P718" s="2"/>
      <c r="Q718" s="2"/>
    </row>
    <row r="719" spans="1:17" ht="12.5">
      <c r="A719" s="2"/>
      <c r="B719" s="2"/>
      <c r="C719" s="2"/>
      <c r="D719" s="2"/>
      <c r="E719" s="2"/>
      <c r="F719" s="2"/>
      <c r="G719" s="2"/>
      <c r="H719" s="2"/>
      <c r="I719" s="2"/>
      <c r="J719" s="2"/>
      <c r="K719" s="2"/>
      <c r="L719" s="2"/>
      <c r="M719" s="2"/>
      <c r="N719" s="2"/>
      <c r="O719" s="2"/>
      <c r="P719" s="2"/>
      <c r="Q719" s="2"/>
    </row>
    <row r="720" spans="1:17" ht="12.5">
      <c r="A720" s="2"/>
      <c r="B720" s="2"/>
      <c r="C720" s="2"/>
      <c r="D720" s="2"/>
      <c r="E720" s="2"/>
      <c r="F720" s="2"/>
      <c r="G720" s="2"/>
      <c r="H720" s="2"/>
      <c r="I720" s="2"/>
      <c r="J720" s="2"/>
      <c r="K720" s="2"/>
      <c r="L720" s="2"/>
      <c r="M720" s="2"/>
      <c r="N720" s="2"/>
      <c r="O720" s="2"/>
      <c r="P720" s="2"/>
      <c r="Q720" s="2"/>
    </row>
    <row r="721" spans="1:17" ht="12.5">
      <c r="A721" s="2"/>
      <c r="B721" s="2"/>
      <c r="C721" s="2"/>
      <c r="D721" s="2"/>
      <c r="E721" s="2"/>
      <c r="F721" s="2"/>
      <c r="G721" s="2"/>
      <c r="H721" s="2"/>
      <c r="I721" s="2"/>
      <c r="J721" s="2"/>
      <c r="K721" s="2"/>
      <c r="L721" s="2"/>
      <c r="M721" s="2"/>
      <c r="N721" s="2"/>
      <c r="O721" s="2"/>
      <c r="P721" s="2"/>
      <c r="Q721" s="2"/>
    </row>
    <row r="722" spans="1:17" ht="12.5">
      <c r="A722" s="2"/>
      <c r="B722" s="2"/>
      <c r="C722" s="2"/>
      <c r="D722" s="2"/>
      <c r="E722" s="2"/>
      <c r="F722" s="2"/>
      <c r="G722" s="2"/>
      <c r="H722" s="2"/>
      <c r="I722" s="2"/>
      <c r="J722" s="2"/>
      <c r="K722" s="2"/>
      <c r="L722" s="2"/>
      <c r="M722" s="2"/>
      <c r="N722" s="2"/>
      <c r="O722" s="2"/>
      <c r="P722" s="2"/>
      <c r="Q722" s="2"/>
    </row>
    <row r="723" spans="1:17" ht="12.5">
      <c r="A723" s="2"/>
      <c r="B723" s="2"/>
      <c r="C723" s="2"/>
      <c r="D723" s="2"/>
      <c r="E723" s="2"/>
      <c r="F723" s="2"/>
      <c r="G723" s="2"/>
      <c r="H723" s="2"/>
      <c r="I723" s="2"/>
      <c r="J723" s="2"/>
      <c r="K723" s="2"/>
      <c r="L723" s="2"/>
      <c r="M723" s="2"/>
      <c r="N723" s="2"/>
      <c r="O723" s="2"/>
      <c r="P723" s="2"/>
      <c r="Q723" s="2"/>
    </row>
    <row r="724" spans="1:17" ht="12.5">
      <c r="A724" s="2"/>
      <c r="B724" s="2"/>
      <c r="C724" s="2"/>
      <c r="D724" s="2"/>
      <c r="E724" s="2"/>
      <c r="F724" s="2"/>
      <c r="G724" s="2"/>
      <c r="H724" s="2"/>
      <c r="I724" s="2"/>
      <c r="J724" s="2"/>
      <c r="K724" s="2"/>
      <c r="L724" s="2"/>
      <c r="M724" s="2"/>
      <c r="N724" s="2"/>
      <c r="O724" s="2"/>
      <c r="P724" s="2"/>
      <c r="Q724" s="2"/>
    </row>
    <row r="725" spans="1:17" ht="12.5">
      <c r="A725" s="2"/>
      <c r="B725" s="2"/>
      <c r="C725" s="2"/>
      <c r="D725" s="2"/>
      <c r="E725" s="2"/>
      <c r="F725" s="2"/>
      <c r="G725" s="2"/>
      <c r="H725" s="2"/>
      <c r="I725" s="2"/>
      <c r="J725" s="2"/>
      <c r="K725" s="2"/>
      <c r="L725" s="2"/>
      <c r="M725" s="2"/>
      <c r="N725" s="2"/>
      <c r="O725" s="2"/>
      <c r="P725" s="2"/>
      <c r="Q725" s="2"/>
    </row>
    <row r="726" spans="1:17" ht="12.5">
      <c r="A726" s="2"/>
      <c r="B726" s="2"/>
      <c r="C726" s="2"/>
      <c r="D726" s="2"/>
      <c r="E726" s="2"/>
      <c r="F726" s="2"/>
      <c r="G726" s="2"/>
      <c r="H726" s="2"/>
      <c r="I726" s="2"/>
      <c r="J726" s="2"/>
      <c r="K726" s="2"/>
      <c r="L726" s="2"/>
      <c r="M726" s="2"/>
      <c r="N726" s="2"/>
      <c r="O726" s="2"/>
      <c r="P726" s="2"/>
      <c r="Q726" s="2"/>
    </row>
    <row r="727" spans="1:17" ht="12.5">
      <c r="A727" s="2"/>
      <c r="B727" s="2"/>
      <c r="C727" s="2"/>
      <c r="D727" s="2"/>
      <c r="E727" s="2"/>
      <c r="F727" s="2"/>
      <c r="G727" s="2"/>
      <c r="H727" s="2"/>
      <c r="I727" s="2"/>
      <c r="J727" s="2"/>
      <c r="K727" s="2"/>
      <c r="L727" s="2"/>
      <c r="M727" s="2"/>
      <c r="N727" s="2"/>
      <c r="O727" s="2"/>
      <c r="P727" s="2"/>
      <c r="Q727" s="2"/>
    </row>
    <row r="728" spans="1:17" ht="12.5">
      <c r="A728" s="2"/>
      <c r="B728" s="2"/>
      <c r="C728" s="2"/>
      <c r="D728" s="2"/>
      <c r="E728" s="2"/>
      <c r="F728" s="2"/>
      <c r="G728" s="2"/>
      <c r="H728" s="2"/>
      <c r="I728" s="2"/>
      <c r="J728" s="2"/>
      <c r="K728" s="2"/>
      <c r="L728" s="2"/>
      <c r="M728" s="2"/>
      <c r="N728" s="2"/>
      <c r="O728" s="2"/>
      <c r="P728" s="2"/>
      <c r="Q728" s="2"/>
    </row>
    <row r="729" spans="1:17" ht="12.5">
      <c r="A729" s="2"/>
      <c r="B729" s="2"/>
      <c r="C729" s="2"/>
      <c r="D729" s="2"/>
      <c r="E729" s="2"/>
      <c r="F729" s="2"/>
      <c r="G729" s="2"/>
      <c r="H729" s="2"/>
      <c r="I729" s="2"/>
      <c r="J729" s="2"/>
      <c r="K729" s="2"/>
      <c r="L729" s="2"/>
      <c r="M729" s="2"/>
      <c r="N729" s="2"/>
      <c r="O729" s="2"/>
      <c r="P729" s="2"/>
      <c r="Q729" s="2"/>
    </row>
    <row r="730" spans="1:17" ht="12.5">
      <c r="A730" s="2"/>
      <c r="B730" s="2"/>
      <c r="C730" s="2"/>
      <c r="D730" s="2"/>
      <c r="E730" s="2"/>
      <c r="F730" s="2"/>
      <c r="G730" s="2"/>
      <c r="H730" s="2"/>
      <c r="I730" s="2"/>
      <c r="J730" s="2"/>
      <c r="K730" s="2"/>
      <c r="L730" s="2"/>
      <c r="M730" s="2"/>
      <c r="N730" s="2"/>
      <c r="O730" s="2"/>
      <c r="P730" s="2"/>
      <c r="Q730" s="2"/>
    </row>
    <row r="731" spans="1:17" ht="12.5">
      <c r="A731" s="2"/>
      <c r="B731" s="2"/>
      <c r="C731" s="2"/>
      <c r="D731" s="2"/>
      <c r="E731" s="2"/>
      <c r="F731" s="2"/>
      <c r="G731" s="2"/>
      <c r="H731" s="2"/>
      <c r="I731" s="2"/>
      <c r="J731" s="2"/>
      <c r="K731" s="2"/>
      <c r="L731" s="2"/>
      <c r="M731" s="2"/>
      <c r="N731" s="2"/>
      <c r="O731" s="2"/>
      <c r="P731" s="2"/>
      <c r="Q731" s="2"/>
    </row>
    <row r="732" spans="1:17" ht="12.5">
      <c r="A732" s="2"/>
      <c r="B732" s="2"/>
      <c r="C732" s="2"/>
      <c r="D732" s="2"/>
      <c r="E732" s="2"/>
      <c r="F732" s="2"/>
      <c r="G732" s="2"/>
      <c r="H732" s="2"/>
      <c r="I732" s="2"/>
      <c r="J732" s="2"/>
      <c r="K732" s="2"/>
      <c r="L732" s="2"/>
      <c r="M732" s="2"/>
      <c r="N732" s="2"/>
      <c r="O732" s="2"/>
      <c r="P732" s="2"/>
      <c r="Q732" s="2"/>
    </row>
    <row r="733" spans="1:17" ht="12.5">
      <c r="A733" s="2"/>
      <c r="B733" s="2"/>
      <c r="C733" s="2"/>
      <c r="D733" s="2"/>
      <c r="E733" s="2"/>
      <c r="F733" s="2"/>
      <c r="G733" s="2"/>
      <c r="H733" s="2"/>
      <c r="I733" s="2"/>
      <c r="J733" s="2"/>
      <c r="K733" s="2"/>
      <c r="L733" s="2"/>
      <c r="M733" s="2"/>
      <c r="N733" s="2"/>
      <c r="O733" s="2"/>
      <c r="P733" s="2"/>
      <c r="Q733" s="2"/>
    </row>
    <row r="734" spans="1:17" ht="12.5">
      <c r="A734" s="2"/>
      <c r="B734" s="2"/>
      <c r="C734" s="2"/>
      <c r="D734" s="2"/>
      <c r="E734" s="2"/>
      <c r="F734" s="2"/>
      <c r="G734" s="2"/>
      <c r="H734" s="2"/>
      <c r="I734" s="2"/>
      <c r="J734" s="2"/>
      <c r="K734" s="2"/>
      <c r="L734" s="2"/>
      <c r="M734" s="2"/>
      <c r="N734" s="2"/>
      <c r="O734" s="2"/>
      <c r="P734" s="2"/>
      <c r="Q734" s="2"/>
    </row>
    <row r="735" spans="1:17" ht="12.5">
      <c r="A735" s="2"/>
      <c r="B735" s="2"/>
      <c r="C735" s="2"/>
      <c r="D735" s="2"/>
      <c r="E735" s="2"/>
      <c r="F735" s="2"/>
      <c r="G735" s="2"/>
      <c r="H735" s="2"/>
      <c r="I735" s="2"/>
      <c r="J735" s="2"/>
      <c r="K735" s="2"/>
      <c r="L735" s="2"/>
      <c r="M735" s="2"/>
      <c r="N735" s="2"/>
      <c r="O735" s="2"/>
      <c r="P735" s="2"/>
      <c r="Q735" s="2"/>
    </row>
    <row r="736" spans="1:17" ht="12.5">
      <c r="A736" s="2"/>
      <c r="B736" s="2"/>
      <c r="C736" s="2"/>
      <c r="D736" s="2"/>
      <c r="E736" s="2"/>
      <c r="F736" s="2"/>
      <c r="G736" s="2"/>
      <c r="H736" s="2"/>
      <c r="I736" s="2"/>
      <c r="J736" s="2"/>
      <c r="K736" s="2"/>
      <c r="L736" s="2"/>
      <c r="M736" s="2"/>
      <c r="N736" s="2"/>
      <c r="O736" s="2"/>
      <c r="P736" s="2"/>
      <c r="Q736" s="2"/>
    </row>
    <row r="737" spans="1:17" ht="12.5">
      <c r="A737" s="2"/>
      <c r="B737" s="2"/>
      <c r="C737" s="2"/>
      <c r="D737" s="2"/>
      <c r="E737" s="2"/>
      <c r="F737" s="2"/>
      <c r="G737" s="2"/>
      <c r="H737" s="2"/>
      <c r="I737" s="2"/>
      <c r="J737" s="2"/>
      <c r="K737" s="2"/>
      <c r="L737" s="2"/>
      <c r="M737" s="2"/>
      <c r="N737" s="2"/>
      <c r="O737" s="2"/>
      <c r="P737" s="2"/>
      <c r="Q737" s="2"/>
    </row>
    <row r="738" spans="1:17" ht="12.5">
      <c r="A738" s="2"/>
      <c r="B738" s="2"/>
      <c r="C738" s="2"/>
      <c r="D738" s="2"/>
      <c r="E738" s="2"/>
      <c r="F738" s="2"/>
      <c r="G738" s="2"/>
      <c r="H738" s="2"/>
      <c r="I738" s="2"/>
      <c r="J738" s="2"/>
      <c r="K738" s="2"/>
      <c r="L738" s="2"/>
      <c r="M738" s="2"/>
      <c r="N738" s="2"/>
      <c r="O738" s="2"/>
      <c r="P738" s="2"/>
      <c r="Q738" s="2"/>
    </row>
    <row r="739" spans="1:17" ht="12.5">
      <c r="A739" s="2"/>
      <c r="B739" s="2"/>
      <c r="C739" s="2"/>
      <c r="D739" s="2"/>
      <c r="E739" s="2"/>
      <c r="F739" s="2"/>
      <c r="G739" s="2"/>
      <c r="H739" s="2"/>
      <c r="I739" s="2"/>
      <c r="J739" s="2"/>
      <c r="K739" s="2"/>
      <c r="L739" s="2"/>
      <c r="M739" s="2"/>
      <c r="N739" s="2"/>
      <c r="O739" s="2"/>
      <c r="P739" s="2"/>
      <c r="Q739" s="2"/>
    </row>
    <row r="740" spans="1:17" ht="12.5">
      <c r="A740" s="2"/>
      <c r="B740" s="2"/>
      <c r="C740" s="2"/>
      <c r="D740" s="2"/>
      <c r="E740" s="2"/>
      <c r="F740" s="2"/>
      <c r="G740" s="2"/>
      <c r="H740" s="2"/>
      <c r="I740" s="2"/>
      <c r="J740" s="2"/>
      <c r="K740" s="2"/>
      <c r="L740" s="2"/>
      <c r="M740" s="2"/>
      <c r="N740" s="2"/>
      <c r="O740" s="2"/>
      <c r="P740" s="2"/>
      <c r="Q740" s="2"/>
    </row>
    <row r="741" spans="1:17" ht="12.5">
      <c r="A741" s="2"/>
      <c r="B741" s="2"/>
      <c r="C741" s="2"/>
      <c r="D741" s="2"/>
      <c r="E741" s="2"/>
      <c r="F741" s="2"/>
      <c r="G741" s="2"/>
      <c r="H741" s="2"/>
      <c r="I741" s="2"/>
      <c r="J741" s="2"/>
      <c r="K741" s="2"/>
      <c r="L741" s="2"/>
      <c r="M741" s="2"/>
      <c r="N741" s="2"/>
      <c r="O741" s="2"/>
      <c r="P741" s="2"/>
      <c r="Q741" s="2"/>
    </row>
    <row r="742" spans="1:17" ht="12.5">
      <c r="A742" s="2"/>
      <c r="B742" s="2"/>
      <c r="C742" s="2"/>
      <c r="D742" s="2"/>
      <c r="E742" s="2"/>
      <c r="F742" s="2"/>
      <c r="G742" s="2"/>
      <c r="H742" s="2"/>
      <c r="I742" s="2"/>
      <c r="J742" s="2"/>
      <c r="K742" s="2"/>
      <c r="L742" s="2"/>
      <c r="M742" s="2"/>
      <c r="N742" s="2"/>
      <c r="O742" s="2"/>
      <c r="P742" s="2"/>
      <c r="Q742" s="2"/>
    </row>
    <row r="743" spans="1:17" ht="12.5">
      <c r="A743" s="2"/>
      <c r="B743" s="2"/>
      <c r="C743" s="2"/>
      <c r="D743" s="2"/>
      <c r="E743" s="2"/>
      <c r="F743" s="2"/>
      <c r="G743" s="2"/>
      <c r="H743" s="2"/>
      <c r="I743" s="2"/>
      <c r="J743" s="2"/>
      <c r="K743" s="2"/>
      <c r="L743" s="2"/>
      <c r="M743" s="2"/>
      <c r="N743" s="2"/>
      <c r="O743" s="2"/>
      <c r="P743" s="2"/>
      <c r="Q743" s="2"/>
    </row>
    <row r="744" spans="1:17" ht="12.5">
      <c r="A744" s="2"/>
      <c r="B744" s="2"/>
      <c r="C744" s="2"/>
      <c r="D744" s="2"/>
      <c r="E744" s="2"/>
      <c r="F744" s="2"/>
      <c r="G744" s="2"/>
      <c r="H744" s="2"/>
      <c r="I744" s="2"/>
      <c r="J744" s="2"/>
      <c r="K744" s="2"/>
      <c r="L744" s="2"/>
      <c r="M744" s="2"/>
      <c r="N744" s="2"/>
      <c r="O744" s="2"/>
      <c r="P744" s="2"/>
      <c r="Q744" s="2"/>
    </row>
    <row r="745" spans="1:17" ht="12.5">
      <c r="A745" s="2"/>
      <c r="B745" s="2"/>
      <c r="C745" s="2"/>
      <c r="D745" s="2"/>
      <c r="E745" s="2"/>
      <c r="F745" s="2"/>
      <c r="G745" s="2"/>
      <c r="H745" s="2"/>
      <c r="I745" s="2"/>
      <c r="J745" s="2"/>
      <c r="K745" s="2"/>
      <c r="L745" s="2"/>
      <c r="M745" s="2"/>
      <c r="N745" s="2"/>
      <c r="O745" s="2"/>
      <c r="P745" s="2"/>
      <c r="Q745" s="2"/>
    </row>
    <row r="746" spans="1:17" ht="12.5">
      <c r="A746" s="2"/>
      <c r="B746" s="2"/>
      <c r="C746" s="2"/>
      <c r="D746" s="2"/>
      <c r="E746" s="2"/>
      <c r="F746" s="2"/>
      <c r="G746" s="2"/>
      <c r="H746" s="2"/>
      <c r="I746" s="2"/>
      <c r="J746" s="2"/>
      <c r="K746" s="2"/>
      <c r="L746" s="2"/>
      <c r="M746" s="2"/>
      <c r="N746" s="2"/>
      <c r="O746" s="2"/>
      <c r="P746" s="2"/>
      <c r="Q746" s="2"/>
    </row>
    <row r="747" spans="1:17" ht="12.5">
      <c r="A747" s="2"/>
      <c r="B747" s="2"/>
      <c r="C747" s="2"/>
      <c r="D747" s="2"/>
      <c r="E747" s="2"/>
      <c r="F747" s="2"/>
      <c r="G747" s="2"/>
      <c r="H747" s="2"/>
      <c r="I747" s="2"/>
      <c r="J747" s="2"/>
      <c r="K747" s="2"/>
      <c r="L747" s="2"/>
      <c r="M747" s="2"/>
      <c r="N747" s="2"/>
      <c r="O747" s="2"/>
      <c r="P747" s="2"/>
      <c r="Q747" s="2"/>
    </row>
    <row r="748" spans="1:17" ht="12.5">
      <c r="A748" s="2"/>
      <c r="B748" s="2"/>
      <c r="C748" s="2"/>
      <c r="D748" s="2"/>
      <c r="E748" s="2"/>
      <c r="F748" s="2"/>
      <c r="G748" s="2"/>
      <c r="H748" s="2"/>
      <c r="I748" s="2"/>
      <c r="J748" s="2"/>
      <c r="K748" s="2"/>
      <c r="L748" s="2"/>
      <c r="M748" s="2"/>
      <c r="N748" s="2"/>
      <c r="O748" s="2"/>
      <c r="P748" s="2"/>
      <c r="Q748" s="2"/>
    </row>
    <row r="749" spans="1:17" ht="12.5">
      <c r="A749" s="2"/>
      <c r="B749" s="2"/>
      <c r="C749" s="2"/>
      <c r="D749" s="2"/>
      <c r="E749" s="2"/>
      <c r="F749" s="2"/>
      <c r="G749" s="2"/>
      <c r="H749" s="2"/>
      <c r="I749" s="2"/>
      <c r="J749" s="2"/>
      <c r="K749" s="2"/>
      <c r="L749" s="2"/>
      <c r="M749" s="2"/>
      <c r="N749" s="2"/>
      <c r="O749" s="2"/>
      <c r="P749" s="2"/>
      <c r="Q749" s="2"/>
    </row>
    <row r="750" spans="1:17" ht="12.5">
      <c r="A750" s="2"/>
      <c r="B750" s="2"/>
      <c r="C750" s="2"/>
      <c r="D750" s="2"/>
      <c r="E750" s="2"/>
      <c r="F750" s="2"/>
      <c r="G750" s="2"/>
      <c r="H750" s="2"/>
      <c r="I750" s="2"/>
      <c r="J750" s="2"/>
      <c r="K750" s="2"/>
      <c r="L750" s="2"/>
      <c r="M750" s="2"/>
      <c r="N750" s="2"/>
      <c r="O750" s="2"/>
      <c r="P750" s="2"/>
      <c r="Q750" s="2"/>
    </row>
    <row r="751" spans="1:17" ht="12.5">
      <c r="A751" s="2"/>
      <c r="B751" s="2"/>
      <c r="C751" s="2"/>
      <c r="D751" s="2"/>
      <c r="E751" s="2"/>
      <c r="F751" s="2"/>
      <c r="G751" s="2"/>
      <c r="H751" s="2"/>
      <c r="I751" s="2"/>
      <c r="J751" s="2"/>
      <c r="K751" s="2"/>
      <c r="L751" s="2"/>
      <c r="M751" s="2"/>
      <c r="N751" s="2"/>
      <c r="O751" s="2"/>
      <c r="P751" s="2"/>
      <c r="Q751" s="2"/>
    </row>
    <row r="752" spans="1:17" ht="12.5">
      <c r="A752" s="2"/>
      <c r="B752" s="2"/>
      <c r="C752" s="2"/>
      <c r="D752" s="2"/>
      <c r="E752" s="2"/>
      <c r="F752" s="2"/>
      <c r="G752" s="2"/>
      <c r="H752" s="2"/>
      <c r="I752" s="2"/>
      <c r="J752" s="2"/>
      <c r="K752" s="2"/>
      <c r="L752" s="2"/>
      <c r="M752" s="2"/>
      <c r="N752" s="2"/>
      <c r="O752" s="2"/>
      <c r="P752" s="2"/>
      <c r="Q752" s="2"/>
    </row>
    <row r="753" spans="1:17" ht="12.5">
      <c r="A753" s="2"/>
      <c r="B753" s="2"/>
      <c r="C753" s="2"/>
      <c r="D753" s="2"/>
      <c r="E753" s="2"/>
      <c r="F753" s="2"/>
      <c r="G753" s="2"/>
      <c r="H753" s="2"/>
      <c r="I753" s="2"/>
      <c r="J753" s="2"/>
      <c r="K753" s="2"/>
      <c r="L753" s="2"/>
      <c r="M753" s="2"/>
      <c r="N753" s="2"/>
      <c r="O753" s="2"/>
      <c r="P753" s="2"/>
      <c r="Q753" s="2"/>
    </row>
    <row r="754" spans="1:17" ht="12.5">
      <c r="A754" s="2"/>
      <c r="B754" s="2"/>
      <c r="C754" s="2"/>
      <c r="D754" s="2"/>
      <c r="E754" s="2"/>
      <c r="F754" s="2"/>
      <c r="G754" s="2"/>
      <c r="H754" s="2"/>
      <c r="I754" s="2"/>
      <c r="J754" s="2"/>
      <c r="K754" s="2"/>
      <c r="L754" s="2"/>
      <c r="M754" s="2"/>
      <c r="N754" s="2"/>
      <c r="O754" s="2"/>
      <c r="P754" s="2"/>
      <c r="Q754" s="2"/>
    </row>
    <row r="755" spans="1:17" ht="12.5">
      <c r="A755" s="2"/>
      <c r="B755" s="2"/>
      <c r="C755" s="2"/>
      <c r="D755" s="2"/>
      <c r="E755" s="2"/>
      <c r="F755" s="2"/>
      <c r="G755" s="2"/>
      <c r="H755" s="2"/>
      <c r="I755" s="2"/>
      <c r="J755" s="2"/>
      <c r="K755" s="2"/>
      <c r="L755" s="2"/>
      <c r="M755" s="2"/>
      <c r="N755" s="2"/>
      <c r="O755" s="2"/>
      <c r="P755" s="2"/>
      <c r="Q755" s="2"/>
    </row>
    <row r="756" spans="1:17" ht="12.5">
      <c r="A756" s="2"/>
      <c r="B756" s="2"/>
      <c r="C756" s="2"/>
      <c r="D756" s="2"/>
      <c r="E756" s="2"/>
      <c r="F756" s="2"/>
      <c r="G756" s="2"/>
      <c r="H756" s="2"/>
      <c r="I756" s="2"/>
      <c r="J756" s="2"/>
      <c r="K756" s="2"/>
      <c r="L756" s="2"/>
      <c r="M756" s="2"/>
      <c r="N756" s="2"/>
      <c r="O756" s="2"/>
      <c r="P756" s="2"/>
      <c r="Q756" s="2"/>
    </row>
    <row r="757" spans="1:17" ht="12.5">
      <c r="A757" s="2"/>
      <c r="B757" s="2"/>
      <c r="C757" s="2"/>
      <c r="D757" s="2"/>
      <c r="E757" s="2"/>
      <c r="F757" s="2"/>
      <c r="G757" s="2"/>
      <c r="H757" s="2"/>
      <c r="I757" s="2"/>
      <c r="J757" s="2"/>
      <c r="K757" s="2"/>
      <c r="L757" s="2"/>
      <c r="M757" s="2"/>
      <c r="N757" s="2"/>
      <c r="O757" s="2"/>
      <c r="P757" s="2"/>
      <c r="Q757" s="2"/>
    </row>
    <row r="758" spans="1:17" ht="12.5">
      <c r="A758" s="2"/>
      <c r="B758" s="2"/>
      <c r="C758" s="2"/>
      <c r="D758" s="2"/>
      <c r="E758" s="2"/>
      <c r="F758" s="2"/>
      <c r="G758" s="2"/>
      <c r="H758" s="2"/>
      <c r="I758" s="2"/>
      <c r="J758" s="2"/>
      <c r="K758" s="2"/>
      <c r="L758" s="2"/>
      <c r="M758" s="2"/>
      <c r="N758" s="2"/>
      <c r="O758" s="2"/>
      <c r="P758" s="2"/>
      <c r="Q758" s="2"/>
    </row>
    <row r="759" spans="1:17" ht="12.5">
      <c r="A759" s="2"/>
      <c r="B759" s="2"/>
      <c r="C759" s="2"/>
      <c r="D759" s="2"/>
      <c r="E759" s="2"/>
      <c r="F759" s="2"/>
      <c r="G759" s="2"/>
      <c r="H759" s="2"/>
      <c r="I759" s="2"/>
      <c r="J759" s="2"/>
      <c r="K759" s="2"/>
      <c r="L759" s="2"/>
      <c r="M759" s="2"/>
      <c r="N759" s="2"/>
      <c r="O759" s="2"/>
      <c r="P759" s="2"/>
      <c r="Q759" s="2"/>
    </row>
    <row r="760" spans="1:17" ht="12.5">
      <c r="A760" s="2"/>
      <c r="B760" s="2"/>
      <c r="C760" s="2"/>
      <c r="D760" s="2"/>
      <c r="E760" s="2"/>
      <c r="F760" s="2"/>
      <c r="G760" s="2"/>
      <c r="H760" s="2"/>
      <c r="I760" s="2"/>
      <c r="J760" s="2"/>
      <c r="K760" s="2"/>
      <c r="L760" s="2"/>
      <c r="M760" s="2"/>
      <c r="N760" s="2"/>
      <c r="O760" s="2"/>
      <c r="P760" s="2"/>
      <c r="Q760" s="2"/>
    </row>
    <row r="761" spans="1:17" ht="12.5">
      <c r="A761" s="2"/>
      <c r="B761" s="2"/>
      <c r="C761" s="2"/>
      <c r="D761" s="2"/>
      <c r="E761" s="2"/>
      <c r="F761" s="2"/>
      <c r="G761" s="2"/>
      <c r="H761" s="2"/>
      <c r="I761" s="2"/>
      <c r="J761" s="2"/>
      <c r="K761" s="2"/>
      <c r="L761" s="2"/>
      <c r="M761" s="2"/>
      <c r="N761" s="2"/>
      <c r="O761" s="2"/>
      <c r="P761" s="2"/>
      <c r="Q761" s="2"/>
    </row>
    <row r="762" spans="1:17" ht="12.5">
      <c r="A762" s="2"/>
      <c r="B762" s="2"/>
      <c r="C762" s="2"/>
      <c r="D762" s="2"/>
      <c r="E762" s="2"/>
      <c r="F762" s="2"/>
      <c r="G762" s="2"/>
      <c r="H762" s="2"/>
      <c r="I762" s="2"/>
      <c r="J762" s="2"/>
      <c r="K762" s="2"/>
      <c r="L762" s="2"/>
      <c r="M762" s="2"/>
      <c r="N762" s="2"/>
      <c r="O762" s="2"/>
      <c r="P762" s="2"/>
      <c r="Q762" s="2"/>
    </row>
    <row r="763" spans="1:17" ht="12.5">
      <c r="A763" s="2"/>
      <c r="B763" s="2"/>
      <c r="C763" s="2"/>
      <c r="D763" s="2"/>
      <c r="E763" s="2"/>
      <c r="F763" s="2"/>
      <c r="G763" s="2"/>
      <c r="H763" s="2"/>
      <c r="I763" s="2"/>
      <c r="J763" s="2"/>
      <c r="K763" s="2"/>
      <c r="L763" s="2"/>
      <c r="M763" s="2"/>
      <c r="N763" s="2"/>
      <c r="O763" s="2"/>
      <c r="P763" s="2"/>
      <c r="Q763" s="2"/>
    </row>
    <row r="764" spans="1:17" ht="12.5">
      <c r="A764" s="2"/>
      <c r="B764" s="2"/>
      <c r="C764" s="2"/>
      <c r="D764" s="2"/>
      <c r="E764" s="2"/>
      <c r="F764" s="2"/>
      <c r="G764" s="2"/>
      <c r="H764" s="2"/>
      <c r="I764" s="2"/>
      <c r="J764" s="2"/>
      <c r="K764" s="2"/>
      <c r="L764" s="2"/>
      <c r="M764" s="2"/>
      <c r="N764" s="2"/>
      <c r="O764" s="2"/>
      <c r="P764" s="2"/>
      <c r="Q764" s="2"/>
    </row>
    <row r="765" spans="1:17" ht="12.5">
      <c r="A765" s="2"/>
      <c r="B765" s="2"/>
      <c r="C765" s="2"/>
      <c r="D765" s="2"/>
      <c r="E765" s="2"/>
      <c r="F765" s="2"/>
      <c r="G765" s="2"/>
      <c r="H765" s="2"/>
      <c r="I765" s="2"/>
      <c r="J765" s="2"/>
      <c r="K765" s="2"/>
      <c r="L765" s="2"/>
      <c r="M765" s="2"/>
      <c r="N765" s="2"/>
      <c r="O765" s="2"/>
      <c r="P765" s="2"/>
      <c r="Q765" s="2"/>
    </row>
    <row r="766" spans="1:17" ht="12.5">
      <c r="A766" s="2"/>
      <c r="B766" s="2"/>
      <c r="C766" s="2"/>
      <c r="D766" s="2"/>
      <c r="E766" s="2"/>
      <c r="F766" s="2"/>
      <c r="G766" s="2"/>
      <c r="H766" s="2"/>
      <c r="I766" s="2"/>
      <c r="J766" s="2"/>
      <c r="K766" s="2"/>
      <c r="L766" s="2"/>
      <c r="M766" s="2"/>
      <c r="N766" s="2"/>
      <c r="O766" s="2"/>
      <c r="P766" s="2"/>
      <c r="Q766" s="2"/>
    </row>
    <row r="767" spans="1:17" ht="12.5">
      <c r="A767" s="2"/>
      <c r="B767" s="2"/>
      <c r="C767" s="2"/>
      <c r="D767" s="2"/>
      <c r="E767" s="2"/>
      <c r="F767" s="2"/>
      <c r="G767" s="2"/>
      <c r="H767" s="2"/>
      <c r="I767" s="2"/>
      <c r="J767" s="2"/>
      <c r="K767" s="2"/>
      <c r="L767" s="2"/>
      <c r="M767" s="2"/>
      <c r="N767" s="2"/>
      <c r="O767" s="2"/>
      <c r="P767" s="2"/>
      <c r="Q767" s="2"/>
    </row>
    <row r="768" spans="1:17" ht="12.5">
      <c r="A768" s="2"/>
      <c r="B768" s="2"/>
      <c r="C768" s="2"/>
      <c r="D768" s="2"/>
      <c r="E768" s="2"/>
      <c r="F768" s="2"/>
      <c r="G768" s="2"/>
      <c r="H768" s="2"/>
      <c r="I768" s="2"/>
      <c r="J768" s="2"/>
      <c r="K768" s="2"/>
      <c r="L768" s="2"/>
      <c r="M768" s="2"/>
      <c r="N768" s="2"/>
      <c r="O768" s="2"/>
      <c r="P768" s="2"/>
      <c r="Q768" s="2"/>
    </row>
    <row r="769" spans="1:17" ht="12.5">
      <c r="A769" s="2"/>
      <c r="B769" s="2"/>
      <c r="C769" s="2"/>
      <c r="D769" s="2"/>
      <c r="E769" s="2"/>
      <c r="F769" s="2"/>
      <c r="G769" s="2"/>
      <c r="H769" s="2"/>
      <c r="I769" s="2"/>
      <c r="J769" s="2"/>
      <c r="K769" s="2"/>
      <c r="L769" s="2"/>
      <c r="M769" s="2"/>
      <c r="N769" s="2"/>
      <c r="O769" s="2"/>
      <c r="P769" s="2"/>
      <c r="Q769" s="2"/>
    </row>
    <row r="770" spans="1:17" ht="12.5">
      <c r="A770" s="2"/>
      <c r="B770" s="2"/>
      <c r="C770" s="2"/>
      <c r="D770" s="2"/>
      <c r="E770" s="2"/>
      <c r="F770" s="2"/>
      <c r="G770" s="2"/>
      <c r="H770" s="2"/>
      <c r="I770" s="2"/>
      <c r="J770" s="2"/>
      <c r="K770" s="2"/>
      <c r="L770" s="2"/>
      <c r="M770" s="2"/>
      <c r="N770" s="2"/>
      <c r="O770" s="2"/>
      <c r="P770" s="2"/>
      <c r="Q770" s="2"/>
    </row>
    <row r="771" spans="1:17" ht="12.5">
      <c r="A771" s="2"/>
      <c r="B771" s="2"/>
      <c r="C771" s="2"/>
      <c r="D771" s="2"/>
      <c r="E771" s="2"/>
      <c r="F771" s="2"/>
      <c r="G771" s="2"/>
      <c r="H771" s="2"/>
      <c r="I771" s="2"/>
      <c r="J771" s="2"/>
      <c r="K771" s="2"/>
      <c r="L771" s="2"/>
      <c r="M771" s="2"/>
      <c r="N771" s="2"/>
      <c r="O771" s="2"/>
      <c r="P771" s="2"/>
      <c r="Q771" s="2"/>
    </row>
    <row r="772" spans="1:17" ht="12.5">
      <c r="A772" s="2"/>
      <c r="B772" s="2"/>
      <c r="C772" s="2"/>
      <c r="D772" s="2"/>
      <c r="E772" s="2"/>
      <c r="F772" s="2"/>
      <c r="G772" s="2"/>
      <c r="H772" s="2"/>
      <c r="I772" s="2"/>
      <c r="J772" s="2"/>
      <c r="K772" s="2"/>
      <c r="L772" s="2"/>
      <c r="M772" s="2"/>
      <c r="N772" s="2"/>
      <c r="O772" s="2"/>
      <c r="P772" s="2"/>
      <c r="Q772" s="2"/>
    </row>
    <row r="773" spans="1:17" ht="12.5">
      <c r="A773" s="2"/>
      <c r="B773" s="2"/>
      <c r="C773" s="2"/>
      <c r="D773" s="2"/>
      <c r="E773" s="2"/>
      <c r="F773" s="2"/>
      <c r="G773" s="2"/>
      <c r="H773" s="2"/>
      <c r="I773" s="2"/>
      <c r="J773" s="2"/>
      <c r="K773" s="2"/>
      <c r="L773" s="2"/>
      <c r="M773" s="2"/>
      <c r="N773" s="2"/>
      <c r="O773" s="2"/>
      <c r="P773" s="2"/>
      <c r="Q773" s="2"/>
    </row>
    <row r="774" spans="1:17" ht="12.5">
      <c r="A774" s="2"/>
      <c r="B774" s="2"/>
      <c r="C774" s="2"/>
      <c r="D774" s="2"/>
      <c r="E774" s="2"/>
      <c r="F774" s="2"/>
      <c r="G774" s="2"/>
      <c r="H774" s="2"/>
      <c r="I774" s="2"/>
      <c r="J774" s="2"/>
      <c r="K774" s="2"/>
      <c r="L774" s="2"/>
      <c r="M774" s="2"/>
      <c r="N774" s="2"/>
      <c r="O774" s="2"/>
      <c r="P774" s="2"/>
      <c r="Q774" s="2"/>
    </row>
    <row r="775" spans="1:17" ht="12.5">
      <c r="A775" s="2"/>
      <c r="B775" s="2"/>
      <c r="C775" s="2"/>
      <c r="D775" s="2"/>
      <c r="E775" s="2"/>
      <c r="F775" s="2"/>
      <c r="G775" s="2"/>
      <c r="H775" s="2"/>
      <c r="I775" s="2"/>
      <c r="J775" s="2"/>
      <c r="K775" s="2"/>
      <c r="L775" s="2"/>
      <c r="M775" s="2"/>
      <c r="N775" s="2"/>
      <c r="O775" s="2"/>
      <c r="P775" s="2"/>
      <c r="Q775" s="2"/>
    </row>
    <row r="776" spans="1:17" ht="12.5">
      <c r="A776" s="2"/>
      <c r="B776" s="2"/>
      <c r="C776" s="2"/>
      <c r="D776" s="2"/>
      <c r="E776" s="2"/>
      <c r="F776" s="2"/>
      <c r="G776" s="2"/>
      <c r="H776" s="2"/>
      <c r="I776" s="2"/>
      <c r="J776" s="2"/>
      <c r="K776" s="2"/>
      <c r="L776" s="2"/>
      <c r="M776" s="2"/>
      <c r="N776" s="2"/>
      <c r="O776" s="2"/>
      <c r="P776" s="2"/>
      <c r="Q776" s="2"/>
    </row>
    <row r="777" spans="1:17" ht="12.5">
      <c r="A777" s="2"/>
      <c r="B777" s="2"/>
      <c r="C777" s="2"/>
      <c r="D777" s="2"/>
      <c r="E777" s="2"/>
      <c r="F777" s="2"/>
      <c r="G777" s="2"/>
      <c r="H777" s="2"/>
      <c r="I777" s="2"/>
      <c r="J777" s="2"/>
      <c r="K777" s="2"/>
      <c r="L777" s="2"/>
      <c r="M777" s="2"/>
      <c r="N777" s="2"/>
      <c r="O777" s="2"/>
      <c r="P777" s="2"/>
      <c r="Q777" s="2"/>
    </row>
    <row r="778" spans="1:17" ht="12.5">
      <c r="A778" s="2"/>
      <c r="B778" s="2"/>
      <c r="C778" s="2"/>
      <c r="D778" s="2"/>
      <c r="E778" s="2"/>
      <c r="F778" s="2"/>
      <c r="G778" s="2"/>
      <c r="H778" s="2"/>
      <c r="I778" s="2"/>
      <c r="J778" s="2"/>
      <c r="K778" s="2"/>
      <c r="L778" s="2"/>
      <c r="M778" s="2"/>
      <c r="N778" s="2"/>
      <c r="O778" s="2"/>
      <c r="P778" s="2"/>
      <c r="Q778" s="2"/>
    </row>
    <row r="779" spans="1:17" ht="12.5">
      <c r="A779" s="2"/>
      <c r="B779" s="2"/>
      <c r="C779" s="2"/>
      <c r="D779" s="2"/>
      <c r="E779" s="2"/>
      <c r="F779" s="2"/>
      <c r="G779" s="2"/>
      <c r="H779" s="2"/>
      <c r="I779" s="2"/>
      <c r="J779" s="2"/>
      <c r="K779" s="2"/>
      <c r="L779" s="2"/>
      <c r="M779" s="2"/>
      <c r="N779" s="2"/>
      <c r="O779" s="2"/>
      <c r="P779" s="2"/>
      <c r="Q779" s="2"/>
    </row>
    <row r="780" spans="1:17" ht="12.5">
      <c r="A780" s="2"/>
      <c r="B780" s="2"/>
      <c r="C780" s="2"/>
      <c r="D780" s="2"/>
      <c r="E780" s="2"/>
      <c r="F780" s="2"/>
      <c r="G780" s="2"/>
      <c r="H780" s="2"/>
      <c r="I780" s="2"/>
      <c r="J780" s="2"/>
      <c r="K780" s="2"/>
      <c r="L780" s="2"/>
      <c r="M780" s="2"/>
      <c r="N780" s="2"/>
      <c r="O780" s="2"/>
      <c r="P780" s="2"/>
      <c r="Q780" s="2"/>
    </row>
    <row r="781" spans="1:17" ht="12.5">
      <c r="A781" s="2"/>
      <c r="B781" s="2"/>
      <c r="C781" s="2"/>
      <c r="D781" s="2"/>
      <c r="E781" s="2"/>
      <c r="F781" s="2"/>
      <c r="G781" s="2"/>
      <c r="H781" s="2"/>
      <c r="I781" s="2"/>
      <c r="J781" s="2"/>
      <c r="K781" s="2"/>
      <c r="L781" s="2"/>
      <c r="M781" s="2"/>
      <c r="N781" s="2"/>
      <c r="O781" s="2"/>
      <c r="P781" s="2"/>
      <c r="Q781" s="2"/>
    </row>
    <row r="782" spans="1:17" ht="12.5">
      <c r="A782" s="2"/>
      <c r="B782" s="2"/>
      <c r="C782" s="2"/>
      <c r="D782" s="2"/>
      <c r="E782" s="2"/>
      <c r="F782" s="2"/>
      <c r="G782" s="2"/>
      <c r="H782" s="2"/>
      <c r="I782" s="2"/>
      <c r="J782" s="2"/>
      <c r="K782" s="2"/>
      <c r="L782" s="2"/>
      <c r="M782" s="2"/>
      <c r="N782" s="2"/>
      <c r="O782" s="2"/>
      <c r="P782" s="2"/>
      <c r="Q782" s="2"/>
    </row>
    <row r="783" spans="1:17" ht="12.5">
      <c r="A783" s="2"/>
      <c r="B783" s="2"/>
      <c r="C783" s="2"/>
      <c r="D783" s="2"/>
      <c r="E783" s="2"/>
      <c r="F783" s="2"/>
      <c r="G783" s="2"/>
      <c r="H783" s="2"/>
      <c r="I783" s="2"/>
      <c r="J783" s="2"/>
      <c r="K783" s="2"/>
      <c r="L783" s="2"/>
      <c r="M783" s="2"/>
      <c r="N783" s="2"/>
      <c r="O783" s="2"/>
      <c r="P783" s="2"/>
      <c r="Q783" s="2"/>
    </row>
    <row r="784" spans="1:17" ht="12.5">
      <c r="A784" s="2"/>
      <c r="B784" s="2"/>
      <c r="C784" s="2"/>
      <c r="D784" s="2"/>
      <c r="E784" s="2"/>
      <c r="F784" s="2"/>
      <c r="G784" s="2"/>
      <c r="H784" s="2"/>
      <c r="I784" s="2"/>
      <c r="J784" s="2"/>
      <c r="K784" s="2"/>
      <c r="L784" s="2"/>
      <c r="M784" s="2"/>
      <c r="N784" s="2"/>
      <c r="O784" s="2"/>
      <c r="P784" s="2"/>
      <c r="Q784" s="2"/>
    </row>
    <row r="785" spans="1:17" ht="12.5">
      <c r="A785" s="2"/>
      <c r="B785" s="2"/>
      <c r="C785" s="2"/>
      <c r="D785" s="2"/>
      <c r="E785" s="2"/>
      <c r="F785" s="2"/>
      <c r="G785" s="2"/>
      <c r="H785" s="2"/>
      <c r="I785" s="2"/>
      <c r="J785" s="2"/>
      <c r="K785" s="2"/>
      <c r="L785" s="2"/>
      <c r="M785" s="2"/>
      <c r="N785" s="2"/>
      <c r="O785" s="2"/>
      <c r="P785" s="2"/>
      <c r="Q785" s="2"/>
    </row>
    <row r="786" spans="1:17" ht="12.5">
      <c r="A786" s="2"/>
      <c r="B786" s="2"/>
      <c r="C786" s="2"/>
      <c r="D786" s="2"/>
      <c r="E786" s="2"/>
      <c r="F786" s="2"/>
      <c r="G786" s="2"/>
      <c r="H786" s="2"/>
      <c r="I786" s="2"/>
      <c r="J786" s="2"/>
      <c r="K786" s="2"/>
      <c r="L786" s="2"/>
      <c r="M786" s="2"/>
      <c r="N786" s="2"/>
      <c r="O786" s="2"/>
      <c r="P786" s="2"/>
      <c r="Q786" s="2"/>
    </row>
    <row r="787" spans="1:17" ht="12.5">
      <c r="A787" s="2"/>
      <c r="B787" s="2"/>
      <c r="C787" s="2"/>
      <c r="D787" s="2"/>
      <c r="E787" s="2"/>
      <c r="F787" s="2"/>
      <c r="G787" s="2"/>
      <c r="H787" s="2"/>
      <c r="I787" s="2"/>
      <c r="J787" s="2"/>
      <c r="K787" s="2"/>
      <c r="L787" s="2"/>
      <c r="M787" s="2"/>
      <c r="N787" s="2"/>
      <c r="O787" s="2"/>
      <c r="P787" s="2"/>
      <c r="Q787" s="2"/>
    </row>
    <row r="788" spans="1:17" ht="12.5">
      <c r="A788" s="2"/>
      <c r="B788" s="2"/>
      <c r="C788" s="2"/>
      <c r="D788" s="2"/>
      <c r="E788" s="2"/>
      <c r="F788" s="2"/>
      <c r="G788" s="2"/>
      <c r="H788" s="2"/>
      <c r="I788" s="2"/>
      <c r="J788" s="2"/>
      <c r="K788" s="2"/>
      <c r="L788" s="2"/>
      <c r="M788" s="2"/>
      <c r="N788" s="2"/>
      <c r="O788" s="2"/>
      <c r="P788" s="2"/>
      <c r="Q788" s="2"/>
    </row>
    <row r="789" spans="1:17" ht="12.5">
      <c r="A789" s="2"/>
      <c r="B789" s="2"/>
      <c r="C789" s="2"/>
      <c r="D789" s="2"/>
      <c r="E789" s="2"/>
      <c r="F789" s="2"/>
      <c r="G789" s="2"/>
      <c r="H789" s="2"/>
      <c r="I789" s="2"/>
      <c r="J789" s="2"/>
      <c r="K789" s="2"/>
      <c r="L789" s="2"/>
      <c r="M789" s="2"/>
      <c r="N789" s="2"/>
      <c r="O789" s="2"/>
      <c r="P789" s="2"/>
      <c r="Q789" s="2"/>
    </row>
    <row r="790" spans="1:17" ht="12.5">
      <c r="A790" s="2"/>
      <c r="B790" s="2"/>
      <c r="C790" s="2"/>
      <c r="D790" s="2"/>
      <c r="E790" s="2"/>
      <c r="F790" s="2"/>
      <c r="G790" s="2"/>
      <c r="H790" s="2"/>
      <c r="I790" s="2"/>
      <c r="J790" s="2"/>
      <c r="K790" s="2"/>
      <c r="L790" s="2"/>
      <c r="M790" s="2"/>
      <c r="N790" s="2"/>
      <c r="O790" s="2"/>
      <c r="P790" s="2"/>
      <c r="Q790" s="2"/>
    </row>
    <row r="791" spans="1:17" ht="12.5">
      <c r="A791" s="2"/>
      <c r="B791" s="2"/>
      <c r="C791" s="2"/>
      <c r="D791" s="2"/>
      <c r="E791" s="2"/>
      <c r="F791" s="2"/>
      <c r="G791" s="2"/>
      <c r="H791" s="2"/>
      <c r="I791" s="2"/>
      <c r="J791" s="2"/>
      <c r="K791" s="2"/>
      <c r="L791" s="2"/>
      <c r="M791" s="2"/>
      <c r="N791" s="2"/>
      <c r="O791" s="2"/>
      <c r="P791" s="2"/>
      <c r="Q791" s="2"/>
    </row>
    <row r="792" spans="1:17" ht="12.5">
      <c r="A792" s="2"/>
      <c r="B792" s="2"/>
      <c r="C792" s="2"/>
      <c r="D792" s="2"/>
      <c r="E792" s="2"/>
      <c r="F792" s="2"/>
      <c r="G792" s="2"/>
      <c r="H792" s="2"/>
      <c r="I792" s="2"/>
      <c r="J792" s="2"/>
      <c r="K792" s="2"/>
      <c r="L792" s="2"/>
      <c r="M792" s="2"/>
      <c r="N792" s="2"/>
      <c r="O792" s="2"/>
      <c r="P792" s="2"/>
      <c r="Q792" s="2"/>
    </row>
    <row r="793" spans="1:17" ht="12.5">
      <c r="A793" s="2"/>
      <c r="B793" s="2"/>
      <c r="C793" s="2"/>
      <c r="D793" s="2"/>
      <c r="E793" s="2"/>
      <c r="F793" s="2"/>
      <c r="G793" s="2"/>
      <c r="H793" s="2"/>
      <c r="I793" s="2"/>
      <c r="J793" s="2"/>
      <c r="K793" s="2"/>
      <c r="L793" s="2"/>
      <c r="M793" s="2"/>
      <c r="N793" s="2"/>
      <c r="O793" s="2"/>
      <c r="P793" s="2"/>
      <c r="Q793" s="2"/>
    </row>
    <row r="794" spans="1:17" ht="12.5">
      <c r="A794" s="2"/>
      <c r="B794" s="2"/>
      <c r="C794" s="2"/>
      <c r="D794" s="2"/>
      <c r="E794" s="2"/>
      <c r="F794" s="2"/>
      <c r="G794" s="2"/>
      <c r="H794" s="2"/>
      <c r="I794" s="2"/>
      <c r="J794" s="2"/>
      <c r="K794" s="2"/>
      <c r="L794" s="2"/>
      <c r="M794" s="2"/>
      <c r="N794" s="2"/>
      <c r="O794" s="2"/>
      <c r="P794" s="2"/>
      <c r="Q794" s="2"/>
    </row>
    <row r="795" spans="1:17" ht="12.5">
      <c r="A795" s="2"/>
      <c r="B795" s="2"/>
      <c r="C795" s="2"/>
      <c r="D795" s="2"/>
      <c r="E795" s="2"/>
      <c r="F795" s="2"/>
      <c r="G795" s="2"/>
      <c r="H795" s="2"/>
      <c r="I795" s="2"/>
      <c r="J795" s="2"/>
      <c r="K795" s="2"/>
      <c r="L795" s="2"/>
      <c r="M795" s="2"/>
      <c r="N795" s="2"/>
      <c r="O795" s="2"/>
      <c r="P795" s="2"/>
      <c r="Q795" s="2"/>
    </row>
    <row r="796" spans="1:17" ht="12.5">
      <c r="A796" s="2"/>
      <c r="B796" s="2"/>
      <c r="C796" s="2"/>
      <c r="D796" s="2"/>
      <c r="E796" s="2"/>
      <c r="F796" s="2"/>
      <c r="G796" s="2"/>
      <c r="H796" s="2"/>
      <c r="I796" s="2"/>
      <c r="J796" s="2"/>
      <c r="K796" s="2"/>
      <c r="L796" s="2"/>
      <c r="M796" s="2"/>
      <c r="N796" s="2"/>
      <c r="O796" s="2"/>
      <c r="P796" s="2"/>
      <c r="Q796" s="2"/>
    </row>
    <row r="797" spans="1:17" ht="12.5">
      <c r="A797" s="2"/>
      <c r="B797" s="2"/>
      <c r="C797" s="2"/>
      <c r="D797" s="2"/>
      <c r="E797" s="2"/>
      <c r="F797" s="2"/>
      <c r="G797" s="2"/>
      <c r="H797" s="2"/>
      <c r="I797" s="2"/>
      <c r="J797" s="2"/>
      <c r="K797" s="2"/>
      <c r="L797" s="2"/>
      <c r="M797" s="2"/>
      <c r="N797" s="2"/>
      <c r="O797" s="2"/>
      <c r="P797" s="2"/>
      <c r="Q797" s="2"/>
    </row>
    <row r="798" spans="1:17" ht="12.5">
      <c r="A798" s="2"/>
      <c r="B798" s="2"/>
      <c r="C798" s="2"/>
      <c r="D798" s="2"/>
      <c r="E798" s="2"/>
      <c r="F798" s="2"/>
      <c r="G798" s="2"/>
      <c r="H798" s="2"/>
      <c r="I798" s="2"/>
      <c r="J798" s="2"/>
      <c r="K798" s="2"/>
      <c r="L798" s="2"/>
      <c r="M798" s="2"/>
      <c r="N798" s="2"/>
      <c r="O798" s="2"/>
      <c r="P798" s="2"/>
      <c r="Q798" s="2"/>
    </row>
    <row r="799" spans="1:17" ht="12.5">
      <c r="A799" s="2"/>
      <c r="B799" s="2"/>
      <c r="C799" s="2"/>
      <c r="D799" s="2"/>
      <c r="E799" s="2"/>
      <c r="F799" s="2"/>
      <c r="G799" s="2"/>
      <c r="H799" s="2"/>
      <c r="I799" s="2"/>
      <c r="J799" s="2"/>
      <c r="K799" s="2"/>
      <c r="L799" s="2"/>
      <c r="M799" s="2"/>
      <c r="N799" s="2"/>
      <c r="O799" s="2"/>
      <c r="P799" s="2"/>
      <c r="Q799" s="2"/>
    </row>
    <row r="800" spans="1:17" ht="12.5">
      <c r="A800" s="2"/>
      <c r="B800" s="2"/>
      <c r="C800" s="2"/>
      <c r="D800" s="2"/>
      <c r="E800" s="2"/>
      <c r="F800" s="2"/>
      <c r="G800" s="2"/>
      <c r="H800" s="2"/>
      <c r="I800" s="2"/>
      <c r="J800" s="2"/>
      <c r="K800" s="2"/>
      <c r="L800" s="2"/>
      <c r="M800" s="2"/>
      <c r="N800" s="2"/>
      <c r="O800" s="2"/>
      <c r="P800" s="2"/>
      <c r="Q800" s="2"/>
    </row>
    <row r="801" spans="1:17" ht="12.5">
      <c r="A801" s="2"/>
      <c r="B801" s="2"/>
      <c r="C801" s="2"/>
      <c r="D801" s="2"/>
      <c r="E801" s="2"/>
      <c r="F801" s="2"/>
      <c r="G801" s="2"/>
      <c r="H801" s="2"/>
      <c r="I801" s="2"/>
      <c r="J801" s="2"/>
      <c r="K801" s="2"/>
      <c r="L801" s="2"/>
      <c r="M801" s="2"/>
      <c r="N801" s="2"/>
      <c r="O801" s="2"/>
      <c r="P801" s="2"/>
      <c r="Q801" s="2"/>
    </row>
    <row r="802" spans="1:17" ht="12.5">
      <c r="A802" s="2"/>
      <c r="B802" s="2"/>
      <c r="C802" s="2"/>
      <c r="D802" s="2"/>
      <c r="E802" s="2"/>
      <c r="F802" s="2"/>
      <c r="G802" s="2"/>
      <c r="H802" s="2"/>
      <c r="I802" s="2"/>
      <c r="J802" s="2"/>
      <c r="K802" s="2"/>
      <c r="L802" s="2"/>
      <c r="M802" s="2"/>
      <c r="N802" s="2"/>
      <c r="O802" s="2"/>
      <c r="P802" s="2"/>
      <c r="Q802" s="2"/>
    </row>
    <row r="803" spans="1:17" ht="12.5">
      <c r="A803" s="2"/>
      <c r="B803" s="2"/>
      <c r="C803" s="2"/>
      <c r="D803" s="2"/>
      <c r="E803" s="2"/>
      <c r="F803" s="2"/>
      <c r="G803" s="2"/>
      <c r="H803" s="2"/>
      <c r="I803" s="2"/>
      <c r="J803" s="2"/>
      <c r="K803" s="2"/>
      <c r="L803" s="2"/>
      <c r="M803" s="2"/>
      <c r="N803" s="2"/>
      <c r="O803" s="2"/>
      <c r="P803" s="2"/>
      <c r="Q803" s="2"/>
    </row>
    <row r="804" spans="1:17" ht="12.5">
      <c r="A804" s="2"/>
      <c r="B804" s="2"/>
      <c r="C804" s="2"/>
      <c r="D804" s="2"/>
      <c r="E804" s="2"/>
      <c r="F804" s="2"/>
      <c r="G804" s="2"/>
      <c r="H804" s="2"/>
      <c r="I804" s="2"/>
      <c r="J804" s="2"/>
      <c r="K804" s="2"/>
      <c r="L804" s="2"/>
      <c r="M804" s="2"/>
      <c r="N804" s="2"/>
      <c r="O804" s="2"/>
      <c r="P804" s="2"/>
      <c r="Q804" s="2"/>
    </row>
    <row r="805" spans="1:17" ht="12.5">
      <c r="A805" s="2"/>
      <c r="B805" s="2"/>
      <c r="C805" s="2"/>
      <c r="D805" s="2"/>
      <c r="E805" s="2"/>
      <c r="F805" s="2"/>
      <c r="G805" s="2"/>
      <c r="H805" s="2"/>
      <c r="I805" s="2"/>
      <c r="J805" s="2"/>
      <c r="K805" s="2"/>
      <c r="L805" s="2"/>
      <c r="M805" s="2"/>
      <c r="N805" s="2"/>
      <c r="O805" s="2"/>
      <c r="P805" s="2"/>
      <c r="Q805" s="2"/>
    </row>
    <row r="806" spans="1:17" ht="12.5">
      <c r="A806" s="2"/>
      <c r="B806" s="2"/>
      <c r="C806" s="2"/>
      <c r="D806" s="2"/>
      <c r="E806" s="2"/>
      <c r="F806" s="2"/>
      <c r="G806" s="2"/>
      <c r="H806" s="2"/>
      <c r="I806" s="2"/>
      <c r="J806" s="2"/>
      <c r="K806" s="2"/>
      <c r="L806" s="2"/>
      <c r="M806" s="2"/>
      <c r="N806" s="2"/>
      <c r="O806" s="2"/>
      <c r="P806" s="2"/>
      <c r="Q806" s="2"/>
    </row>
    <row r="807" spans="1:17" ht="12.5">
      <c r="A807" s="2"/>
      <c r="B807" s="2"/>
      <c r="C807" s="2"/>
      <c r="D807" s="2"/>
      <c r="E807" s="2"/>
      <c r="F807" s="2"/>
      <c r="G807" s="2"/>
      <c r="H807" s="2"/>
      <c r="I807" s="2"/>
      <c r="J807" s="2"/>
      <c r="K807" s="2"/>
      <c r="L807" s="2"/>
      <c r="M807" s="2"/>
      <c r="N807" s="2"/>
      <c r="O807" s="2"/>
      <c r="P807" s="2"/>
      <c r="Q807" s="2"/>
    </row>
    <row r="808" spans="1:17" ht="12.5">
      <c r="A808" s="2"/>
      <c r="B808" s="2"/>
      <c r="C808" s="2"/>
      <c r="D808" s="2"/>
      <c r="E808" s="2"/>
      <c r="F808" s="2"/>
      <c r="G808" s="2"/>
      <c r="H808" s="2"/>
      <c r="I808" s="2"/>
      <c r="J808" s="2"/>
      <c r="K808" s="2"/>
      <c r="L808" s="2"/>
      <c r="M808" s="2"/>
      <c r="N808" s="2"/>
      <c r="O808" s="2"/>
      <c r="P808" s="2"/>
      <c r="Q808" s="2"/>
    </row>
    <row r="809" spans="1:17" ht="12.5">
      <c r="A809" s="2"/>
      <c r="B809" s="2"/>
      <c r="C809" s="2"/>
      <c r="D809" s="2"/>
      <c r="E809" s="2"/>
      <c r="F809" s="2"/>
      <c r="G809" s="2"/>
      <c r="H809" s="2"/>
      <c r="I809" s="2"/>
      <c r="J809" s="2"/>
      <c r="K809" s="2"/>
      <c r="L809" s="2"/>
      <c r="M809" s="2"/>
      <c r="N809" s="2"/>
      <c r="O809" s="2"/>
      <c r="P809" s="2"/>
      <c r="Q809" s="2"/>
    </row>
    <row r="810" spans="1:17" ht="12.5">
      <c r="A810" s="2"/>
      <c r="B810" s="2"/>
      <c r="C810" s="2"/>
      <c r="D810" s="2"/>
      <c r="E810" s="2"/>
      <c r="F810" s="2"/>
      <c r="G810" s="2"/>
      <c r="H810" s="2"/>
      <c r="I810" s="2"/>
      <c r="J810" s="2"/>
      <c r="K810" s="2"/>
      <c r="L810" s="2"/>
      <c r="M810" s="2"/>
      <c r="N810" s="2"/>
      <c r="O810" s="2"/>
      <c r="P810" s="2"/>
      <c r="Q810" s="2"/>
    </row>
    <row r="811" spans="1:17" ht="12.5">
      <c r="A811" s="2"/>
      <c r="B811" s="2"/>
      <c r="C811" s="2"/>
      <c r="D811" s="2"/>
      <c r="E811" s="2"/>
      <c r="F811" s="2"/>
      <c r="G811" s="2"/>
      <c r="H811" s="2"/>
      <c r="I811" s="2"/>
      <c r="J811" s="2"/>
      <c r="K811" s="2"/>
      <c r="L811" s="2"/>
      <c r="M811" s="2"/>
      <c r="N811" s="2"/>
      <c r="O811" s="2"/>
      <c r="P811" s="2"/>
      <c r="Q811" s="2"/>
    </row>
    <row r="812" spans="1:17" ht="12.5">
      <c r="A812" s="2"/>
      <c r="B812" s="2"/>
      <c r="C812" s="2"/>
      <c r="D812" s="2"/>
      <c r="E812" s="2"/>
      <c r="F812" s="2"/>
      <c r="G812" s="2"/>
      <c r="H812" s="2"/>
      <c r="I812" s="2"/>
      <c r="J812" s="2"/>
      <c r="K812" s="2"/>
      <c r="L812" s="2"/>
      <c r="M812" s="2"/>
      <c r="N812" s="2"/>
      <c r="O812" s="2"/>
      <c r="P812" s="2"/>
      <c r="Q812" s="2"/>
    </row>
    <row r="813" spans="1:17" ht="12.5">
      <c r="A813" s="2"/>
      <c r="B813" s="2"/>
      <c r="C813" s="2"/>
      <c r="D813" s="2"/>
      <c r="E813" s="2"/>
      <c r="F813" s="2"/>
      <c r="G813" s="2"/>
      <c r="H813" s="2"/>
      <c r="I813" s="2"/>
      <c r="J813" s="2"/>
      <c r="K813" s="2"/>
      <c r="L813" s="2"/>
      <c r="M813" s="2"/>
      <c r="N813" s="2"/>
      <c r="O813" s="2"/>
      <c r="P813" s="2"/>
      <c r="Q813" s="2"/>
    </row>
    <row r="814" spans="1:17" ht="12.5">
      <c r="A814" s="2"/>
      <c r="B814" s="2"/>
      <c r="C814" s="2"/>
      <c r="D814" s="2"/>
      <c r="E814" s="2"/>
      <c r="F814" s="2"/>
      <c r="G814" s="2"/>
      <c r="H814" s="2"/>
      <c r="I814" s="2"/>
      <c r="J814" s="2"/>
      <c r="K814" s="2"/>
      <c r="L814" s="2"/>
      <c r="M814" s="2"/>
      <c r="N814" s="2"/>
      <c r="O814" s="2"/>
      <c r="P814" s="2"/>
      <c r="Q814" s="2"/>
    </row>
    <row r="815" spans="1:17" ht="12.5">
      <c r="A815" s="2"/>
      <c r="B815" s="2"/>
      <c r="C815" s="2"/>
      <c r="D815" s="2"/>
      <c r="E815" s="2"/>
      <c r="F815" s="2"/>
      <c r="G815" s="2"/>
      <c r="H815" s="2"/>
      <c r="I815" s="2"/>
      <c r="J815" s="2"/>
      <c r="K815" s="2"/>
      <c r="L815" s="2"/>
      <c r="M815" s="2"/>
      <c r="N815" s="2"/>
      <c r="O815" s="2"/>
      <c r="P815" s="2"/>
      <c r="Q815" s="2"/>
    </row>
    <row r="816" spans="1:17" ht="12.5">
      <c r="A816" s="2"/>
      <c r="B816" s="2"/>
      <c r="C816" s="2"/>
      <c r="D816" s="2"/>
      <c r="E816" s="2"/>
      <c r="F816" s="2"/>
      <c r="G816" s="2"/>
      <c r="H816" s="2"/>
      <c r="I816" s="2"/>
      <c r="J816" s="2"/>
      <c r="K816" s="2"/>
      <c r="L816" s="2"/>
      <c r="M816" s="2"/>
      <c r="N816" s="2"/>
      <c r="O816" s="2"/>
      <c r="P816" s="2"/>
      <c r="Q816" s="2"/>
    </row>
    <row r="817" spans="1:17" ht="12.5">
      <c r="A817" s="2"/>
      <c r="B817" s="2"/>
      <c r="C817" s="2"/>
      <c r="D817" s="2"/>
      <c r="E817" s="2"/>
      <c r="F817" s="2"/>
      <c r="G817" s="2"/>
      <c r="H817" s="2"/>
      <c r="I817" s="2"/>
      <c r="J817" s="2"/>
      <c r="K817" s="2"/>
      <c r="L817" s="2"/>
      <c r="M817" s="2"/>
      <c r="N817" s="2"/>
      <c r="O817" s="2"/>
      <c r="P817" s="2"/>
      <c r="Q817" s="2"/>
    </row>
    <row r="818" spans="1:17" ht="12.5">
      <c r="A818" s="2"/>
      <c r="B818" s="2"/>
      <c r="C818" s="2"/>
      <c r="D818" s="2"/>
      <c r="E818" s="2"/>
      <c r="F818" s="2"/>
      <c r="G818" s="2"/>
      <c r="H818" s="2"/>
      <c r="I818" s="2"/>
      <c r="J818" s="2"/>
      <c r="K818" s="2"/>
      <c r="L818" s="2"/>
      <c r="M818" s="2"/>
      <c r="N818" s="2"/>
      <c r="O818" s="2"/>
      <c r="P818" s="2"/>
      <c r="Q818" s="2"/>
    </row>
    <row r="819" spans="1:17" ht="12.5">
      <c r="A819" s="2"/>
      <c r="B819" s="2"/>
      <c r="C819" s="2"/>
      <c r="D819" s="2"/>
      <c r="E819" s="2"/>
      <c r="F819" s="2"/>
      <c r="G819" s="2"/>
      <c r="H819" s="2"/>
      <c r="I819" s="2"/>
      <c r="J819" s="2"/>
      <c r="K819" s="2"/>
      <c r="L819" s="2"/>
      <c r="M819" s="2"/>
      <c r="N819" s="2"/>
      <c r="O819" s="2"/>
      <c r="P819" s="2"/>
      <c r="Q819" s="2"/>
    </row>
    <row r="820" spans="1:17" ht="12.5">
      <c r="A820" s="2"/>
      <c r="B820" s="2"/>
      <c r="C820" s="2"/>
      <c r="D820" s="2"/>
      <c r="E820" s="2"/>
      <c r="F820" s="2"/>
      <c r="G820" s="2"/>
      <c r="H820" s="2"/>
      <c r="I820" s="2"/>
      <c r="J820" s="2"/>
      <c r="K820" s="2"/>
      <c r="L820" s="2"/>
      <c r="M820" s="2"/>
      <c r="N820" s="2"/>
      <c r="O820" s="2"/>
      <c r="P820" s="2"/>
      <c r="Q820" s="2"/>
    </row>
    <row r="821" spans="1:17" ht="12.5">
      <c r="A821" s="2"/>
      <c r="B821" s="2"/>
      <c r="C821" s="2"/>
      <c r="D821" s="2"/>
      <c r="E821" s="2"/>
      <c r="F821" s="2"/>
      <c r="G821" s="2"/>
      <c r="H821" s="2"/>
      <c r="I821" s="2"/>
      <c r="J821" s="2"/>
      <c r="K821" s="2"/>
      <c r="L821" s="2"/>
      <c r="M821" s="2"/>
      <c r="N821" s="2"/>
      <c r="O821" s="2"/>
      <c r="P821" s="2"/>
      <c r="Q821" s="2"/>
    </row>
    <row r="822" spans="1:17" ht="12.5">
      <c r="A822" s="2"/>
      <c r="B822" s="2"/>
      <c r="C822" s="2"/>
      <c r="D822" s="2"/>
      <c r="E822" s="2"/>
      <c r="F822" s="2"/>
      <c r="G822" s="2"/>
      <c r="H822" s="2"/>
      <c r="I822" s="2"/>
      <c r="J822" s="2"/>
      <c r="K822" s="2"/>
      <c r="L822" s="2"/>
      <c r="M822" s="2"/>
      <c r="N822" s="2"/>
      <c r="O822" s="2"/>
      <c r="P822" s="2"/>
      <c r="Q822" s="2"/>
    </row>
    <row r="823" spans="1:17" ht="12.5">
      <c r="A823" s="2"/>
      <c r="B823" s="2"/>
      <c r="C823" s="2"/>
      <c r="D823" s="2"/>
      <c r="E823" s="2"/>
      <c r="F823" s="2"/>
      <c r="G823" s="2"/>
      <c r="H823" s="2"/>
      <c r="I823" s="2"/>
      <c r="J823" s="2"/>
      <c r="K823" s="2"/>
      <c r="L823" s="2"/>
      <c r="M823" s="2"/>
      <c r="N823" s="2"/>
      <c r="O823" s="2"/>
      <c r="P823" s="2"/>
      <c r="Q823" s="2"/>
    </row>
    <row r="824" spans="1:17" ht="12.5">
      <c r="A824" s="2"/>
      <c r="B824" s="2"/>
      <c r="C824" s="2"/>
      <c r="D824" s="2"/>
      <c r="E824" s="2"/>
      <c r="F824" s="2"/>
      <c r="G824" s="2"/>
      <c r="H824" s="2"/>
      <c r="I824" s="2"/>
      <c r="J824" s="2"/>
      <c r="K824" s="2"/>
      <c r="L824" s="2"/>
      <c r="M824" s="2"/>
      <c r="N824" s="2"/>
      <c r="O824" s="2"/>
      <c r="P824" s="2"/>
      <c r="Q824" s="2"/>
    </row>
    <row r="825" spans="1:17" ht="12.5">
      <c r="A825" s="2"/>
      <c r="B825" s="2"/>
      <c r="C825" s="2"/>
      <c r="D825" s="2"/>
      <c r="E825" s="2"/>
      <c r="F825" s="2"/>
      <c r="G825" s="2"/>
      <c r="H825" s="2"/>
      <c r="I825" s="2"/>
      <c r="J825" s="2"/>
      <c r="K825" s="2"/>
      <c r="L825" s="2"/>
      <c r="M825" s="2"/>
      <c r="N825" s="2"/>
      <c r="O825" s="2"/>
      <c r="P825" s="2"/>
      <c r="Q825" s="2"/>
    </row>
    <row r="826" spans="1:17" ht="12.5">
      <c r="A826" s="2"/>
      <c r="B826" s="2"/>
      <c r="C826" s="2"/>
      <c r="D826" s="2"/>
      <c r="E826" s="2"/>
      <c r="F826" s="2"/>
      <c r="G826" s="2"/>
      <c r="H826" s="2"/>
      <c r="I826" s="2"/>
      <c r="J826" s="2"/>
      <c r="K826" s="2"/>
      <c r="L826" s="2"/>
      <c r="M826" s="2"/>
      <c r="N826" s="2"/>
      <c r="O826" s="2"/>
      <c r="P826" s="2"/>
      <c r="Q826" s="2"/>
    </row>
    <row r="827" spans="1:17" ht="12.5">
      <c r="A827" s="2"/>
      <c r="B827" s="2"/>
      <c r="C827" s="2"/>
      <c r="D827" s="2"/>
      <c r="E827" s="2"/>
      <c r="F827" s="2"/>
      <c r="G827" s="2"/>
      <c r="H827" s="2"/>
      <c r="I827" s="2"/>
      <c r="J827" s="2"/>
      <c r="K827" s="2"/>
      <c r="L827" s="2"/>
      <c r="M827" s="2"/>
      <c r="N827" s="2"/>
      <c r="O827" s="2"/>
      <c r="P827" s="2"/>
      <c r="Q827" s="2"/>
    </row>
    <row r="828" spans="1:17" ht="12.5">
      <c r="A828" s="2"/>
      <c r="B828" s="2"/>
      <c r="C828" s="2"/>
      <c r="D828" s="2"/>
      <c r="E828" s="2"/>
      <c r="F828" s="2"/>
      <c r="G828" s="2"/>
      <c r="H828" s="2"/>
      <c r="I828" s="2"/>
      <c r="J828" s="2"/>
      <c r="K828" s="2"/>
      <c r="L828" s="2"/>
      <c r="M828" s="2"/>
      <c r="N828" s="2"/>
      <c r="O828" s="2"/>
      <c r="P828" s="2"/>
      <c r="Q828" s="2"/>
    </row>
    <row r="829" spans="1:17" ht="12.5">
      <c r="A829" s="2"/>
      <c r="B829" s="2"/>
      <c r="C829" s="2"/>
      <c r="D829" s="2"/>
      <c r="E829" s="2"/>
      <c r="F829" s="2"/>
      <c r="G829" s="2"/>
      <c r="H829" s="2"/>
      <c r="I829" s="2"/>
      <c r="J829" s="2"/>
      <c r="K829" s="2"/>
      <c r="L829" s="2"/>
      <c r="M829" s="2"/>
      <c r="N829" s="2"/>
      <c r="O829" s="2"/>
      <c r="P829" s="2"/>
      <c r="Q829" s="2"/>
    </row>
    <row r="830" spans="1:17" ht="12.5">
      <c r="A830" s="2"/>
      <c r="B830" s="2"/>
      <c r="C830" s="2"/>
      <c r="D830" s="2"/>
      <c r="E830" s="2"/>
      <c r="F830" s="2"/>
      <c r="G830" s="2"/>
      <c r="H830" s="2"/>
      <c r="I830" s="2"/>
      <c r="J830" s="2"/>
      <c r="K830" s="2"/>
      <c r="L830" s="2"/>
      <c r="M830" s="2"/>
      <c r="N830" s="2"/>
      <c r="O830" s="2"/>
      <c r="P830" s="2"/>
      <c r="Q830" s="2"/>
    </row>
    <row r="831" spans="1:17" ht="12.5">
      <c r="A831" s="2"/>
      <c r="B831" s="2"/>
      <c r="C831" s="2"/>
      <c r="D831" s="2"/>
      <c r="E831" s="2"/>
      <c r="F831" s="2"/>
      <c r="G831" s="2"/>
      <c r="H831" s="2"/>
      <c r="I831" s="2"/>
      <c r="J831" s="2"/>
      <c r="K831" s="2"/>
      <c r="L831" s="2"/>
      <c r="M831" s="2"/>
      <c r="N831" s="2"/>
      <c r="O831" s="2"/>
      <c r="P831" s="2"/>
      <c r="Q831" s="2"/>
    </row>
    <row r="832" spans="1:17" ht="12.5">
      <c r="A832" s="2"/>
      <c r="B832" s="2"/>
      <c r="C832" s="2"/>
      <c r="D832" s="2"/>
      <c r="E832" s="2"/>
      <c r="F832" s="2"/>
      <c r="G832" s="2"/>
      <c r="H832" s="2"/>
      <c r="I832" s="2"/>
      <c r="J832" s="2"/>
      <c r="K832" s="2"/>
      <c r="L832" s="2"/>
      <c r="M832" s="2"/>
      <c r="N832" s="2"/>
      <c r="O832" s="2"/>
      <c r="P832" s="2"/>
      <c r="Q832" s="2"/>
    </row>
    <row r="833" spans="1:17" ht="12.5">
      <c r="A833" s="2"/>
      <c r="B833" s="2"/>
      <c r="C833" s="2"/>
      <c r="D833" s="2"/>
      <c r="E833" s="2"/>
      <c r="F833" s="2"/>
      <c r="G833" s="2"/>
      <c r="H833" s="2"/>
      <c r="I833" s="2"/>
      <c r="J833" s="2"/>
      <c r="K833" s="2"/>
      <c r="L833" s="2"/>
      <c r="M833" s="2"/>
      <c r="N833" s="2"/>
      <c r="O833" s="2"/>
      <c r="P833" s="2"/>
      <c r="Q833" s="2"/>
    </row>
    <row r="834" spans="1:17" ht="12.5">
      <c r="A834" s="2"/>
      <c r="B834" s="2"/>
      <c r="C834" s="2"/>
      <c r="D834" s="2"/>
      <c r="E834" s="2"/>
      <c r="F834" s="2"/>
      <c r="G834" s="2"/>
      <c r="H834" s="2"/>
      <c r="I834" s="2"/>
      <c r="J834" s="2"/>
      <c r="K834" s="2"/>
      <c r="L834" s="2"/>
      <c r="M834" s="2"/>
      <c r="N834" s="2"/>
      <c r="O834" s="2"/>
      <c r="P834" s="2"/>
      <c r="Q834" s="2"/>
    </row>
    <row r="835" spans="1:17" ht="12.5">
      <c r="A835" s="2"/>
      <c r="B835" s="2"/>
      <c r="C835" s="2"/>
      <c r="D835" s="2"/>
      <c r="E835" s="2"/>
      <c r="F835" s="2"/>
      <c r="G835" s="2"/>
      <c r="H835" s="2"/>
      <c r="I835" s="2"/>
      <c r="J835" s="2"/>
      <c r="K835" s="2"/>
      <c r="L835" s="2"/>
      <c r="M835" s="2"/>
      <c r="N835" s="2"/>
      <c r="O835" s="2"/>
      <c r="P835" s="2"/>
      <c r="Q835" s="2"/>
    </row>
    <row r="836" spans="1:17" ht="12.5">
      <c r="A836" s="2"/>
      <c r="B836" s="2"/>
      <c r="C836" s="2"/>
      <c r="D836" s="2"/>
      <c r="E836" s="2"/>
      <c r="F836" s="2"/>
      <c r="G836" s="2"/>
      <c r="H836" s="2"/>
      <c r="I836" s="2"/>
      <c r="J836" s="2"/>
      <c r="K836" s="2"/>
      <c r="L836" s="2"/>
      <c r="M836" s="2"/>
      <c r="N836" s="2"/>
      <c r="O836" s="2"/>
      <c r="P836" s="2"/>
      <c r="Q836" s="2"/>
    </row>
    <row r="837" spans="1:17" ht="12.5">
      <c r="A837" s="2"/>
      <c r="B837" s="2"/>
      <c r="C837" s="2"/>
      <c r="D837" s="2"/>
      <c r="E837" s="2"/>
      <c r="F837" s="2"/>
      <c r="G837" s="2"/>
      <c r="H837" s="2"/>
      <c r="I837" s="2"/>
      <c r="J837" s="2"/>
      <c r="K837" s="2"/>
      <c r="L837" s="2"/>
      <c r="M837" s="2"/>
      <c r="N837" s="2"/>
      <c r="O837" s="2"/>
      <c r="P837" s="2"/>
      <c r="Q837" s="2"/>
    </row>
    <row r="838" spans="1:17" ht="12.5">
      <c r="A838" s="2"/>
      <c r="B838" s="2"/>
      <c r="C838" s="2"/>
      <c r="D838" s="2"/>
      <c r="E838" s="2"/>
      <c r="F838" s="2"/>
      <c r="G838" s="2"/>
      <c r="H838" s="2"/>
      <c r="I838" s="2"/>
      <c r="J838" s="2"/>
      <c r="K838" s="2"/>
      <c r="L838" s="2"/>
      <c r="M838" s="2"/>
      <c r="N838" s="2"/>
      <c r="O838" s="2"/>
      <c r="P838" s="2"/>
      <c r="Q838" s="2"/>
    </row>
    <row r="839" spans="1:17" ht="12.5">
      <c r="A839" s="2"/>
      <c r="B839" s="2"/>
      <c r="C839" s="2"/>
      <c r="D839" s="2"/>
      <c r="E839" s="2"/>
      <c r="F839" s="2"/>
      <c r="G839" s="2"/>
      <c r="H839" s="2"/>
      <c r="I839" s="2"/>
      <c r="J839" s="2"/>
      <c r="K839" s="2"/>
      <c r="L839" s="2"/>
      <c r="M839" s="2"/>
      <c r="N839" s="2"/>
      <c r="O839" s="2"/>
      <c r="P839" s="2"/>
      <c r="Q839" s="2"/>
    </row>
    <row r="840" spans="1:17" ht="12.5">
      <c r="A840" s="2"/>
      <c r="B840" s="2"/>
      <c r="C840" s="2"/>
      <c r="D840" s="2"/>
      <c r="E840" s="2"/>
      <c r="F840" s="2"/>
      <c r="G840" s="2"/>
      <c r="H840" s="2"/>
      <c r="I840" s="2"/>
      <c r="J840" s="2"/>
      <c r="K840" s="2"/>
      <c r="L840" s="2"/>
      <c r="M840" s="2"/>
      <c r="N840" s="2"/>
      <c r="O840" s="2"/>
      <c r="P840" s="2"/>
      <c r="Q840" s="2"/>
    </row>
    <row r="841" spans="1:17" ht="12.5">
      <c r="A841" s="2"/>
      <c r="B841" s="2"/>
      <c r="C841" s="2"/>
      <c r="D841" s="2"/>
      <c r="E841" s="2"/>
      <c r="F841" s="2"/>
      <c r="G841" s="2"/>
      <c r="H841" s="2"/>
      <c r="I841" s="2"/>
      <c r="J841" s="2"/>
      <c r="K841" s="2"/>
      <c r="L841" s="2"/>
      <c r="M841" s="2"/>
      <c r="N841" s="2"/>
      <c r="O841" s="2"/>
      <c r="P841" s="2"/>
      <c r="Q841" s="2"/>
    </row>
    <row r="842" spans="1:17" ht="12.5">
      <c r="A842" s="2"/>
      <c r="B842" s="2"/>
      <c r="C842" s="2"/>
      <c r="D842" s="2"/>
      <c r="E842" s="2"/>
      <c r="F842" s="2"/>
      <c r="G842" s="2"/>
      <c r="H842" s="2"/>
      <c r="I842" s="2"/>
      <c r="J842" s="2"/>
      <c r="K842" s="2"/>
      <c r="L842" s="2"/>
      <c r="M842" s="2"/>
      <c r="N842" s="2"/>
      <c r="O842" s="2"/>
      <c r="P842" s="2"/>
      <c r="Q842" s="2"/>
    </row>
    <row r="843" spans="1:17" ht="12.5">
      <c r="A843" s="2"/>
      <c r="B843" s="2"/>
      <c r="C843" s="2"/>
      <c r="D843" s="2"/>
      <c r="E843" s="2"/>
      <c r="F843" s="2"/>
      <c r="G843" s="2"/>
      <c r="H843" s="2"/>
      <c r="I843" s="2"/>
      <c r="J843" s="2"/>
      <c r="K843" s="2"/>
      <c r="L843" s="2"/>
      <c r="M843" s="2"/>
      <c r="N843" s="2"/>
      <c r="O843" s="2"/>
      <c r="P843" s="2"/>
      <c r="Q843" s="2"/>
    </row>
    <row r="844" spans="1:17" ht="12.5">
      <c r="A844" s="2"/>
      <c r="B844" s="2"/>
      <c r="C844" s="2"/>
      <c r="D844" s="2"/>
      <c r="E844" s="2"/>
      <c r="F844" s="2"/>
      <c r="G844" s="2"/>
      <c r="H844" s="2"/>
      <c r="I844" s="2"/>
      <c r="J844" s="2"/>
      <c r="K844" s="2"/>
      <c r="L844" s="2"/>
      <c r="M844" s="2"/>
      <c r="N844" s="2"/>
      <c r="O844" s="2"/>
      <c r="P844" s="2"/>
      <c r="Q844" s="2"/>
    </row>
    <row r="845" spans="1:17" ht="12.5">
      <c r="A845" s="2"/>
      <c r="B845" s="2"/>
      <c r="C845" s="2"/>
      <c r="D845" s="2"/>
      <c r="E845" s="2"/>
      <c r="F845" s="2"/>
      <c r="G845" s="2"/>
      <c r="H845" s="2"/>
      <c r="I845" s="2"/>
      <c r="J845" s="2"/>
      <c r="K845" s="2"/>
      <c r="L845" s="2"/>
      <c r="M845" s="2"/>
      <c r="N845" s="2"/>
      <c r="O845" s="2"/>
      <c r="P845" s="2"/>
      <c r="Q845" s="2"/>
    </row>
    <row r="846" spans="1:17" ht="12.5">
      <c r="A846" s="2"/>
      <c r="B846" s="2"/>
      <c r="C846" s="2"/>
      <c r="D846" s="2"/>
      <c r="E846" s="2"/>
      <c r="F846" s="2"/>
      <c r="G846" s="2"/>
      <c r="H846" s="2"/>
      <c r="I846" s="2"/>
      <c r="J846" s="2"/>
      <c r="K846" s="2"/>
      <c r="L846" s="2"/>
      <c r="M846" s="2"/>
      <c r="N846" s="2"/>
      <c r="O846" s="2"/>
      <c r="P846" s="2"/>
      <c r="Q846" s="2"/>
    </row>
    <row r="847" spans="1:17" ht="12.5">
      <c r="A847" s="2"/>
      <c r="B847" s="2"/>
      <c r="C847" s="2"/>
      <c r="D847" s="2"/>
      <c r="E847" s="2"/>
      <c r="F847" s="2"/>
      <c r="G847" s="2"/>
      <c r="H847" s="2"/>
      <c r="I847" s="2"/>
      <c r="J847" s="2"/>
      <c r="K847" s="2"/>
      <c r="L847" s="2"/>
      <c r="M847" s="2"/>
      <c r="N847" s="2"/>
      <c r="O847" s="2"/>
      <c r="P847" s="2"/>
      <c r="Q847" s="2"/>
    </row>
    <row r="848" spans="1:17" ht="12.5">
      <c r="A848" s="2"/>
      <c r="B848" s="2"/>
      <c r="C848" s="2"/>
      <c r="D848" s="2"/>
      <c r="E848" s="2"/>
      <c r="F848" s="2"/>
      <c r="G848" s="2"/>
      <c r="H848" s="2"/>
      <c r="I848" s="2"/>
      <c r="J848" s="2"/>
      <c r="K848" s="2"/>
      <c r="L848" s="2"/>
      <c r="M848" s="2"/>
      <c r="N848" s="2"/>
      <c r="O848" s="2"/>
      <c r="P848" s="2"/>
      <c r="Q848" s="2"/>
    </row>
    <row r="849" spans="1:17" ht="12.5">
      <c r="A849" s="2"/>
      <c r="B849" s="2"/>
      <c r="C849" s="2"/>
      <c r="D849" s="2"/>
      <c r="E849" s="2"/>
      <c r="F849" s="2"/>
      <c r="G849" s="2"/>
      <c r="H849" s="2"/>
      <c r="I849" s="2"/>
      <c r="J849" s="2"/>
      <c r="K849" s="2"/>
      <c r="L849" s="2"/>
      <c r="M849" s="2"/>
      <c r="N849" s="2"/>
      <c r="O849" s="2"/>
      <c r="P849" s="2"/>
      <c r="Q849" s="2"/>
    </row>
    <row r="850" spans="1:17" ht="12.5">
      <c r="A850" s="2"/>
      <c r="B850" s="2"/>
      <c r="C850" s="2"/>
      <c r="D850" s="2"/>
      <c r="E850" s="2"/>
      <c r="F850" s="2"/>
      <c r="G850" s="2"/>
      <c r="H850" s="2"/>
      <c r="I850" s="2"/>
      <c r="J850" s="2"/>
      <c r="K850" s="2"/>
      <c r="L850" s="2"/>
      <c r="M850" s="2"/>
      <c r="N850" s="2"/>
      <c r="O850" s="2"/>
      <c r="P850" s="2"/>
      <c r="Q850" s="2"/>
    </row>
    <row r="851" spans="1:17" ht="12.5">
      <c r="A851" s="2"/>
      <c r="B851" s="2"/>
      <c r="C851" s="2"/>
      <c r="D851" s="2"/>
      <c r="E851" s="2"/>
      <c r="F851" s="2"/>
      <c r="G851" s="2"/>
      <c r="H851" s="2"/>
      <c r="I851" s="2"/>
      <c r="J851" s="2"/>
      <c r="K851" s="2"/>
      <c r="L851" s="2"/>
      <c r="M851" s="2"/>
      <c r="N851" s="2"/>
      <c r="O851" s="2"/>
      <c r="P851" s="2"/>
      <c r="Q851" s="2"/>
    </row>
    <row r="852" spans="1:17" ht="12.5">
      <c r="A852" s="2"/>
      <c r="B852" s="2"/>
      <c r="C852" s="2"/>
      <c r="D852" s="2"/>
      <c r="E852" s="2"/>
      <c r="F852" s="2"/>
      <c r="G852" s="2"/>
      <c r="H852" s="2"/>
      <c r="I852" s="2"/>
      <c r="J852" s="2"/>
      <c r="K852" s="2"/>
      <c r="L852" s="2"/>
      <c r="M852" s="2"/>
      <c r="N852" s="2"/>
      <c r="O852" s="2"/>
      <c r="P852" s="2"/>
      <c r="Q852" s="2"/>
    </row>
    <row r="853" spans="1:17" ht="12.5">
      <c r="A853" s="2"/>
      <c r="B853" s="2"/>
      <c r="C853" s="2"/>
      <c r="D853" s="2"/>
      <c r="E853" s="2"/>
      <c r="F853" s="2"/>
      <c r="G853" s="2"/>
      <c r="H853" s="2"/>
      <c r="I853" s="2"/>
      <c r="J853" s="2"/>
      <c r="K853" s="2"/>
      <c r="L853" s="2"/>
      <c r="M853" s="2"/>
      <c r="N853" s="2"/>
      <c r="O853" s="2"/>
      <c r="P853" s="2"/>
      <c r="Q853" s="2"/>
    </row>
    <row r="854" spans="1:17" ht="12.5">
      <c r="A854" s="2"/>
      <c r="B854" s="2"/>
      <c r="C854" s="2"/>
      <c r="D854" s="2"/>
      <c r="E854" s="2"/>
      <c r="F854" s="2"/>
      <c r="G854" s="2"/>
      <c r="H854" s="2"/>
      <c r="I854" s="2"/>
      <c r="J854" s="2"/>
      <c r="K854" s="2"/>
      <c r="L854" s="2"/>
      <c r="M854" s="2"/>
      <c r="N854" s="2"/>
      <c r="O854" s="2"/>
      <c r="P854" s="2"/>
      <c r="Q854" s="2"/>
    </row>
    <row r="855" spans="1:17" ht="12.5">
      <c r="A855" s="2"/>
      <c r="B855" s="2"/>
      <c r="C855" s="2"/>
      <c r="D855" s="2"/>
      <c r="E855" s="2"/>
      <c r="F855" s="2"/>
      <c r="G855" s="2"/>
      <c r="H855" s="2"/>
      <c r="I855" s="2"/>
      <c r="J855" s="2"/>
      <c r="K855" s="2"/>
      <c r="L855" s="2"/>
      <c r="M855" s="2"/>
      <c r="N855" s="2"/>
      <c r="O855" s="2"/>
      <c r="P855" s="2"/>
      <c r="Q855" s="2"/>
    </row>
    <row r="856" spans="1:17" ht="12.5">
      <c r="A856" s="2"/>
      <c r="B856" s="2"/>
      <c r="C856" s="2"/>
      <c r="D856" s="2"/>
      <c r="E856" s="2"/>
      <c r="F856" s="2"/>
      <c r="G856" s="2"/>
      <c r="H856" s="2"/>
      <c r="I856" s="2"/>
      <c r="J856" s="2"/>
      <c r="K856" s="2"/>
      <c r="L856" s="2"/>
      <c r="M856" s="2"/>
      <c r="N856" s="2"/>
      <c r="O856" s="2"/>
      <c r="P856" s="2"/>
      <c r="Q856" s="2"/>
    </row>
    <row r="857" spans="1:17" ht="12.5">
      <c r="A857" s="2"/>
      <c r="B857" s="2"/>
      <c r="C857" s="2"/>
      <c r="D857" s="2"/>
      <c r="E857" s="2"/>
      <c r="F857" s="2"/>
      <c r="G857" s="2"/>
      <c r="H857" s="2"/>
      <c r="I857" s="2"/>
      <c r="J857" s="2"/>
      <c r="K857" s="2"/>
      <c r="L857" s="2"/>
      <c r="M857" s="2"/>
      <c r="N857" s="2"/>
      <c r="O857" s="2"/>
      <c r="P857" s="2"/>
      <c r="Q857" s="2"/>
    </row>
    <row r="858" spans="1:17" ht="12.5">
      <c r="A858" s="2"/>
      <c r="B858" s="2"/>
      <c r="C858" s="2"/>
      <c r="D858" s="2"/>
      <c r="E858" s="2"/>
      <c r="F858" s="2"/>
      <c r="G858" s="2"/>
      <c r="H858" s="2"/>
      <c r="I858" s="2"/>
      <c r="J858" s="2"/>
      <c r="K858" s="2"/>
      <c r="L858" s="2"/>
      <c r="M858" s="2"/>
      <c r="N858" s="2"/>
      <c r="O858" s="2"/>
      <c r="P858" s="2"/>
      <c r="Q858" s="2"/>
    </row>
    <row r="859" spans="1:17" ht="12.5">
      <c r="A859" s="2"/>
      <c r="B859" s="2"/>
      <c r="C859" s="2"/>
      <c r="D859" s="2"/>
      <c r="E859" s="2"/>
      <c r="F859" s="2"/>
      <c r="G859" s="2"/>
      <c r="H859" s="2"/>
      <c r="I859" s="2"/>
      <c r="J859" s="2"/>
      <c r="K859" s="2"/>
      <c r="L859" s="2"/>
      <c r="M859" s="2"/>
      <c r="N859" s="2"/>
      <c r="O859" s="2"/>
      <c r="P859" s="2"/>
      <c r="Q859" s="2"/>
    </row>
    <row r="860" spans="1:17" ht="12.5">
      <c r="A860" s="2"/>
      <c r="B860" s="2"/>
      <c r="C860" s="2"/>
      <c r="D860" s="2"/>
      <c r="E860" s="2"/>
      <c r="F860" s="2"/>
      <c r="G860" s="2"/>
      <c r="H860" s="2"/>
      <c r="I860" s="2"/>
      <c r="J860" s="2"/>
      <c r="K860" s="2"/>
      <c r="L860" s="2"/>
      <c r="M860" s="2"/>
      <c r="N860" s="2"/>
      <c r="O860" s="2"/>
      <c r="P860" s="2"/>
      <c r="Q860" s="2"/>
    </row>
    <row r="861" spans="1:17" ht="12.5">
      <c r="A861" s="2"/>
      <c r="B861" s="2"/>
      <c r="C861" s="2"/>
      <c r="D861" s="2"/>
      <c r="E861" s="2"/>
      <c r="F861" s="2"/>
      <c r="G861" s="2"/>
      <c r="H861" s="2"/>
      <c r="I861" s="2"/>
      <c r="J861" s="2"/>
      <c r="K861" s="2"/>
      <c r="L861" s="2"/>
      <c r="M861" s="2"/>
      <c r="N861" s="2"/>
      <c r="O861" s="2"/>
      <c r="P861" s="2"/>
      <c r="Q861" s="2"/>
    </row>
    <row r="862" spans="1:17" ht="12.5">
      <c r="A862" s="2"/>
      <c r="B862" s="2"/>
      <c r="C862" s="2"/>
      <c r="D862" s="2"/>
      <c r="E862" s="2"/>
      <c r="F862" s="2"/>
      <c r="G862" s="2"/>
      <c r="H862" s="2"/>
      <c r="I862" s="2"/>
      <c r="J862" s="2"/>
      <c r="K862" s="2"/>
      <c r="L862" s="2"/>
      <c r="M862" s="2"/>
      <c r="N862" s="2"/>
      <c r="O862" s="2"/>
      <c r="P862" s="2"/>
      <c r="Q862" s="2"/>
    </row>
    <row r="863" spans="1:17" ht="12.5">
      <c r="A863" s="2"/>
      <c r="B863" s="2"/>
      <c r="C863" s="2"/>
      <c r="D863" s="2"/>
      <c r="E863" s="2"/>
      <c r="F863" s="2"/>
      <c r="G863" s="2"/>
      <c r="H863" s="2"/>
      <c r="I863" s="2"/>
      <c r="J863" s="2"/>
      <c r="K863" s="2"/>
      <c r="L863" s="2"/>
      <c r="M863" s="2"/>
      <c r="N863" s="2"/>
      <c r="O863" s="2"/>
      <c r="P863" s="2"/>
      <c r="Q863" s="2"/>
    </row>
    <row r="864" spans="1:17" ht="12.5">
      <c r="A864" s="2"/>
      <c r="B864" s="2"/>
      <c r="C864" s="2"/>
      <c r="D864" s="2"/>
      <c r="E864" s="2"/>
      <c r="F864" s="2"/>
      <c r="G864" s="2"/>
      <c r="H864" s="2"/>
      <c r="I864" s="2"/>
      <c r="J864" s="2"/>
      <c r="K864" s="2"/>
      <c r="L864" s="2"/>
      <c r="M864" s="2"/>
      <c r="N864" s="2"/>
      <c r="O864" s="2"/>
      <c r="P864" s="2"/>
      <c r="Q864" s="2"/>
    </row>
    <row r="865" spans="1:17" ht="12.5">
      <c r="A865" s="2"/>
      <c r="B865" s="2"/>
      <c r="C865" s="2"/>
      <c r="D865" s="2"/>
      <c r="E865" s="2"/>
      <c r="F865" s="2"/>
      <c r="G865" s="2"/>
      <c r="H865" s="2"/>
      <c r="I865" s="2"/>
      <c r="J865" s="2"/>
      <c r="K865" s="2"/>
      <c r="L865" s="2"/>
      <c r="M865" s="2"/>
      <c r="N865" s="2"/>
      <c r="O865" s="2"/>
      <c r="P865" s="2"/>
      <c r="Q865" s="2"/>
    </row>
    <row r="866" spans="1:17" ht="12.5">
      <c r="A866" s="2"/>
      <c r="B866" s="2"/>
      <c r="C866" s="2"/>
      <c r="D866" s="2"/>
      <c r="E866" s="2"/>
      <c r="F866" s="2"/>
      <c r="G866" s="2"/>
      <c r="H866" s="2"/>
      <c r="I866" s="2"/>
      <c r="J866" s="2"/>
      <c r="K866" s="2"/>
      <c r="L866" s="2"/>
      <c r="M866" s="2"/>
      <c r="N866" s="2"/>
      <c r="O866" s="2"/>
      <c r="P866" s="2"/>
      <c r="Q866" s="2"/>
    </row>
    <row r="867" spans="1:17" ht="12.5">
      <c r="A867" s="2"/>
      <c r="B867" s="2"/>
      <c r="C867" s="2"/>
      <c r="D867" s="2"/>
      <c r="E867" s="2"/>
      <c r="F867" s="2"/>
      <c r="G867" s="2"/>
      <c r="H867" s="2"/>
      <c r="I867" s="2"/>
      <c r="J867" s="2"/>
      <c r="K867" s="2"/>
      <c r="L867" s="2"/>
      <c r="M867" s="2"/>
      <c r="N867" s="2"/>
      <c r="O867" s="2"/>
      <c r="P867" s="2"/>
      <c r="Q867" s="2"/>
    </row>
    <row r="868" spans="1:17" ht="12.5">
      <c r="A868" s="2"/>
      <c r="B868" s="2"/>
      <c r="C868" s="2"/>
      <c r="D868" s="2"/>
      <c r="E868" s="2"/>
      <c r="F868" s="2"/>
      <c r="G868" s="2"/>
      <c r="H868" s="2"/>
      <c r="I868" s="2"/>
      <c r="J868" s="2"/>
      <c r="K868" s="2"/>
      <c r="L868" s="2"/>
      <c r="M868" s="2"/>
      <c r="N868" s="2"/>
      <c r="O868" s="2"/>
      <c r="P868" s="2"/>
      <c r="Q868" s="2"/>
    </row>
    <row r="869" spans="1:17" ht="12.5">
      <c r="A869" s="2"/>
      <c r="B869" s="2"/>
      <c r="C869" s="2"/>
      <c r="D869" s="2"/>
      <c r="E869" s="2"/>
      <c r="F869" s="2"/>
      <c r="G869" s="2"/>
      <c r="H869" s="2"/>
      <c r="I869" s="2"/>
      <c r="J869" s="2"/>
      <c r="K869" s="2"/>
      <c r="L869" s="2"/>
      <c r="M869" s="2"/>
      <c r="N869" s="2"/>
      <c r="O869" s="2"/>
      <c r="P869" s="2"/>
      <c r="Q869" s="2"/>
    </row>
    <row r="870" spans="1:17" ht="12.5">
      <c r="A870" s="2"/>
      <c r="B870" s="2"/>
      <c r="C870" s="2"/>
      <c r="D870" s="2"/>
      <c r="E870" s="2"/>
      <c r="F870" s="2"/>
      <c r="G870" s="2"/>
      <c r="H870" s="2"/>
      <c r="I870" s="2"/>
      <c r="J870" s="2"/>
      <c r="K870" s="2"/>
      <c r="L870" s="2"/>
      <c r="M870" s="2"/>
      <c r="N870" s="2"/>
      <c r="O870" s="2"/>
      <c r="P870" s="2"/>
      <c r="Q870" s="2"/>
    </row>
    <row r="871" spans="1:17" ht="12.5">
      <c r="A871" s="2"/>
      <c r="B871" s="2"/>
      <c r="C871" s="2"/>
      <c r="D871" s="2"/>
      <c r="E871" s="2"/>
      <c r="F871" s="2"/>
      <c r="G871" s="2"/>
      <c r="H871" s="2"/>
      <c r="I871" s="2"/>
      <c r="J871" s="2"/>
      <c r="K871" s="2"/>
      <c r="L871" s="2"/>
      <c r="M871" s="2"/>
      <c r="N871" s="2"/>
      <c r="O871" s="2"/>
      <c r="P871" s="2"/>
      <c r="Q871" s="2"/>
    </row>
    <row r="872" spans="1:17" ht="12.5">
      <c r="A872" s="2"/>
      <c r="B872" s="2"/>
      <c r="C872" s="2"/>
      <c r="D872" s="2"/>
      <c r="E872" s="2"/>
      <c r="F872" s="2"/>
      <c r="G872" s="2"/>
      <c r="H872" s="2"/>
      <c r="I872" s="2"/>
      <c r="J872" s="2"/>
      <c r="K872" s="2"/>
      <c r="L872" s="2"/>
      <c r="M872" s="2"/>
      <c r="N872" s="2"/>
      <c r="O872" s="2"/>
      <c r="P872" s="2"/>
      <c r="Q872" s="2"/>
    </row>
    <row r="873" spans="1:17" ht="12.5">
      <c r="A873" s="2"/>
      <c r="B873" s="2"/>
      <c r="C873" s="2"/>
      <c r="D873" s="2"/>
      <c r="E873" s="2"/>
      <c r="F873" s="2"/>
      <c r="G873" s="2"/>
      <c r="H873" s="2"/>
      <c r="I873" s="2"/>
      <c r="J873" s="2"/>
      <c r="K873" s="2"/>
      <c r="L873" s="2"/>
      <c r="M873" s="2"/>
      <c r="N873" s="2"/>
      <c r="O873" s="2"/>
      <c r="P873" s="2"/>
      <c r="Q873" s="2"/>
    </row>
    <row r="874" spans="1:17" ht="12.5">
      <c r="A874" s="2"/>
      <c r="B874" s="2"/>
      <c r="C874" s="2"/>
      <c r="D874" s="2"/>
      <c r="E874" s="2"/>
      <c r="F874" s="2"/>
      <c r="G874" s="2"/>
      <c r="H874" s="2"/>
      <c r="I874" s="2"/>
      <c r="J874" s="2"/>
      <c r="K874" s="2"/>
      <c r="L874" s="2"/>
      <c r="M874" s="2"/>
      <c r="N874" s="2"/>
      <c r="O874" s="2"/>
      <c r="P874" s="2"/>
      <c r="Q874" s="2"/>
    </row>
    <row r="875" spans="1:17" ht="12.5">
      <c r="A875" s="2"/>
      <c r="B875" s="2"/>
      <c r="C875" s="2"/>
      <c r="D875" s="2"/>
      <c r="E875" s="2"/>
      <c r="F875" s="2"/>
      <c r="G875" s="2"/>
      <c r="H875" s="2"/>
      <c r="I875" s="2"/>
      <c r="J875" s="2"/>
      <c r="K875" s="2"/>
      <c r="L875" s="2"/>
      <c r="M875" s="2"/>
      <c r="N875" s="2"/>
      <c r="O875" s="2"/>
      <c r="P875" s="2"/>
      <c r="Q875" s="2"/>
    </row>
    <row r="876" spans="1:17" ht="12.5">
      <c r="A876" s="2"/>
      <c r="B876" s="2"/>
      <c r="C876" s="2"/>
      <c r="D876" s="2"/>
      <c r="E876" s="2"/>
      <c r="F876" s="2"/>
      <c r="G876" s="2"/>
      <c r="H876" s="2"/>
      <c r="I876" s="2"/>
      <c r="J876" s="2"/>
      <c r="K876" s="2"/>
      <c r="L876" s="2"/>
      <c r="M876" s="2"/>
      <c r="N876" s="2"/>
      <c r="O876" s="2"/>
      <c r="P876" s="2"/>
      <c r="Q876" s="2"/>
    </row>
    <row r="877" spans="1:17" ht="12.5">
      <c r="A877" s="2"/>
      <c r="B877" s="2"/>
      <c r="C877" s="2"/>
      <c r="D877" s="2"/>
      <c r="E877" s="2"/>
      <c r="F877" s="2"/>
      <c r="G877" s="2"/>
      <c r="H877" s="2"/>
      <c r="I877" s="2"/>
      <c r="J877" s="2"/>
      <c r="K877" s="2"/>
      <c r="L877" s="2"/>
      <c r="M877" s="2"/>
      <c r="N877" s="2"/>
      <c r="O877" s="2"/>
      <c r="P877" s="2"/>
      <c r="Q877" s="2"/>
    </row>
    <row r="878" spans="1:17" ht="12.5">
      <c r="A878" s="2"/>
      <c r="B878" s="2"/>
      <c r="C878" s="2"/>
      <c r="D878" s="2"/>
      <c r="E878" s="2"/>
      <c r="F878" s="2"/>
      <c r="G878" s="2"/>
      <c r="H878" s="2"/>
      <c r="I878" s="2"/>
      <c r="J878" s="2"/>
      <c r="K878" s="2"/>
      <c r="L878" s="2"/>
      <c r="M878" s="2"/>
      <c r="N878" s="2"/>
      <c r="O878" s="2"/>
      <c r="P878" s="2"/>
      <c r="Q878" s="2"/>
    </row>
    <row r="879" spans="1:17" ht="12.5">
      <c r="A879" s="2"/>
      <c r="B879" s="2"/>
      <c r="C879" s="2"/>
      <c r="D879" s="2"/>
      <c r="E879" s="2"/>
      <c r="F879" s="2"/>
      <c r="G879" s="2"/>
      <c r="H879" s="2"/>
      <c r="I879" s="2"/>
      <c r="J879" s="2"/>
      <c r="K879" s="2"/>
      <c r="L879" s="2"/>
      <c r="M879" s="2"/>
      <c r="N879" s="2"/>
      <c r="O879" s="2"/>
      <c r="P879" s="2"/>
      <c r="Q879" s="2"/>
    </row>
    <row r="880" spans="1:17" ht="12.5">
      <c r="A880" s="2"/>
      <c r="B880" s="2"/>
      <c r="C880" s="2"/>
      <c r="D880" s="2"/>
      <c r="E880" s="2"/>
      <c r="F880" s="2"/>
      <c r="G880" s="2"/>
      <c r="H880" s="2"/>
      <c r="I880" s="2"/>
      <c r="J880" s="2"/>
      <c r="K880" s="2"/>
      <c r="L880" s="2"/>
      <c r="M880" s="2"/>
      <c r="N880" s="2"/>
      <c r="O880" s="2"/>
      <c r="P880" s="2"/>
      <c r="Q880" s="2"/>
    </row>
    <row r="881" spans="1:17" ht="12.5">
      <c r="A881" s="2"/>
      <c r="B881" s="2"/>
      <c r="C881" s="2"/>
      <c r="D881" s="2"/>
      <c r="E881" s="2"/>
      <c r="F881" s="2"/>
      <c r="G881" s="2"/>
      <c r="H881" s="2"/>
      <c r="I881" s="2"/>
      <c r="J881" s="2"/>
      <c r="K881" s="2"/>
      <c r="L881" s="2"/>
      <c r="M881" s="2"/>
      <c r="N881" s="2"/>
      <c r="O881" s="2"/>
      <c r="P881" s="2"/>
      <c r="Q881" s="2"/>
    </row>
    <row r="882" spans="1:17" ht="12.5">
      <c r="A882" s="2"/>
      <c r="B882" s="2"/>
      <c r="C882" s="2"/>
      <c r="D882" s="2"/>
      <c r="E882" s="2"/>
      <c r="F882" s="2"/>
      <c r="G882" s="2"/>
      <c r="H882" s="2"/>
      <c r="I882" s="2"/>
      <c r="J882" s="2"/>
      <c r="K882" s="2"/>
      <c r="L882" s="2"/>
      <c r="M882" s="2"/>
      <c r="N882" s="2"/>
      <c r="O882" s="2"/>
      <c r="P882" s="2"/>
      <c r="Q882" s="2"/>
    </row>
    <row r="883" spans="1:17" ht="12.5">
      <c r="A883" s="2"/>
      <c r="B883" s="2"/>
      <c r="C883" s="2"/>
      <c r="D883" s="2"/>
      <c r="E883" s="2"/>
      <c r="F883" s="2"/>
      <c r="G883" s="2"/>
      <c r="H883" s="2"/>
      <c r="I883" s="2"/>
      <c r="J883" s="2"/>
      <c r="K883" s="2"/>
      <c r="L883" s="2"/>
      <c r="M883" s="2"/>
      <c r="N883" s="2"/>
      <c r="O883" s="2"/>
      <c r="P883" s="2"/>
      <c r="Q883" s="2"/>
    </row>
    <row r="884" spans="1:17" ht="12.5">
      <c r="A884" s="2"/>
      <c r="B884" s="2"/>
      <c r="C884" s="2"/>
      <c r="D884" s="2"/>
      <c r="E884" s="2"/>
      <c r="F884" s="2"/>
      <c r="G884" s="2"/>
      <c r="H884" s="2"/>
      <c r="I884" s="2"/>
      <c r="J884" s="2"/>
      <c r="K884" s="2"/>
      <c r="L884" s="2"/>
      <c r="M884" s="2"/>
      <c r="N884" s="2"/>
      <c r="O884" s="2"/>
      <c r="P884" s="2"/>
      <c r="Q884" s="2"/>
    </row>
    <row r="885" spans="1:17" ht="12.5">
      <c r="A885" s="2"/>
      <c r="B885" s="2"/>
      <c r="C885" s="2"/>
      <c r="D885" s="2"/>
      <c r="E885" s="2"/>
      <c r="F885" s="2"/>
      <c r="G885" s="2"/>
      <c r="H885" s="2"/>
      <c r="I885" s="2"/>
      <c r="J885" s="2"/>
      <c r="K885" s="2"/>
      <c r="L885" s="2"/>
      <c r="M885" s="2"/>
      <c r="N885" s="2"/>
      <c r="O885" s="2"/>
      <c r="P885" s="2"/>
      <c r="Q885" s="2"/>
    </row>
    <row r="886" spans="1:17" ht="12.5">
      <c r="A886" s="2"/>
      <c r="B886" s="2"/>
      <c r="C886" s="2"/>
      <c r="D886" s="2"/>
      <c r="E886" s="2"/>
      <c r="F886" s="2"/>
      <c r="G886" s="2"/>
      <c r="H886" s="2"/>
      <c r="I886" s="2"/>
      <c r="J886" s="2"/>
      <c r="K886" s="2"/>
      <c r="L886" s="2"/>
      <c r="M886" s="2"/>
      <c r="N886" s="2"/>
      <c r="O886" s="2"/>
      <c r="P886" s="2"/>
      <c r="Q886" s="2"/>
    </row>
    <row r="887" spans="1:17" ht="12.5">
      <c r="A887" s="2"/>
      <c r="B887" s="2"/>
      <c r="C887" s="2"/>
      <c r="D887" s="2"/>
      <c r="E887" s="2"/>
      <c r="F887" s="2"/>
      <c r="G887" s="2"/>
      <c r="H887" s="2"/>
      <c r="I887" s="2"/>
      <c r="J887" s="2"/>
      <c r="K887" s="2"/>
      <c r="L887" s="2"/>
      <c r="M887" s="2"/>
      <c r="N887" s="2"/>
      <c r="O887" s="2"/>
      <c r="P887" s="2"/>
      <c r="Q887" s="2"/>
    </row>
    <row r="888" spans="1:17" ht="12.5">
      <c r="A888" s="2"/>
      <c r="B888" s="2"/>
      <c r="C888" s="2"/>
      <c r="D888" s="2"/>
      <c r="E888" s="2"/>
      <c r="F888" s="2"/>
      <c r="G888" s="2"/>
      <c r="H888" s="2"/>
      <c r="I888" s="2"/>
      <c r="J888" s="2"/>
      <c r="K888" s="2"/>
      <c r="L888" s="2"/>
      <c r="M888" s="2"/>
      <c r="N888" s="2"/>
      <c r="O888" s="2"/>
      <c r="P888" s="2"/>
      <c r="Q888" s="2"/>
    </row>
    <row r="889" spans="1:17" ht="12.5">
      <c r="A889" s="2"/>
      <c r="B889" s="2"/>
      <c r="C889" s="2"/>
      <c r="D889" s="2"/>
      <c r="E889" s="2"/>
      <c r="F889" s="2"/>
      <c r="G889" s="2"/>
      <c r="H889" s="2"/>
      <c r="I889" s="2"/>
      <c r="J889" s="2"/>
      <c r="K889" s="2"/>
      <c r="L889" s="2"/>
      <c r="M889" s="2"/>
      <c r="N889" s="2"/>
      <c r="O889" s="2"/>
      <c r="P889" s="2"/>
      <c r="Q889" s="2"/>
    </row>
    <row r="890" spans="1:17" ht="12.5">
      <c r="A890" s="2"/>
      <c r="B890" s="2"/>
      <c r="C890" s="2"/>
      <c r="D890" s="2"/>
      <c r="E890" s="2"/>
      <c r="F890" s="2"/>
      <c r="G890" s="2"/>
      <c r="H890" s="2"/>
      <c r="I890" s="2"/>
      <c r="J890" s="2"/>
      <c r="K890" s="2"/>
      <c r="L890" s="2"/>
      <c r="M890" s="2"/>
      <c r="N890" s="2"/>
      <c r="O890" s="2"/>
      <c r="P890" s="2"/>
      <c r="Q890" s="2"/>
    </row>
    <row r="891" spans="1:17" ht="12.5">
      <c r="A891" s="2"/>
      <c r="B891" s="2"/>
      <c r="C891" s="2"/>
      <c r="D891" s="2"/>
      <c r="E891" s="2"/>
      <c r="F891" s="2"/>
      <c r="G891" s="2"/>
      <c r="H891" s="2"/>
      <c r="I891" s="2"/>
      <c r="J891" s="2"/>
      <c r="K891" s="2"/>
      <c r="L891" s="2"/>
      <c r="M891" s="2"/>
      <c r="N891" s="2"/>
      <c r="O891" s="2"/>
      <c r="P891" s="2"/>
      <c r="Q891" s="2"/>
    </row>
    <row r="892" spans="1:17" ht="12.5">
      <c r="A892" s="2"/>
      <c r="B892" s="2"/>
      <c r="C892" s="2"/>
      <c r="D892" s="2"/>
      <c r="E892" s="2"/>
      <c r="F892" s="2"/>
      <c r="G892" s="2"/>
      <c r="H892" s="2"/>
      <c r="I892" s="2"/>
      <c r="J892" s="2"/>
      <c r="K892" s="2"/>
      <c r="L892" s="2"/>
      <c r="M892" s="2"/>
      <c r="N892" s="2"/>
      <c r="O892" s="2"/>
      <c r="P892" s="2"/>
      <c r="Q892" s="2"/>
    </row>
    <row r="893" spans="1:17" ht="12.5">
      <c r="A893" s="2"/>
      <c r="B893" s="2"/>
      <c r="C893" s="2"/>
      <c r="D893" s="2"/>
      <c r="E893" s="2"/>
      <c r="F893" s="2"/>
      <c r="G893" s="2"/>
      <c r="H893" s="2"/>
      <c r="I893" s="2"/>
      <c r="J893" s="2"/>
      <c r="K893" s="2"/>
      <c r="L893" s="2"/>
      <c r="M893" s="2"/>
      <c r="N893" s="2"/>
      <c r="O893" s="2"/>
      <c r="P893" s="2"/>
      <c r="Q893" s="2"/>
    </row>
    <row r="894" spans="1:17" ht="12.5">
      <c r="A894" s="2"/>
      <c r="B894" s="2"/>
      <c r="C894" s="2"/>
      <c r="D894" s="2"/>
      <c r="E894" s="2"/>
      <c r="F894" s="2"/>
      <c r="G894" s="2"/>
      <c r="H894" s="2"/>
      <c r="I894" s="2"/>
      <c r="J894" s="2"/>
      <c r="K894" s="2"/>
      <c r="L894" s="2"/>
      <c r="M894" s="2"/>
      <c r="N894" s="2"/>
      <c r="O894" s="2"/>
      <c r="P894" s="2"/>
      <c r="Q894" s="2"/>
    </row>
    <row r="895" spans="1:17" ht="12.5">
      <c r="A895" s="2"/>
      <c r="B895" s="2"/>
      <c r="C895" s="2"/>
      <c r="D895" s="2"/>
      <c r="E895" s="2"/>
      <c r="F895" s="2"/>
      <c r="G895" s="2"/>
      <c r="H895" s="2"/>
      <c r="I895" s="2"/>
      <c r="J895" s="2"/>
      <c r="K895" s="2"/>
      <c r="L895" s="2"/>
      <c r="M895" s="2"/>
      <c r="N895" s="2"/>
      <c r="O895" s="2"/>
      <c r="P895" s="2"/>
      <c r="Q895" s="2"/>
    </row>
    <row r="896" spans="1:17" ht="12.5">
      <c r="A896" s="2"/>
      <c r="B896" s="2"/>
      <c r="C896" s="2"/>
      <c r="D896" s="2"/>
      <c r="E896" s="2"/>
      <c r="F896" s="2"/>
      <c r="G896" s="2"/>
      <c r="H896" s="2"/>
      <c r="I896" s="2"/>
      <c r="J896" s="2"/>
      <c r="K896" s="2"/>
      <c r="L896" s="2"/>
      <c r="M896" s="2"/>
      <c r="N896" s="2"/>
      <c r="O896" s="2"/>
      <c r="P896" s="2"/>
      <c r="Q896" s="2"/>
    </row>
    <row r="897" spans="1:17" ht="12.5">
      <c r="A897" s="2"/>
      <c r="B897" s="2"/>
      <c r="C897" s="2"/>
      <c r="D897" s="2"/>
      <c r="E897" s="2"/>
      <c r="F897" s="2"/>
      <c r="G897" s="2"/>
      <c r="H897" s="2"/>
      <c r="I897" s="2"/>
      <c r="J897" s="2"/>
      <c r="K897" s="2"/>
      <c r="L897" s="2"/>
      <c r="M897" s="2"/>
      <c r="N897" s="2"/>
      <c r="O897" s="2"/>
      <c r="P897" s="2"/>
      <c r="Q897" s="2"/>
    </row>
    <row r="898" spans="1:17" ht="12.5">
      <c r="A898" s="2"/>
      <c r="B898" s="2"/>
      <c r="C898" s="2"/>
      <c r="D898" s="2"/>
      <c r="E898" s="2"/>
      <c r="F898" s="2"/>
      <c r="G898" s="2"/>
      <c r="H898" s="2"/>
      <c r="I898" s="2"/>
      <c r="J898" s="2"/>
      <c r="K898" s="2"/>
      <c r="L898" s="2"/>
      <c r="M898" s="2"/>
      <c r="N898" s="2"/>
      <c r="O898" s="2"/>
      <c r="P898" s="2"/>
      <c r="Q898" s="2"/>
    </row>
    <row r="899" spans="1:17" ht="12.5">
      <c r="A899" s="2"/>
      <c r="B899" s="2"/>
      <c r="C899" s="2"/>
      <c r="D899" s="2"/>
      <c r="E899" s="2"/>
      <c r="F899" s="2"/>
      <c r="G899" s="2"/>
      <c r="H899" s="2"/>
      <c r="I899" s="2"/>
      <c r="J899" s="2"/>
      <c r="K899" s="2"/>
      <c r="L899" s="2"/>
      <c r="M899" s="2"/>
      <c r="N899" s="2"/>
      <c r="O899" s="2"/>
      <c r="P899" s="2"/>
      <c r="Q899" s="2"/>
    </row>
    <row r="900" spans="1:17" ht="12.5">
      <c r="A900" s="2"/>
      <c r="B900" s="2"/>
      <c r="C900" s="2"/>
      <c r="D900" s="2"/>
      <c r="E900" s="2"/>
      <c r="F900" s="2"/>
      <c r="G900" s="2"/>
      <c r="H900" s="2"/>
      <c r="I900" s="2"/>
      <c r="J900" s="2"/>
      <c r="K900" s="2"/>
      <c r="L900" s="2"/>
      <c r="M900" s="2"/>
      <c r="N900" s="2"/>
      <c r="O900" s="2"/>
      <c r="P900" s="2"/>
      <c r="Q900" s="2"/>
    </row>
    <row r="901" spans="1:17" ht="12.5">
      <c r="A901" s="2"/>
      <c r="B901" s="2"/>
      <c r="C901" s="2"/>
      <c r="D901" s="2"/>
      <c r="E901" s="2"/>
      <c r="F901" s="2"/>
      <c r="G901" s="2"/>
      <c r="H901" s="2"/>
      <c r="I901" s="2"/>
      <c r="J901" s="2"/>
      <c r="K901" s="2"/>
      <c r="L901" s="2"/>
      <c r="M901" s="2"/>
      <c r="N901" s="2"/>
      <c r="O901" s="2"/>
      <c r="P901" s="2"/>
      <c r="Q901" s="2"/>
    </row>
    <row r="902" spans="1:17" ht="12.5">
      <c r="A902" s="2"/>
      <c r="B902" s="2"/>
      <c r="C902" s="2"/>
      <c r="D902" s="2"/>
      <c r="E902" s="2"/>
      <c r="F902" s="2"/>
      <c r="G902" s="2"/>
      <c r="H902" s="2"/>
      <c r="I902" s="2"/>
      <c r="J902" s="2"/>
      <c r="K902" s="2"/>
      <c r="L902" s="2"/>
      <c r="M902" s="2"/>
      <c r="N902" s="2"/>
      <c r="O902" s="2"/>
      <c r="P902" s="2"/>
      <c r="Q902" s="2"/>
    </row>
    <row r="903" spans="1:17" ht="12.5">
      <c r="A903" s="2"/>
      <c r="B903" s="2"/>
      <c r="C903" s="2"/>
      <c r="D903" s="2"/>
      <c r="E903" s="2"/>
      <c r="F903" s="2"/>
      <c r="G903" s="2"/>
      <c r="H903" s="2"/>
      <c r="I903" s="2"/>
      <c r="J903" s="2"/>
      <c r="K903" s="2"/>
      <c r="L903" s="2"/>
      <c r="M903" s="2"/>
      <c r="N903" s="2"/>
      <c r="O903" s="2"/>
      <c r="P903" s="2"/>
      <c r="Q903" s="2"/>
    </row>
    <row r="904" spans="1:17" ht="12.5">
      <c r="A904" s="2"/>
      <c r="B904" s="2"/>
      <c r="C904" s="2"/>
      <c r="D904" s="2"/>
      <c r="E904" s="2"/>
      <c r="F904" s="2"/>
      <c r="G904" s="2"/>
      <c r="H904" s="2"/>
      <c r="I904" s="2"/>
      <c r="J904" s="2"/>
      <c r="K904" s="2"/>
      <c r="L904" s="2"/>
      <c r="M904" s="2"/>
      <c r="N904" s="2"/>
      <c r="O904" s="2"/>
      <c r="P904" s="2"/>
      <c r="Q904" s="2"/>
    </row>
    <row r="905" spans="1:17" ht="12.5">
      <c r="A905" s="2"/>
      <c r="B905" s="2"/>
      <c r="C905" s="2"/>
      <c r="D905" s="2"/>
      <c r="E905" s="2"/>
      <c r="F905" s="2"/>
      <c r="G905" s="2"/>
      <c r="H905" s="2"/>
      <c r="I905" s="2"/>
      <c r="J905" s="2"/>
      <c r="K905" s="2"/>
      <c r="L905" s="2"/>
      <c r="M905" s="2"/>
      <c r="N905" s="2"/>
      <c r="O905" s="2"/>
      <c r="P905" s="2"/>
      <c r="Q905" s="2"/>
    </row>
    <row r="906" spans="1:17" ht="12.5">
      <c r="A906" s="2"/>
      <c r="B906" s="2"/>
      <c r="C906" s="2"/>
      <c r="D906" s="2"/>
      <c r="E906" s="2"/>
      <c r="F906" s="2"/>
      <c r="G906" s="2"/>
      <c r="H906" s="2"/>
      <c r="I906" s="2"/>
      <c r="J906" s="2"/>
      <c r="K906" s="2"/>
      <c r="L906" s="2"/>
      <c r="M906" s="2"/>
      <c r="N906" s="2"/>
      <c r="O906" s="2"/>
      <c r="P906" s="2"/>
      <c r="Q906" s="2"/>
    </row>
    <row r="907" spans="1:17" ht="12.5">
      <c r="A907" s="2"/>
      <c r="B907" s="2"/>
      <c r="C907" s="2"/>
      <c r="D907" s="2"/>
      <c r="E907" s="2"/>
      <c r="F907" s="2"/>
      <c r="G907" s="2"/>
      <c r="H907" s="2"/>
      <c r="I907" s="2"/>
      <c r="J907" s="2"/>
      <c r="K907" s="2"/>
      <c r="L907" s="2"/>
      <c r="M907" s="2"/>
      <c r="N907" s="2"/>
      <c r="O907" s="2"/>
      <c r="P907" s="2"/>
      <c r="Q907" s="2"/>
    </row>
    <row r="908" spans="1:17" ht="12.5">
      <c r="A908" s="2"/>
      <c r="B908" s="2"/>
      <c r="C908" s="2"/>
      <c r="D908" s="2"/>
      <c r="E908" s="2"/>
      <c r="F908" s="2"/>
      <c r="G908" s="2"/>
      <c r="H908" s="2"/>
      <c r="I908" s="2"/>
      <c r="J908" s="2"/>
      <c r="K908" s="2"/>
      <c r="L908" s="2"/>
      <c r="M908" s="2"/>
      <c r="N908" s="2"/>
      <c r="O908" s="2"/>
      <c r="P908" s="2"/>
      <c r="Q908" s="2"/>
    </row>
    <row r="909" spans="1:17" ht="12.5">
      <c r="A909" s="2"/>
      <c r="B909" s="2"/>
      <c r="C909" s="2"/>
      <c r="D909" s="2"/>
      <c r="E909" s="2"/>
      <c r="F909" s="2"/>
      <c r="G909" s="2"/>
      <c r="H909" s="2"/>
      <c r="I909" s="2"/>
      <c r="J909" s="2"/>
      <c r="K909" s="2"/>
      <c r="L909" s="2"/>
      <c r="M909" s="2"/>
      <c r="N909" s="2"/>
      <c r="O909" s="2"/>
      <c r="P909" s="2"/>
      <c r="Q909" s="2"/>
    </row>
    <row r="910" spans="1:17" ht="12.5">
      <c r="A910" s="2"/>
      <c r="B910" s="2"/>
      <c r="C910" s="2"/>
      <c r="D910" s="2"/>
      <c r="E910" s="2"/>
      <c r="F910" s="2"/>
      <c r="G910" s="2"/>
      <c r="H910" s="2"/>
      <c r="I910" s="2"/>
      <c r="J910" s="2"/>
      <c r="K910" s="2"/>
      <c r="L910" s="2"/>
      <c r="M910" s="2"/>
      <c r="N910" s="2"/>
      <c r="O910" s="2"/>
      <c r="P910" s="2"/>
      <c r="Q910" s="2"/>
    </row>
    <row r="911" spans="1:17" ht="12.5">
      <c r="A911" s="2"/>
      <c r="B911" s="2"/>
      <c r="C911" s="2"/>
      <c r="D911" s="2"/>
      <c r="E911" s="2"/>
      <c r="F911" s="2"/>
      <c r="G911" s="2"/>
      <c r="H911" s="2"/>
      <c r="I911" s="2"/>
      <c r="J911" s="2"/>
      <c r="K911" s="2"/>
      <c r="L911" s="2"/>
      <c r="M911" s="2"/>
      <c r="N911" s="2"/>
      <c r="O911" s="2"/>
      <c r="P911" s="2"/>
      <c r="Q911" s="2"/>
    </row>
    <row r="912" spans="1:17" ht="12.5">
      <c r="A912" s="2"/>
      <c r="B912" s="2"/>
      <c r="C912" s="2"/>
      <c r="D912" s="2"/>
      <c r="E912" s="2"/>
      <c r="F912" s="2"/>
      <c r="G912" s="2"/>
      <c r="H912" s="2"/>
      <c r="I912" s="2"/>
      <c r="J912" s="2"/>
      <c r="K912" s="2"/>
      <c r="L912" s="2"/>
      <c r="M912" s="2"/>
      <c r="N912" s="2"/>
      <c r="O912" s="2"/>
      <c r="P912" s="2"/>
      <c r="Q912" s="2"/>
    </row>
    <row r="913" spans="1:17" ht="12.5">
      <c r="A913" s="2"/>
      <c r="B913" s="2"/>
      <c r="C913" s="2"/>
      <c r="D913" s="2"/>
      <c r="E913" s="2"/>
      <c r="F913" s="2"/>
      <c r="G913" s="2"/>
      <c r="H913" s="2"/>
      <c r="I913" s="2"/>
      <c r="J913" s="2"/>
      <c r="K913" s="2"/>
      <c r="L913" s="2"/>
      <c r="M913" s="2"/>
      <c r="N913" s="2"/>
      <c r="O913" s="2"/>
      <c r="P913" s="2"/>
      <c r="Q913" s="2"/>
    </row>
    <row r="914" spans="1:17" ht="12.5">
      <c r="A914" s="2"/>
      <c r="B914" s="2"/>
      <c r="C914" s="2"/>
      <c r="D914" s="2"/>
      <c r="E914" s="2"/>
      <c r="F914" s="2"/>
      <c r="G914" s="2"/>
      <c r="H914" s="2"/>
      <c r="I914" s="2"/>
      <c r="J914" s="2"/>
      <c r="K914" s="2"/>
      <c r="L914" s="2"/>
      <c r="M914" s="2"/>
      <c r="N914" s="2"/>
      <c r="O914" s="2"/>
      <c r="P914" s="2"/>
      <c r="Q914" s="2"/>
    </row>
    <row r="915" spans="1:17" ht="12.5">
      <c r="A915" s="2"/>
      <c r="B915" s="2"/>
      <c r="C915" s="2"/>
      <c r="D915" s="2"/>
      <c r="E915" s="2"/>
      <c r="F915" s="2"/>
      <c r="G915" s="2"/>
      <c r="H915" s="2"/>
      <c r="I915" s="2"/>
      <c r="J915" s="2"/>
      <c r="K915" s="2"/>
      <c r="L915" s="2"/>
      <c r="M915" s="2"/>
      <c r="N915" s="2"/>
      <c r="O915" s="2"/>
      <c r="P915" s="2"/>
      <c r="Q915" s="2"/>
    </row>
    <row r="916" spans="1:17" ht="12.5">
      <c r="A916" s="2"/>
      <c r="B916" s="2"/>
      <c r="C916" s="2"/>
      <c r="D916" s="2"/>
      <c r="E916" s="2"/>
      <c r="F916" s="2"/>
      <c r="G916" s="2"/>
      <c r="H916" s="2"/>
      <c r="I916" s="2"/>
      <c r="J916" s="2"/>
      <c r="K916" s="2"/>
      <c r="L916" s="2"/>
      <c r="M916" s="2"/>
      <c r="N916" s="2"/>
      <c r="O916" s="2"/>
      <c r="P916" s="2"/>
      <c r="Q916" s="2"/>
    </row>
    <row r="917" spans="1:17" ht="12.5">
      <c r="A917" s="2"/>
      <c r="B917" s="2"/>
      <c r="C917" s="2"/>
      <c r="D917" s="2"/>
      <c r="E917" s="2"/>
      <c r="F917" s="2"/>
      <c r="G917" s="2"/>
      <c r="H917" s="2"/>
      <c r="I917" s="2"/>
      <c r="J917" s="2"/>
      <c r="K917" s="2"/>
      <c r="L917" s="2"/>
      <c r="M917" s="2"/>
      <c r="N917" s="2"/>
      <c r="O917" s="2"/>
      <c r="P917" s="2"/>
      <c r="Q917" s="2"/>
    </row>
    <row r="918" spans="1:17" ht="12.5">
      <c r="A918" s="2"/>
      <c r="B918" s="2"/>
      <c r="C918" s="2"/>
      <c r="D918" s="2"/>
      <c r="E918" s="2"/>
      <c r="F918" s="2"/>
      <c r="G918" s="2"/>
      <c r="H918" s="2"/>
      <c r="I918" s="2"/>
      <c r="J918" s="2"/>
      <c r="K918" s="2"/>
      <c r="L918" s="2"/>
      <c r="M918" s="2"/>
      <c r="N918" s="2"/>
      <c r="O918" s="2"/>
      <c r="P918" s="2"/>
      <c r="Q918" s="2"/>
    </row>
    <row r="919" spans="1:17" ht="12.5">
      <c r="A919" s="2"/>
      <c r="B919" s="2"/>
      <c r="C919" s="2"/>
      <c r="D919" s="2"/>
      <c r="E919" s="2"/>
      <c r="F919" s="2"/>
      <c r="G919" s="2"/>
      <c r="H919" s="2"/>
      <c r="I919" s="2"/>
      <c r="J919" s="2"/>
      <c r="K919" s="2"/>
      <c r="L919" s="2"/>
      <c r="M919" s="2"/>
      <c r="N919" s="2"/>
      <c r="O919" s="2"/>
      <c r="P919" s="2"/>
      <c r="Q919" s="2"/>
    </row>
    <row r="920" spans="1:17" ht="12.5">
      <c r="A920" s="2"/>
      <c r="B920" s="2"/>
      <c r="C920" s="2"/>
      <c r="D920" s="2"/>
      <c r="E920" s="2"/>
      <c r="F920" s="2"/>
      <c r="G920" s="2"/>
      <c r="H920" s="2"/>
      <c r="I920" s="2"/>
      <c r="J920" s="2"/>
      <c r="K920" s="2"/>
      <c r="L920" s="2"/>
      <c r="M920" s="2"/>
      <c r="N920" s="2"/>
      <c r="O920" s="2"/>
      <c r="P920" s="2"/>
      <c r="Q920" s="2"/>
    </row>
    <row r="921" spans="1:17" ht="12.5">
      <c r="A921" s="2"/>
      <c r="B921" s="2"/>
      <c r="C921" s="2"/>
      <c r="D921" s="2"/>
      <c r="E921" s="2"/>
      <c r="F921" s="2"/>
      <c r="G921" s="2"/>
      <c r="H921" s="2"/>
      <c r="I921" s="2"/>
      <c r="J921" s="2"/>
      <c r="K921" s="2"/>
      <c r="L921" s="2"/>
      <c r="M921" s="2"/>
      <c r="N921" s="2"/>
      <c r="O921" s="2"/>
      <c r="P921" s="2"/>
      <c r="Q921" s="2"/>
    </row>
    <row r="922" spans="1:17" ht="12.5">
      <c r="A922" s="2"/>
      <c r="B922" s="2"/>
      <c r="C922" s="2"/>
      <c r="D922" s="2"/>
      <c r="E922" s="2"/>
      <c r="F922" s="2"/>
      <c r="G922" s="2"/>
      <c r="H922" s="2"/>
      <c r="I922" s="2"/>
      <c r="J922" s="2"/>
      <c r="K922" s="2"/>
      <c r="L922" s="2"/>
      <c r="M922" s="2"/>
      <c r="N922" s="2"/>
      <c r="O922" s="2"/>
      <c r="P922" s="2"/>
      <c r="Q922" s="2"/>
    </row>
    <row r="923" spans="1:17" ht="12.5">
      <c r="A923" s="2"/>
      <c r="B923" s="2"/>
      <c r="C923" s="2"/>
      <c r="D923" s="2"/>
      <c r="E923" s="2"/>
      <c r="F923" s="2"/>
      <c r="G923" s="2"/>
      <c r="H923" s="2"/>
      <c r="I923" s="2"/>
      <c r="J923" s="2"/>
      <c r="K923" s="2"/>
      <c r="L923" s="2"/>
      <c r="M923" s="2"/>
      <c r="N923" s="2"/>
      <c r="O923" s="2"/>
      <c r="P923" s="2"/>
      <c r="Q923" s="2"/>
    </row>
    <row r="924" spans="1:17" ht="12.5">
      <c r="A924" s="2"/>
      <c r="B924" s="2"/>
      <c r="C924" s="2"/>
      <c r="D924" s="2"/>
      <c r="E924" s="2"/>
      <c r="F924" s="2"/>
      <c r="G924" s="2"/>
      <c r="H924" s="2"/>
      <c r="I924" s="2"/>
      <c r="J924" s="2"/>
      <c r="K924" s="2"/>
      <c r="L924" s="2"/>
      <c r="M924" s="2"/>
      <c r="N924" s="2"/>
      <c r="O924" s="2"/>
      <c r="P924" s="2"/>
      <c r="Q924" s="2"/>
    </row>
    <row r="925" spans="1:17" ht="12.5">
      <c r="A925" s="2"/>
      <c r="B925" s="2"/>
      <c r="C925" s="2"/>
      <c r="D925" s="2"/>
      <c r="E925" s="2"/>
      <c r="F925" s="2"/>
      <c r="G925" s="2"/>
      <c r="H925" s="2"/>
      <c r="I925" s="2"/>
      <c r="J925" s="2"/>
      <c r="K925" s="2"/>
      <c r="L925" s="2"/>
      <c r="M925" s="2"/>
      <c r="N925" s="2"/>
      <c r="O925" s="2"/>
      <c r="P925" s="2"/>
      <c r="Q925" s="2"/>
    </row>
    <row r="926" spans="1:17" ht="12.5">
      <c r="A926" s="2"/>
      <c r="B926" s="2"/>
      <c r="C926" s="2"/>
      <c r="D926" s="2"/>
      <c r="E926" s="2"/>
      <c r="F926" s="2"/>
      <c r="G926" s="2"/>
      <c r="H926" s="2"/>
      <c r="I926" s="2"/>
      <c r="J926" s="2"/>
      <c r="K926" s="2"/>
      <c r="L926" s="2"/>
      <c r="M926" s="2"/>
      <c r="N926" s="2"/>
      <c r="O926" s="2"/>
      <c r="P926" s="2"/>
      <c r="Q926" s="2"/>
    </row>
    <row r="927" spans="1:17" ht="12.5">
      <c r="A927" s="2"/>
      <c r="B927" s="2"/>
      <c r="C927" s="2"/>
      <c r="D927" s="2"/>
      <c r="E927" s="2"/>
      <c r="F927" s="2"/>
      <c r="G927" s="2"/>
      <c r="H927" s="2"/>
      <c r="I927" s="2"/>
      <c r="J927" s="2"/>
      <c r="K927" s="2"/>
      <c r="L927" s="2"/>
      <c r="M927" s="2"/>
      <c r="N927" s="2"/>
      <c r="O927" s="2"/>
      <c r="P927" s="2"/>
      <c r="Q927" s="2"/>
    </row>
    <row r="928" spans="1:17" ht="12.5">
      <c r="A928" s="2"/>
      <c r="B928" s="2"/>
      <c r="C928" s="2"/>
      <c r="D928" s="2"/>
      <c r="E928" s="2"/>
      <c r="F928" s="2"/>
      <c r="G928" s="2"/>
      <c r="H928" s="2"/>
      <c r="I928" s="2"/>
      <c r="J928" s="2"/>
      <c r="K928" s="2"/>
      <c r="L928" s="2"/>
      <c r="M928" s="2"/>
      <c r="N928" s="2"/>
      <c r="O928" s="2"/>
      <c r="P928" s="2"/>
      <c r="Q928" s="2"/>
    </row>
    <row r="929" spans="1:17" ht="12.5">
      <c r="A929" s="2"/>
      <c r="B929" s="2"/>
      <c r="C929" s="2"/>
      <c r="D929" s="2"/>
      <c r="E929" s="2"/>
      <c r="F929" s="2"/>
      <c r="G929" s="2"/>
      <c r="H929" s="2"/>
      <c r="I929" s="2"/>
      <c r="J929" s="2"/>
      <c r="K929" s="2"/>
      <c r="L929" s="2"/>
      <c r="M929" s="2"/>
      <c r="N929" s="2"/>
      <c r="O929" s="2"/>
      <c r="P929" s="2"/>
      <c r="Q929" s="2"/>
    </row>
    <row r="930" spans="1:17" ht="12.5">
      <c r="A930" s="2"/>
      <c r="B930" s="2"/>
      <c r="C930" s="2"/>
      <c r="D930" s="2"/>
      <c r="E930" s="2"/>
      <c r="F930" s="2"/>
      <c r="G930" s="2"/>
      <c r="H930" s="2"/>
      <c r="I930" s="2"/>
      <c r="J930" s="2"/>
      <c r="K930" s="2"/>
      <c r="L930" s="2"/>
      <c r="M930" s="2"/>
      <c r="N930" s="2"/>
      <c r="O930" s="2"/>
      <c r="P930" s="2"/>
      <c r="Q930" s="2"/>
    </row>
    <row r="931" spans="1:17" ht="12.5">
      <c r="A931" s="2"/>
      <c r="B931" s="2"/>
      <c r="C931" s="2"/>
      <c r="D931" s="2"/>
      <c r="E931" s="2"/>
      <c r="F931" s="2"/>
      <c r="G931" s="2"/>
      <c r="H931" s="2"/>
      <c r="I931" s="2"/>
      <c r="J931" s="2"/>
      <c r="K931" s="2"/>
      <c r="L931" s="2"/>
      <c r="M931" s="2"/>
      <c r="N931" s="2"/>
      <c r="O931" s="2"/>
      <c r="P931" s="2"/>
      <c r="Q931" s="2"/>
    </row>
    <row r="932" spans="1:17" ht="12.5">
      <c r="A932" s="2"/>
      <c r="B932" s="2"/>
      <c r="C932" s="2"/>
      <c r="D932" s="2"/>
      <c r="E932" s="2"/>
      <c r="F932" s="2"/>
      <c r="G932" s="2"/>
      <c r="H932" s="2"/>
      <c r="I932" s="2"/>
      <c r="J932" s="2"/>
      <c r="K932" s="2"/>
      <c r="L932" s="2"/>
      <c r="M932" s="2"/>
      <c r="N932" s="2"/>
      <c r="O932" s="2"/>
      <c r="P932" s="2"/>
      <c r="Q932" s="2"/>
    </row>
    <row r="933" spans="1:17" ht="12.5">
      <c r="A933" s="2"/>
      <c r="B933" s="2"/>
      <c r="C933" s="2"/>
      <c r="D933" s="2"/>
      <c r="E933" s="2"/>
      <c r="F933" s="2"/>
      <c r="G933" s="2"/>
      <c r="H933" s="2"/>
      <c r="I933" s="2"/>
      <c r="J933" s="2"/>
      <c r="K933" s="2"/>
      <c r="L933" s="2"/>
      <c r="M933" s="2"/>
      <c r="N933" s="2"/>
      <c r="O933" s="2"/>
      <c r="P933" s="2"/>
      <c r="Q933" s="2"/>
    </row>
    <row r="934" spans="1:17" ht="12.5">
      <c r="A934" s="2"/>
      <c r="B934" s="2"/>
      <c r="C934" s="2"/>
      <c r="D934" s="2"/>
      <c r="E934" s="2"/>
      <c r="F934" s="2"/>
      <c r="G934" s="2"/>
      <c r="H934" s="2"/>
      <c r="I934" s="2"/>
      <c r="J934" s="2"/>
      <c r="K934" s="2"/>
      <c r="L934" s="2"/>
      <c r="M934" s="2"/>
      <c r="N934" s="2"/>
      <c r="O934" s="2"/>
      <c r="P934" s="2"/>
      <c r="Q934" s="2"/>
    </row>
    <row r="935" spans="1:17" ht="12.5">
      <c r="A935" s="2"/>
      <c r="B935" s="2"/>
      <c r="C935" s="2"/>
      <c r="D935" s="2"/>
      <c r="E935" s="2"/>
      <c r="F935" s="2"/>
      <c r="G935" s="2"/>
      <c r="H935" s="2"/>
      <c r="I935" s="2"/>
      <c r="J935" s="2"/>
      <c r="K935" s="2"/>
      <c r="L935" s="2"/>
      <c r="M935" s="2"/>
      <c r="N935" s="2"/>
      <c r="O935" s="2"/>
      <c r="P935" s="2"/>
      <c r="Q935" s="2"/>
    </row>
    <row r="936" spans="1:17" ht="12.5">
      <c r="A936" s="2"/>
      <c r="B936" s="2"/>
      <c r="C936" s="2"/>
      <c r="D936" s="2"/>
      <c r="E936" s="2"/>
      <c r="F936" s="2"/>
      <c r="G936" s="2"/>
      <c r="H936" s="2"/>
      <c r="I936" s="2"/>
      <c r="J936" s="2"/>
      <c r="K936" s="2"/>
      <c r="L936" s="2"/>
      <c r="M936" s="2"/>
      <c r="N936" s="2"/>
      <c r="O936" s="2"/>
      <c r="P936" s="2"/>
      <c r="Q936" s="2"/>
    </row>
    <row r="937" spans="1:17" ht="12.5">
      <c r="A937" s="2"/>
      <c r="B937" s="2"/>
      <c r="C937" s="2"/>
      <c r="D937" s="2"/>
      <c r="E937" s="2"/>
      <c r="F937" s="2"/>
      <c r="G937" s="2"/>
      <c r="H937" s="2"/>
      <c r="I937" s="2"/>
      <c r="J937" s="2"/>
      <c r="K937" s="2"/>
      <c r="L937" s="2"/>
      <c r="M937" s="2"/>
      <c r="N937" s="2"/>
      <c r="O937" s="2"/>
      <c r="P937" s="2"/>
      <c r="Q937" s="2"/>
    </row>
    <row r="938" spans="1:17" ht="12.5">
      <c r="A938" s="2"/>
      <c r="B938" s="2"/>
      <c r="C938" s="2"/>
      <c r="D938" s="2"/>
      <c r="E938" s="2"/>
      <c r="F938" s="2"/>
      <c r="G938" s="2"/>
      <c r="H938" s="2"/>
      <c r="I938" s="2"/>
      <c r="J938" s="2"/>
      <c r="K938" s="2"/>
      <c r="L938" s="2"/>
      <c r="M938" s="2"/>
      <c r="N938" s="2"/>
      <c r="O938" s="2"/>
      <c r="P938" s="2"/>
      <c r="Q938" s="2"/>
    </row>
    <row r="939" spans="1:17" ht="12.5">
      <c r="A939" s="2"/>
      <c r="B939" s="2"/>
      <c r="C939" s="2"/>
      <c r="D939" s="2"/>
      <c r="E939" s="2"/>
      <c r="F939" s="2"/>
      <c r="G939" s="2"/>
      <c r="H939" s="2"/>
      <c r="I939" s="2"/>
      <c r="J939" s="2"/>
      <c r="K939" s="2"/>
      <c r="L939" s="2"/>
      <c r="M939" s="2"/>
      <c r="N939" s="2"/>
      <c r="O939" s="2"/>
      <c r="P939" s="2"/>
      <c r="Q939" s="2"/>
    </row>
    <row r="940" spans="1:17" ht="12.5">
      <c r="A940" s="2"/>
      <c r="B940" s="2"/>
      <c r="C940" s="2"/>
      <c r="D940" s="2"/>
      <c r="E940" s="2"/>
      <c r="F940" s="2"/>
      <c r="G940" s="2"/>
      <c r="H940" s="2"/>
      <c r="I940" s="2"/>
      <c r="J940" s="2"/>
      <c r="K940" s="2"/>
      <c r="L940" s="2"/>
      <c r="M940" s="2"/>
      <c r="N940" s="2"/>
      <c r="O940" s="2"/>
      <c r="P940" s="2"/>
      <c r="Q940" s="2"/>
    </row>
    <row r="941" spans="1:17" ht="12.5">
      <c r="A941" s="2"/>
      <c r="B941" s="2"/>
      <c r="C941" s="2"/>
      <c r="D941" s="2"/>
      <c r="E941" s="2"/>
      <c r="F941" s="2"/>
      <c r="G941" s="2"/>
      <c r="H941" s="2"/>
      <c r="I941" s="2"/>
      <c r="J941" s="2"/>
      <c r="K941" s="2"/>
      <c r="L941" s="2"/>
      <c r="M941" s="2"/>
      <c r="N941" s="2"/>
      <c r="O941" s="2"/>
      <c r="P941" s="2"/>
      <c r="Q941" s="2"/>
    </row>
    <row r="942" spans="1:17" ht="12.5">
      <c r="A942" s="2"/>
      <c r="B942" s="2"/>
      <c r="C942" s="2"/>
      <c r="D942" s="2"/>
      <c r="E942" s="2"/>
      <c r="F942" s="2"/>
      <c r="G942" s="2"/>
      <c r="H942" s="2"/>
      <c r="I942" s="2"/>
      <c r="J942" s="2"/>
      <c r="K942" s="2"/>
      <c r="L942" s="2"/>
      <c r="M942" s="2"/>
      <c r="N942" s="2"/>
      <c r="O942" s="2"/>
      <c r="P942" s="2"/>
      <c r="Q942" s="2"/>
    </row>
    <row r="943" spans="1:17" ht="12.5">
      <c r="A943" s="2"/>
      <c r="B943" s="2"/>
      <c r="C943" s="2"/>
      <c r="D943" s="2"/>
      <c r="E943" s="2"/>
      <c r="F943" s="2"/>
      <c r="G943" s="2"/>
      <c r="H943" s="2"/>
      <c r="I943" s="2"/>
      <c r="J943" s="2"/>
      <c r="K943" s="2"/>
      <c r="L943" s="2"/>
      <c r="M943" s="2"/>
      <c r="N943" s="2"/>
      <c r="O943" s="2"/>
      <c r="P943" s="2"/>
      <c r="Q943" s="2"/>
    </row>
    <row r="944" spans="1:17" ht="12.5">
      <c r="A944" s="2"/>
      <c r="B944" s="2"/>
      <c r="C944" s="2"/>
      <c r="D944" s="2"/>
      <c r="E944" s="2"/>
      <c r="F944" s="2"/>
      <c r="G944" s="2"/>
      <c r="H944" s="2"/>
      <c r="I944" s="2"/>
      <c r="J944" s="2"/>
      <c r="K944" s="2"/>
      <c r="L944" s="2"/>
      <c r="M944" s="2"/>
      <c r="N944" s="2"/>
      <c r="O944" s="2"/>
      <c r="P944" s="2"/>
      <c r="Q944" s="2"/>
    </row>
    <row r="945" spans="1:17" ht="12.5">
      <c r="A945" s="2"/>
      <c r="B945" s="2"/>
      <c r="C945" s="2"/>
      <c r="D945" s="2"/>
      <c r="E945" s="2"/>
      <c r="F945" s="2"/>
      <c r="G945" s="2"/>
      <c r="H945" s="2"/>
      <c r="I945" s="2"/>
      <c r="J945" s="2"/>
      <c r="K945" s="2"/>
      <c r="L945" s="2"/>
      <c r="M945" s="2"/>
      <c r="N945" s="2"/>
      <c r="O945" s="2"/>
      <c r="P945" s="2"/>
      <c r="Q945" s="2"/>
    </row>
    <row r="946" spans="1:17" ht="12.5">
      <c r="A946" s="2"/>
      <c r="B946" s="2"/>
      <c r="C946" s="2"/>
      <c r="D946" s="2"/>
      <c r="E946" s="2"/>
      <c r="F946" s="2"/>
      <c r="G946" s="2"/>
      <c r="H946" s="2"/>
      <c r="I946" s="2"/>
      <c r="J946" s="2"/>
      <c r="K946" s="2"/>
      <c r="L946" s="2"/>
      <c r="M946" s="2"/>
      <c r="N946" s="2"/>
      <c r="O946" s="2"/>
      <c r="P946" s="2"/>
      <c r="Q946" s="2"/>
    </row>
    <row r="947" spans="1:17" ht="12.5">
      <c r="A947" s="2"/>
      <c r="B947" s="2"/>
      <c r="C947" s="2"/>
      <c r="D947" s="2"/>
      <c r="E947" s="2"/>
      <c r="F947" s="2"/>
      <c r="G947" s="2"/>
      <c r="H947" s="2"/>
      <c r="I947" s="2"/>
      <c r="J947" s="2"/>
      <c r="K947" s="2"/>
      <c r="L947" s="2"/>
      <c r="M947" s="2"/>
      <c r="N947" s="2"/>
      <c r="O947" s="2"/>
      <c r="P947" s="2"/>
      <c r="Q947" s="2"/>
    </row>
    <row r="948" spans="1:17" ht="12.5">
      <c r="A948" s="2"/>
      <c r="B948" s="2"/>
      <c r="C948" s="2"/>
      <c r="D948" s="2"/>
      <c r="E948" s="2"/>
      <c r="F948" s="2"/>
      <c r="G948" s="2"/>
      <c r="H948" s="2"/>
      <c r="I948" s="2"/>
      <c r="J948" s="2"/>
      <c r="K948" s="2"/>
      <c r="L948" s="2"/>
      <c r="M948" s="2"/>
      <c r="N948" s="2"/>
      <c r="O948" s="2"/>
      <c r="P948" s="2"/>
      <c r="Q948" s="2"/>
    </row>
    <row r="949" spans="1:17" ht="12.5">
      <c r="A949" s="2"/>
      <c r="B949" s="2"/>
      <c r="C949" s="2"/>
      <c r="D949" s="2"/>
      <c r="E949" s="2"/>
      <c r="F949" s="2"/>
      <c r="G949" s="2"/>
      <c r="H949" s="2"/>
      <c r="I949" s="2"/>
      <c r="J949" s="2"/>
      <c r="K949" s="2"/>
      <c r="L949" s="2"/>
      <c r="M949" s="2"/>
      <c r="N949" s="2"/>
      <c r="O949" s="2"/>
      <c r="P949" s="2"/>
      <c r="Q949" s="2"/>
    </row>
    <row r="950" spans="1:17" ht="12.5">
      <c r="A950" s="2"/>
      <c r="B950" s="2"/>
      <c r="C950" s="2"/>
      <c r="D950" s="2"/>
      <c r="E950" s="2"/>
      <c r="F950" s="2"/>
      <c r="G950" s="2"/>
      <c r="H950" s="2"/>
      <c r="I950" s="2"/>
      <c r="J950" s="2"/>
      <c r="K950" s="2"/>
      <c r="L950" s="2"/>
      <c r="M950" s="2"/>
      <c r="N950" s="2"/>
      <c r="O950" s="2"/>
      <c r="P950" s="2"/>
      <c r="Q950" s="2"/>
    </row>
    <row r="951" spans="1:17" ht="12.5">
      <c r="A951" s="2"/>
      <c r="B951" s="2"/>
      <c r="C951" s="2"/>
      <c r="D951" s="2"/>
      <c r="E951" s="2"/>
      <c r="F951" s="2"/>
      <c r="G951" s="2"/>
      <c r="H951" s="2"/>
      <c r="I951" s="2"/>
      <c r="J951" s="2"/>
      <c r="K951" s="2"/>
      <c r="L951" s="2"/>
      <c r="M951" s="2"/>
      <c r="N951" s="2"/>
      <c r="O951" s="2"/>
      <c r="P951" s="2"/>
      <c r="Q951" s="2"/>
    </row>
    <row r="952" spans="1:17" ht="12.5">
      <c r="A952" s="2"/>
      <c r="B952" s="2"/>
      <c r="C952" s="2"/>
      <c r="D952" s="2"/>
      <c r="E952" s="2"/>
      <c r="F952" s="2"/>
      <c r="G952" s="2"/>
      <c r="H952" s="2"/>
      <c r="I952" s="2"/>
      <c r="J952" s="2"/>
      <c r="K952" s="2"/>
      <c r="L952" s="2"/>
      <c r="M952" s="2"/>
      <c r="N952" s="2"/>
      <c r="O952" s="2"/>
      <c r="P952" s="2"/>
      <c r="Q952" s="2"/>
    </row>
    <row r="953" spans="1:17" ht="12.5">
      <c r="A953" s="2"/>
      <c r="B953" s="2"/>
      <c r="C953" s="2"/>
      <c r="D953" s="2"/>
      <c r="E953" s="2"/>
      <c r="F953" s="2"/>
      <c r="G953" s="2"/>
      <c r="H953" s="2"/>
      <c r="I953" s="2"/>
      <c r="J953" s="2"/>
      <c r="K953" s="2"/>
      <c r="L953" s="2"/>
      <c r="M953" s="2"/>
      <c r="N953" s="2"/>
      <c r="O953" s="2"/>
      <c r="P953" s="2"/>
      <c r="Q953" s="2"/>
    </row>
    <row r="954" spans="1:17" ht="12.5">
      <c r="A954" s="2"/>
      <c r="B954" s="2"/>
      <c r="C954" s="2"/>
      <c r="D954" s="2"/>
      <c r="E954" s="2"/>
      <c r="F954" s="2"/>
      <c r="G954" s="2"/>
      <c r="H954" s="2"/>
      <c r="I954" s="2"/>
      <c r="J954" s="2"/>
      <c r="K954" s="2"/>
      <c r="L954" s="2"/>
      <c r="M954" s="2"/>
      <c r="N954" s="2"/>
      <c r="O954" s="2"/>
      <c r="P954" s="2"/>
      <c r="Q954" s="2"/>
    </row>
    <row r="955" spans="1:17" ht="12.5">
      <c r="A955" s="2"/>
      <c r="B955" s="2"/>
      <c r="C955" s="2"/>
      <c r="D955" s="2"/>
      <c r="E955" s="2"/>
      <c r="F955" s="2"/>
      <c r="G955" s="2"/>
      <c r="H955" s="2"/>
      <c r="I955" s="2"/>
      <c r="J955" s="2"/>
      <c r="K955" s="2"/>
      <c r="L955" s="2"/>
      <c r="M955" s="2"/>
      <c r="N955" s="2"/>
      <c r="O955" s="2"/>
      <c r="P955" s="2"/>
      <c r="Q955" s="2"/>
    </row>
    <row r="956" spans="1:17" ht="12.5">
      <c r="A956" s="2"/>
      <c r="B956" s="2"/>
      <c r="C956" s="2"/>
      <c r="D956" s="2"/>
      <c r="E956" s="2"/>
      <c r="F956" s="2"/>
      <c r="G956" s="2"/>
      <c r="H956" s="2"/>
      <c r="I956" s="2"/>
      <c r="J956" s="2"/>
      <c r="K956" s="2"/>
      <c r="L956" s="2"/>
      <c r="M956" s="2"/>
      <c r="N956" s="2"/>
      <c r="O956" s="2"/>
      <c r="P956" s="2"/>
      <c r="Q956" s="2"/>
    </row>
    <row r="957" spans="1:17" ht="12.5">
      <c r="A957" s="2"/>
      <c r="B957" s="2"/>
      <c r="C957" s="2"/>
      <c r="D957" s="2"/>
      <c r="E957" s="2"/>
      <c r="F957" s="2"/>
      <c r="G957" s="2"/>
      <c r="H957" s="2"/>
      <c r="I957" s="2"/>
      <c r="J957" s="2"/>
      <c r="K957" s="2"/>
      <c r="L957" s="2"/>
      <c r="M957" s="2"/>
      <c r="N957" s="2"/>
      <c r="O957" s="2"/>
      <c r="P957" s="2"/>
      <c r="Q957" s="2"/>
    </row>
    <row r="958" spans="1:17" ht="12.5">
      <c r="A958" s="2"/>
      <c r="B958" s="2"/>
      <c r="C958" s="2"/>
      <c r="D958" s="2"/>
      <c r="E958" s="2"/>
      <c r="F958" s="2"/>
      <c r="G958" s="2"/>
      <c r="H958" s="2"/>
      <c r="I958" s="2"/>
      <c r="J958" s="2"/>
      <c r="K958" s="2"/>
      <c r="L958" s="2"/>
      <c r="M958" s="2"/>
      <c r="N958" s="2"/>
      <c r="O958" s="2"/>
      <c r="P958" s="2"/>
      <c r="Q958" s="2"/>
    </row>
    <row r="959" spans="1:17" ht="12.5">
      <c r="A959" s="2"/>
      <c r="B959" s="2"/>
      <c r="C959" s="2"/>
      <c r="D959" s="2"/>
      <c r="E959" s="2"/>
      <c r="F959" s="2"/>
      <c r="G959" s="2"/>
      <c r="H959" s="2"/>
      <c r="I959" s="2"/>
      <c r="J959" s="2"/>
      <c r="K959" s="2"/>
      <c r="L959" s="2"/>
      <c r="M959" s="2"/>
      <c r="N959" s="2"/>
      <c r="O959" s="2"/>
      <c r="P959" s="2"/>
      <c r="Q959" s="2"/>
    </row>
    <row r="960" spans="1:17" ht="12.5">
      <c r="A960" s="2"/>
      <c r="B960" s="2"/>
      <c r="C960" s="2"/>
      <c r="D960" s="2"/>
      <c r="E960" s="2"/>
      <c r="F960" s="2"/>
      <c r="G960" s="2"/>
      <c r="H960" s="2"/>
      <c r="I960" s="2"/>
      <c r="J960" s="2"/>
      <c r="K960" s="2"/>
      <c r="L960" s="2"/>
      <c r="M960" s="2"/>
      <c r="N960" s="2"/>
      <c r="O960" s="2"/>
      <c r="P960" s="2"/>
      <c r="Q960" s="2"/>
    </row>
    <row r="961" spans="1:17" ht="12.5">
      <c r="A961" s="2"/>
      <c r="B961" s="2"/>
      <c r="C961" s="2"/>
      <c r="D961" s="2"/>
      <c r="E961" s="2"/>
      <c r="F961" s="2"/>
      <c r="G961" s="2"/>
      <c r="H961" s="2"/>
      <c r="I961" s="2"/>
      <c r="J961" s="2"/>
      <c r="K961" s="2"/>
      <c r="L961" s="2"/>
      <c r="M961" s="2"/>
      <c r="N961" s="2"/>
      <c r="O961" s="2"/>
      <c r="P961" s="2"/>
      <c r="Q961" s="2"/>
    </row>
    <row r="962" spans="1:17" ht="12.5">
      <c r="A962" s="2"/>
      <c r="B962" s="2"/>
      <c r="C962" s="2"/>
      <c r="D962" s="2"/>
      <c r="E962" s="2"/>
      <c r="F962" s="2"/>
      <c r="G962" s="2"/>
      <c r="H962" s="2"/>
      <c r="I962" s="2"/>
      <c r="J962" s="2"/>
      <c r="K962" s="2"/>
      <c r="L962" s="2"/>
      <c r="M962" s="2"/>
      <c r="N962" s="2"/>
      <c r="O962" s="2"/>
      <c r="P962" s="2"/>
      <c r="Q962" s="2"/>
    </row>
    <row r="963" spans="1:17" ht="12.5">
      <c r="A963" s="2"/>
      <c r="B963" s="2"/>
      <c r="C963" s="2"/>
      <c r="D963" s="2"/>
      <c r="E963" s="2"/>
      <c r="F963" s="2"/>
      <c r="G963" s="2"/>
      <c r="H963" s="2"/>
      <c r="I963" s="2"/>
      <c r="J963" s="2"/>
      <c r="K963" s="2"/>
      <c r="L963" s="2"/>
      <c r="M963" s="2"/>
      <c r="N963" s="2"/>
      <c r="O963" s="2"/>
      <c r="P963" s="2"/>
      <c r="Q963" s="2"/>
    </row>
    <row r="964" spans="1:17" ht="12.5">
      <c r="A964" s="2"/>
      <c r="B964" s="2"/>
      <c r="C964" s="2"/>
      <c r="D964" s="2"/>
      <c r="E964" s="2"/>
      <c r="F964" s="2"/>
      <c r="G964" s="2"/>
      <c r="H964" s="2"/>
      <c r="I964" s="2"/>
      <c r="J964" s="2"/>
      <c r="K964" s="2"/>
      <c r="L964" s="2"/>
      <c r="M964" s="2"/>
      <c r="N964" s="2"/>
      <c r="O964" s="2"/>
      <c r="P964" s="2"/>
      <c r="Q964" s="2"/>
    </row>
    <row r="965" spans="1:17" ht="12.5">
      <c r="A965" s="2"/>
      <c r="B965" s="2"/>
      <c r="C965" s="2"/>
      <c r="D965" s="2"/>
      <c r="E965" s="2"/>
      <c r="F965" s="2"/>
      <c r="G965" s="2"/>
      <c r="H965" s="2"/>
      <c r="I965" s="2"/>
      <c r="J965" s="2"/>
      <c r="K965" s="2"/>
      <c r="L965" s="2"/>
      <c r="M965" s="2"/>
      <c r="N965" s="2"/>
      <c r="O965" s="2"/>
      <c r="P965" s="2"/>
      <c r="Q965" s="2"/>
    </row>
    <row r="966" spans="1:17" ht="12.5">
      <c r="A966" s="2"/>
      <c r="B966" s="2"/>
      <c r="C966" s="2"/>
      <c r="D966" s="2"/>
      <c r="E966" s="2"/>
      <c r="F966" s="2"/>
      <c r="G966" s="2"/>
      <c r="H966" s="2"/>
      <c r="I966" s="2"/>
      <c r="J966" s="2"/>
      <c r="K966" s="2"/>
      <c r="L966" s="2"/>
      <c r="M966" s="2"/>
      <c r="N966" s="2"/>
      <c r="O966" s="2"/>
      <c r="P966" s="2"/>
      <c r="Q966" s="2"/>
    </row>
    <row r="967" spans="1:17" ht="12.5">
      <c r="A967" s="2"/>
      <c r="B967" s="2"/>
      <c r="C967" s="2"/>
      <c r="D967" s="2"/>
      <c r="E967" s="2"/>
      <c r="F967" s="2"/>
      <c r="G967" s="2"/>
      <c r="H967" s="2"/>
      <c r="I967" s="2"/>
      <c r="J967" s="2"/>
      <c r="K967" s="2"/>
      <c r="L967" s="2"/>
      <c r="M967" s="2"/>
      <c r="N967" s="2"/>
      <c r="O967" s="2"/>
      <c r="P967" s="2"/>
      <c r="Q967" s="2"/>
    </row>
    <row r="968" spans="1:17" ht="12.5">
      <c r="A968" s="2"/>
      <c r="B968" s="2"/>
      <c r="C968" s="2"/>
      <c r="D968" s="2"/>
      <c r="E968" s="2"/>
      <c r="F968" s="2"/>
      <c r="G968" s="2"/>
      <c r="H968" s="2"/>
      <c r="I968" s="2"/>
      <c r="J968" s="2"/>
      <c r="K968" s="2"/>
      <c r="L968" s="2"/>
      <c r="M968" s="2"/>
      <c r="N968" s="2"/>
      <c r="O968" s="2"/>
      <c r="P968" s="2"/>
      <c r="Q968" s="2"/>
    </row>
    <row r="969" spans="1:17" ht="12.5">
      <c r="A969" s="2"/>
      <c r="B969" s="2"/>
      <c r="C969" s="2"/>
      <c r="D969" s="2"/>
      <c r="E969" s="2"/>
      <c r="F969" s="2"/>
      <c r="G969" s="2"/>
      <c r="H969" s="2"/>
      <c r="I969" s="2"/>
      <c r="J969" s="2"/>
      <c r="K969" s="2"/>
      <c r="L969" s="2"/>
      <c r="M969" s="2"/>
      <c r="N969" s="2"/>
      <c r="O969" s="2"/>
      <c r="P969" s="2"/>
      <c r="Q969" s="2"/>
    </row>
    <row r="970" spans="1:17" ht="12.5">
      <c r="A970" s="2"/>
      <c r="B970" s="2"/>
      <c r="C970" s="2"/>
      <c r="D970" s="2"/>
      <c r="E970" s="2"/>
      <c r="F970" s="2"/>
      <c r="G970" s="2"/>
      <c r="H970" s="2"/>
      <c r="I970" s="2"/>
      <c r="J970" s="2"/>
      <c r="K970" s="2"/>
      <c r="L970" s="2"/>
      <c r="M970" s="2"/>
      <c r="N970" s="2"/>
      <c r="O970" s="2"/>
      <c r="P970" s="2"/>
      <c r="Q970" s="2"/>
    </row>
    <row r="971" spans="1:17" ht="12.5">
      <c r="A971" s="2"/>
      <c r="B971" s="2"/>
      <c r="C971" s="2"/>
      <c r="D971" s="2"/>
      <c r="E971" s="2"/>
      <c r="F971" s="2"/>
      <c r="G971" s="2"/>
      <c r="H971" s="2"/>
      <c r="I971" s="2"/>
      <c r="J971" s="2"/>
      <c r="K971" s="2"/>
      <c r="L971" s="2"/>
      <c r="M971" s="2"/>
      <c r="N971" s="2"/>
      <c r="O971" s="2"/>
      <c r="P971" s="2"/>
      <c r="Q971" s="2"/>
    </row>
    <row r="972" spans="1:17" ht="12.5">
      <c r="A972" s="2"/>
      <c r="B972" s="2"/>
      <c r="C972" s="2"/>
      <c r="D972" s="2"/>
      <c r="E972" s="2"/>
      <c r="F972" s="2"/>
      <c r="G972" s="2"/>
      <c r="H972" s="2"/>
      <c r="I972" s="2"/>
      <c r="J972" s="2"/>
      <c r="K972" s="2"/>
      <c r="L972" s="2"/>
      <c r="M972" s="2"/>
      <c r="N972" s="2"/>
      <c r="O972" s="2"/>
      <c r="P972" s="2"/>
      <c r="Q972" s="2"/>
    </row>
    <row r="973" spans="1:17" ht="12.5">
      <c r="A973" s="2"/>
      <c r="B973" s="2"/>
      <c r="C973" s="2"/>
      <c r="D973" s="2"/>
      <c r="E973" s="2"/>
      <c r="F973" s="2"/>
      <c r="G973" s="2"/>
      <c r="H973" s="2"/>
      <c r="I973" s="2"/>
      <c r="J973" s="2"/>
      <c r="K973" s="2"/>
      <c r="L973" s="2"/>
      <c r="M973" s="2"/>
      <c r="N973" s="2"/>
      <c r="O973" s="2"/>
      <c r="P973" s="2"/>
      <c r="Q973" s="2"/>
    </row>
    <row r="974" spans="1:17" ht="12.5">
      <c r="A974" s="2"/>
      <c r="B974" s="2"/>
      <c r="C974" s="2"/>
      <c r="D974" s="2"/>
      <c r="E974" s="2"/>
      <c r="F974" s="2"/>
      <c r="G974" s="2"/>
      <c r="H974" s="2"/>
      <c r="I974" s="2"/>
      <c r="J974" s="2"/>
      <c r="K974" s="2"/>
      <c r="L974" s="2"/>
      <c r="M974" s="2"/>
      <c r="N974" s="2"/>
      <c r="O974" s="2"/>
      <c r="P974" s="2"/>
      <c r="Q974" s="2"/>
    </row>
    <row r="975" spans="1:17" ht="12.5">
      <c r="A975" s="2"/>
      <c r="B975" s="2"/>
      <c r="C975" s="2"/>
      <c r="D975" s="2"/>
      <c r="E975" s="2"/>
      <c r="F975" s="2"/>
      <c r="G975" s="2"/>
      <c r="H975" s="2"/>
      <c r="I975" s="2"/>
      <c r="J975" s="2"/>
      <c r="K975" s="2"/>
      <c r="L975" s="2"/>
      <c r="M975" s="2"/>
      <c r="N975" s="2"/>
      <c r="O975" s="2"/>
      <c r="P975" s="2"/>
      <c r="Q975" s="2"/>
    </row>
    <row r="976" spans="1:17" ht="12.5">
      <c r="A976" s="2"/>
      <c r="B976" s="2"/>
      <c r="C976" s="2"/>
      <c r="D976" s="2"/>
      <c r="E976" s="2"/>
      <c r="F976" s="2"/>
      <c r="G976" s="2"/>
      <c r="H976" s="2"/>
      <c r="I976" s="2"/>
      <c r="J976" s="2"/>
      <c r="K976" s="2"/>
      <c r="L976" s="2"/>
      <c r="M976" s="2"/>
      <c r="N976" s="2"/>
      <c r="O976" s="2"/>
      <c r="P976" s="2"/>
      <c r="Q976" s="2"/>
    </row>
    <row r="977" spans="1:17" ht="12.5">
      <c r="A977" s="2"/>
      <c r="B977" s="2"/>
      <c r="C977" s="2"/>
      <c r="D977" s="2"/>
      <c r="E977" s="2"/>
      <c r="F977" s="2"/>
      <c r="G977" s="2"/>
      <c r="H977" s="2"/>
      <c r="I977" s="2"/>
      <c r="J977" s="2"/>
      <c r="K977" s="2"/>
      <c r="L977" s="2"/>
      <c r="M977" s="2"/>
      <c r="N977" s="2"/>
      <c r="O977" s="2"/>
      <c r="P977" s="2"/>
      <c r="Q977" s="2"/>
    </row>
    <row r="978" spans="1:17" ht="12.5">
      <c r="A978" s="2"/>
      <c r="B978" s="2"/>
      <c r="C978" s="2"/>
      <c r="D978" s="2"/>
      <c r="E978" s="2"/>
      <c r="F978" s="2"/>
      <c r="G978" s="2"/>
      <c r="H978" s="2"/>
      <c r="I978" s="2"/>
      <c r="J978" s="2"/>
      <c r="K978" s="2"/>
      <c r="L978" s="2"/>
      <c r="M978" s="2"/>
      <c r="N978" s="2"/>
      <c r="O978" s="2"/>
      <c r="P978" s="2"/>
      <c r="Q978" s="2"/>
    </row>
    <row r="979" spans="1:17" ht="12.5">
      <c r="A979" s="2"/>
      <c r="B979" s="2"/>
      <c r="C979" s="2"/>
      <c r="D979" s="2"/>
      <c r="E979" s="2"/>
      <c r="F979" s="2"/>
      <c r="G979" s="2"/>
      <c r="H979" s="2"/>
      <c r="I979" s="2"/>
      <c r="J979" s="2"/>
      <c r="K979" s="2"/>
      <c r="L979" s="2"/>
      <c r="M979" s="2"/>
      <c r="N979" s="2"/>
      <c r="O979" s="2"/>
      <c r="P979" s="2"/>
      <c r="Q979" s="2"/>
    </row>
    <row r="980" spans="1:17" ht="12.5">
      <c r="A980" s="2"/>
      <c r="B980" s="2"/>
      <c r="C980" s="2"/>
      <c r="D980" s="2"/>
      <c r="E980" s="2"/>
      <c r="F980" s="2"/>
      <c r="G980" s="2"/>
      <c r="H980" s="2"/>
      <c r="I980" s="2"/>
      <c r="J980" s="2"/>
      <c r="K980" s="2"/>
      <c r="L980" s="2"/>
      <c r="M980" s="2"/>
      <c r="N980" s="2"/>
      <c r="O980" s="2"/>
      <c r="P980" s="2"/>
      <c r="Q980" s="2"/>
    </row>
    <row r="981" spans="1:17" ht="12.5">
      <c r="A981" s="2"/>
      <c r="B981" s="2"/>
      <c r="C981" s="2"/>
      <c r="D981" s="2"/>
      <c r="E981" s="2"/>
      <c r="F981" s="2"/>
      <c r="G981" s="2"/>
      <c r="H981" s="2"/>
      <c r="I981" s="2"/>
      <c r="J981" s="2"/>
      <c r="K981" s="2"/>
      <c r="L981" s="2"/>
      <c r="M981" s="2"/>
      <c r="N981" s="2"/>
      <c r="O981" s="2"/>
      <c r="P981" s="2"/>
      <c r="Q981" s="2"/>
    </row>
    <row r="982" spans="1:17" ht="12.5">
      <c r="A982" s="2"/>
      <c r="B982" s="2"/>
      <c r="C982" s="2"/>
      <c r="D982" s="2"/>
      <c r="E982" s="2"/>
      <c r="F982" s="2"/>
      <c r="G982" s="2"/>
      <c r="H982" s="2"/>
      <c r="I982" s="2"/>
      <c r="J982" s="2"/>
      <c r="K982" s="2"/>
      <c r="L982" s="2"/>
      <c r="M982" s="2"/>
      <c r="N982" s="2"/>
      <c r="O982" s="2"/>
      <c r="P982" s="2"/>
      <c r="Q982" s="2"/>
    </row>
    <row r="983" spans="1:17" ht="12.5">
      <c r="A983" s="2"/>
      <c r="B983" s="2"/>
      <c r="C983" s="2"/>
      <c r="D983" s="2"/>
      <c r="E983" s="2"/>
      <c r="F983" s="2"/>
      <c r="G983" s="2"/>
      <c r="H983" s="2"/>
      <c r="I983" s="2"/>
      <c r="J983" s="2"/>
      <c r="K983" s="2"/>
      <c r="L983" s="2"/>
      <c r="M983" s="2"/>
      <c r="N983" s="2"/>
      <c r="O983" s="2"/>
      <c r="P983" s="2"/>
      <c r="Q983" s="2"/>
    </row>
    <row r="984" spans="1:17" ht="12.5">
      <c r="A984" s="2"/>
      <c r="B984" s="2"/>
      <c r="C984" s="2"/>
      <c r="D984" s="2"/>
      <c r="E984" s="2"/>
      <c r="F984" s="2"/>
      <c r="G984" s="2"/>
      <c r="H984" s="2"/>
      <c r="I984" s="2"/>
      <c r="J984" s="2"/>
      <c r="K984" s="2"/>
      <c r="L984" s="2"/>
      <c r="M984" s="2"/>
      <c r="N984" s="2"/>
      <c r="O984" s="2"/>
      <c r="P984" s="2"/>
      <c r="Q984" s="2"/>
    </row>
    <row r="985" spans="1:17" ht="12.5">
      <c r="A985" s="2"/>
      <c r="B985" s="2"/>
      <c r="C985" s="2"/>
      <c r="D985" s="2"/>
      <c r="E985" s="2"/>
      <c r="F985" s="2"/>
      <c r="G985" s="2"/>
      <c r="H985" s="2"/>
      <c r="I985" s="2"/>
      <c r="J985" s="2"/>
      <c r="K985" s="2"/>
      <c r="L985" s="2"/>
      <c r="M985" s="2"/>
      <c r="N985" s="2"/>
      <c r="O985" s="2"/>
      <c r="P985" s="2"/>
      <c r="Q985" s="2"/>
    </row>
    <row r="986" spans="1:17" ht="12.5">
      <c r="A986" s="2"/>
      <c r="B986" s="2"/>
      <c r="C986" s="2"/>
      <c r="D986" s="2"/>
      <c r="E986" s="2"/>
      <c r="F986" s="2"/>
      <c r="G986" s="2"/>
      <c r="H986" s="2"/>
      <c r="I986" s="2"/>
      <c r="J986" s="2"/>
      <c r="K986" s="2"/>
      <c r="L986" s="2"/>
      <c r="M986" s="2"/>
      <c r="N986" s="2"/>
      <c r="O986" s="2"/>
      <c r="P986" s="2"/>
      <c r="Q986" s="2"/>
    </row>
    <row r="987" spans="1:17" ht="12.5">
      <c r="A987" s="2"/>
      <c r="B987" s="2"/>
      <c r="C987" s="2"/>
      <c r="D987" s="2"/>
      <c r="E987" s="2"/>
      <c r="F987" s="2"/>
      <c r="G987" s="2"/>
      <c r="H987" s="2"/>
      <c r="I987" s="2"/>
      <c r="J987" s="2"/>
      <c r="K987" s="2"/>
      <c r="L987" s="2"/>
      <c r="M987" s="2"/>
      <c r="N987" s="2"/>
      <c r="O987" s="2"/>
      <c r="P987" s="2"/>
      <c r="Q987" s="2"/>
    </row>
    <row r="988" spans="1:17" ht="12.5">
      <c r="A988" s="2"/>
      <c r="B988" s="2"/>
      <c r="C988" s="2"/>
      <c r="D988" s="2"/>
      <c r="E988" s="2"/>
      <c r="F988" s="2"/>
      <c r="G988" s="2"/>
      <c r="H988" s="2"/>
      <c r="I988" s="2"/>
      <c r="J988" s="2"/>
      <c r="K988" s="2"/>
      <c r="L988" s="2"/>
      <c r="M988" s="2"/>
      <c r="N988" s="2"/>
      <c r="O988" s="2"/>
      <c r="P988" s="2"/>
      <c r="Q988" s="2"/>
    </row>
    <row r="989" spans="1:17" ht="12.5">
      <c r="A989" s="2"/>
      <c r="B989" s="2"/>
      <c r="C989" s="2"/>
      <c r="D989" s="2"/>
      <c r="E989" s="2"/>
      <c r="F989" s="2"/>
      <c r="G989" s="2"/>
      <c r="H989" s="2"/>
      <c r="I989" s="2"/>
      <c r="J989" s="2"/>
      <c r="K989" s="2"/>
      <c r="L989" s="2"/>
      <c r="M989" s="2"/>
      <c r="N989" s="2"/>
      <c r="O989" s="2"/>
      <c r="P989" s="2"/>
      <c r="Q989" s="2"/>
    </row>
    <row r="990" spans="1:17" ht="12.5">
      <c r="A990" s="2"/>
      <c r="B990" s="2"/>
      <c r="C990" s="2"/>
      <c r="D990" s="2"/>
      <c r="E990" s="2"/>
      <c r="F990" s="2"/>
      <c r="G990" s="2"/>
      <c r="H990" s="2"/>
      <c r="I990" s="2"/>
      <c r="J990" s="2"/>
      <c r="K990" s="2"/>
      <c r="L990" s="2"/>
      <c r="M990" s="2"/>
      <c r="N990" s="2"/>
      <c r="O990" s="2"/>
      <c r="P990" s="2"/>
      <c r="Q990" s="2"/>
    </row>
    <row r="991" spans="1:17" ht="12.5">
      <c r="A991" s="2"/>
      <c r="B991" s="2"/>
      <c r="C991" s="2"/>
      <c r="D991" s="2"/>
      <c r="E991" s="2"/>
      <c r="F991" s="2"/>
      <c r="G991" s="2"/>
      <c r="H991" s="2"/>
      <c r="I991" s="2"/>
      <c r="J991" s="2"/>
      <c r="K991" s="2"/>
      <c r="L991" s="2"/>
      <c r="M991" s="2"/>
      <c r="N991" s="2"/>
      <c r="O991" s="2"/>
      <c r="P991" s="2"/>
      <c r="Q991" s="2"/>
    </row>
    <row r="992" spans="1:17" ht="12.5">
      <c r="A992" s="2"/>
      <c r="B992" s="2"/>
      <c r="C992" s="2"/>
      <c r="D992" s="2"/>
      <c r="E992" s="2"/>
      <c r="F992" s="2"/>
      <c r="G992" s="2"/>
      <c r="H992" s="2"/>
      <c r="I992" s="2"/>
      <c r="J992" s="2"/>
      <c r="K992" s="2"/>
      <c r="L992" s="2"/>
      <c r="M992" s="2"/>
      <c r="N992" s="2"/>
      <c r="O992" s="2"/>
      <c r="P992" s="2"/>
      <c r="Q992" s="2"/>
    </row>
    <row r="993" spans="1:17" ht="12.5">
      <c r="A993" s="2"/>
      <c r="B993" s="2"/>
      <c r="C993" s="2"/>
      <c r="D993" s="2"/>
      <c r="E993" s="2"/>
      <c r="F993" s="2"/>
      <c r="G993" s="2"/>
      <c r="H993" s="2"/>
      <c r="I993" s="2"/>
      <c r="J993" s="2"/>
      <c r="K993" s="2"/>
      <c r="L993" s="2"/>
      <c r="M993" s="2"/>
      <c r="N993" s="2"/>
      <c r="O993" s="2"/>
      <c r="P993" s="2"/>
      <c r="Q993" s="2"/>
    </row>
    <row r="994" spans="1:17" ht="12.5">
      <c r="A994" s="2"/>
      <c r="B994" s="2"/>
      <c r="C994" s="2"/>
      <c r="D994" s="2"/>
      <c r="E994" s="2"/>
      <c r="F994" s="2"/>
      <c r="G994" s="2"/>
      <c r="H994" s="2"/>
      <c r="I994" s="2"/>
      <c r="J994" s="2"/>
      <c r="K994" s="2"/>
      <c r="L994" s="2"/>
      <c r="M994" s="2"/>
      <c r="N994" s="2"/>
      <c r="O994" s="2"/>
      <c r="P994" s="2"/>
      <c r="Q994" s="2"/>
    </row>
    <row r="995" spans="1:17" ht="12.5">
      <c r="A995" s="2"/>
      <c r="B995" s="2"/>
      <c r="C995" s="2"/>
      <c r="D995" s="2"/>
      <c r="E995" s="2"/>
      <c r="F995" s="2"/>
      <c r="G995" s="2"/>
      <c r="H995" s="2"/>
      <c r="I995" s="2"/>
      <c r="J995" s="2"/>
      <c r="K995" s="2"/>
      <c r="L995" s="2"/>
      <c r="M995" s="2"/>
      <c r="N995" s="2"/>
      <c r="O995" s="2"/>
      <c r="P995" s="2"/>
      <c r="Q995" s="2"/>
    </row>
    <row r="996" spans="1:17" ht="12.5">
      <c r="A996" s="2"/>
      <c r="B996" s="2"/>
      <c r="C996" s="2"/>
      <c r="D996" s="2"/>
      <c r="E996" s="2"/>
      <c r="F996" s="2"/>
      <c r="G996" s="2"/>
      <c r="H996" s="2"/>
      <c r="I996" s="2"/>
      <c r="J996" s="2"/>
      <c r="K996" s="2"/>
      <c r="L996" s="2"/>
      <c r="M996" s="2"/>
      <c r="N996" s="2"/>
      <c r="O996" s="2"/>
      <c r="P996" s="2"/>
      <c r="Q996" s="2"/>
    </row>
    <row r="997" spans="1:17" ht="12.5">
      <c r="A997" s="2"/>
      <c r="B997" s="2"/>
      <c r="C997" s="2"/>
      <c r="D997" s="2"/>
      <c r="E997" s="2"/>
      <c r="F997" s="2"/>
      <c r="G997" s="2"/>
      <c r="H997" s="2"/>
      <c r="I997" s="2"/>
      <c r="J997" s="2"/>
      <c r="K997" s="2"/>
      <c r="L997" s="2"/>
      <c r="M997" s="2"/>
      <c r="N997" s="2"/>
      <c r="O997" s="2"/>
      <c r="P997" s="2"/>
      <c r="Q997" s="2"/>
    </row>
    <row r="998" spans="1:17" ht="12.5">
      <c r="A998" s="2"/>
      <c r="B998" s="2"/>
      <c r="C998" s="2"/>
      <c r="D998" s="2"/>
      <c r="E998" s="2"/>
      <c r="F998" s="2"/>
      <c r="G998" s="2"/>
      <c r="H998" s="2"/>
      <c r="I998" s="2"/>
      <c r="J998" s="2"/>
      <c r="K998" s="2"/>
      <c r="L998" s="2"/>
      <c r="M998" s="2"/>
      <c r="N998" s="2"/>
      <c r="O998" s="2"/>
      <c r="P998" s="2"/>
      <c r="Q998" s="2"/>
    </row>
    <row r="999" spans="1:17" ht="12.5">
      <c r="A999" s="2"/>
      <c r="B999" s="2"/>
      <c r="C999" s="2"/>
      <c r="D999" s="2"/>
      <c r="E999" s="2"/>
      <c r="F999" s="2"/>
      <c r="G999" s="2"/>
      <c r="H999" s="2"/>
      <c r="I999" s="2"/>
      <c r="J999" s="2"/>
      <c r="K999" s="2"/>
      <c r="L999" s="2"/>
      <c r="M999" s="2"/>
      <c r="N999" s="2"/>
      <c r="O999" s="2"/>
      <c r="P999" s="2"/>
      <c r="Q999" s="2"/>
    </row>
    <row r="1000" spans="1:17" ht="12.5">
      <c r="A1000" s="2"/>
      <c r="B1000" s="2"/>
      <c r="C1000" s="2"/>
      <c r="D1000" s="2"/>
      <c r="E1000" s="2"/>
      <c r="F1000" s="2"/>
      <c r="G1000" s="2"/>
      <c r="H1000" s="2"/>
      <c r="I1000" s="2"/>
      <c r="J1000" s="2"/>
      <c r="K1000" s="2"/>
      <c r="L1000" s="2"/>
      <c r="M1000" s="2"/>
      <c r="N1000" s="2"/>
      <c r="O1000" s="2"/>
      <c r="P1000" s="2"/>
      <c r="Q1000" s="2"/>
    </row>
    <row r="1001" spans="1:17" ht="12.5">
      <c r="A1001" s="2"/>
      <c r="B1001" s="2"/>
      <c r="C1001" s="2"/>
      <c r="D1001" s="2"/>
      <c r="E1001" s="2"/>
      <c r="F1001" s="2"/>
      <c r="G1001" s="2"/>
      <c r="H1001" s="2"/>
      <c r="I1001" s="2"/>
      <c r="J1001" s="2"/>
      <c r="K1001" s="2"/>
      <c r="L1001" s="2"/>
      <c r="M1001" s="2"/>
      <c r="N1001" s="2"/>
      <c r="O1001" s="2"/>
      <c r="P1001" s="2"/>
      <c r="Q1001" s="2"/>
    </row>
    <row r="1002" spans="1:17" ht="12.5">
      <c r="A1002" s="2"/>
      <c r="B1002" s="2"/>
      <c r="C1002" s="2"/>
      <c r="D1002" s="2"/>
      <c r="E1002" s="2"/>
      <c r="F1002" s="2"/>
      <c r="G1002" s="2"/>
      <c r="H1002" s="2"/>
      <c r="I1002" s="2"/>
      <c r="J1002" s="2"/>
      <c r="K1002" s="2"/>
      <c r="L1002" s="2"/>
      <c r="M1002" s="2"/>
      <c r="N1002" s="2"/>
      <c r="O1002" s="2"/>
      <c r="P1002" s="2"/>
      <c r="Q1002" s="2"/>
    </row>
    <row r="1003" spans="1:17" ht="12.5">
      <c r="A1003" s="2"/>
      <c r="B1003" s="2"/>
      <c r="C1003" s="2"/>
      <c r="D1003" s="2"/>
      <c r="E1003" s="2"/>
      <c r="F1003" s="2"/>
      <c r="G1003" s="2"/>
      <c r="H1003" s="2"/>
      <c r="I1003" s="2"/>
      <c r="J1003" s="2"/>
      <c r="K1003" s="2"/>
      <c r="L1003" s="2"/>
      <c r="M1003" s="2"/>
      <c r="N1003" s="2"/>
      <c r="O1003" s="2"/>
      <c r="P1003" s="2"/>
      <c r="Q1003" s="2"/>
    </row>
  </sheetData>
  <mergeCells count="12">
    <mergeCell ref="A7:D7"/>
    <mergeCell ref="A10:B10"/>
    <mergeCell ref="A2:D2"/>
    <mergeCell ref="A3:D3"/>
    <mergeCell ref="A4:D4"/>
    <mergeCell ref="A5:D5"/>
    <mergeCell ref="A6:D6"/>
    <mergeCell ref="A13:B13"/>
    <mergeCell ref="A15:B15"/>
    <mergeCell ref="A17:B17"/>
    <mergeCell ref="A19:B19"/>
    <mergeCell ref="A21:B21"/>
  </mergeCells>
  <pageMargins left="0.70866141732283472" right="0.70866141732283472" top="0.74803149606299213" bottom="0.74803149606299213" header="0.31496062992125984" footer="0.31496062992125984"/>
  <pageSetup scale="43" orientation="portrait" r:id="rId1"/>
  <colBreaks count="1" manualBreakCount="1">
    <brk id="6"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96"/>
  <sheetViews>
    <sheetView showGridLines="0" view="pageBreakPreview" topLeftCell="A27" zoomScale="133" zoomScaleNormal="100" workbookViewId="0">
      <selection activeCell="D34" sqref="D34"/>
    </sheetView>
  </sheetViews>
  <sheetFormatPr baseColWidth="10" defaultColWidth="12.54296875" defaultRowHeight="15" customHeight="1"/>
  <cols>
    <col min="1" max="1" width="34.81640625" customWidth="1"/>
    <col min="2" max="2" width="24.08984375" customWidth="1"/>
    <col min="3" max="3" width="23.08984375" customWidth="1"/>
    <col min="4" max="4" width="23.1796875" customWidth="1"/>
    <col min="5" max="5" width="21" customWidth="1"/>
    <col min="6" max="6" width="8.7265625" customWidth="1"/>
    <col min="7" max="7" width="11.453125" customWidth="1"/>
    <col min="8" max="25" width="10.6328125" customWidth="1"/>
  </cols>
  <sheetData>
    <row r="1" spans="1:25" ht="17.5">
      <c r="A1" s="320" t="s">
        <v>29</v>
      </c>
      <c r="B1" s="321"/>
      <c r="C1" s="321"/>
      <c r="D1" s="321"/>
      <c r="E1" s="321"/>
      <c r="F1" s="35"/>
      <c r="G1" s="35"/>
      <c r="H1" s="36"/>
      <c r="I1" s="36"/>
      <c r="J1" s="36"/>
      <c r="K1" s="36"/>
      <c r="L1" s="36"/>
      <c r="M1" s="36"/>
      <c r="N1" s="36"/>
      <c r="O1" s="36"/>
      <c r="P1" s="36"/>
      <c r="Q1" s="36"/>
      <c r="R1" s="36"/>
      <c r="S1" s="36"/>
      <c r="T1" s="36"/>
      <c r="U1" s="36"/>
      <c r="V1" s="36"/>
      <c r="W1" s="36"/>
      <c r="X1" s="36"/>
      <c r="Y1" s="36"/>
    </row>
    <row r="2" spans="1:25" ht="17.5">
      <c r="A2" s="320" t="s">
        <v>116</v>
      </c>
      <c r="B2" s="321"/>
      <c r="C2" s="321"/>
      <c r="D2" s="321"/>
      <c r="E2" s="321"/>
      <c r="F2" s="37"/>
      <c r="G2" s="35"/>
      <c r="H2" s="36"/>
      <c r="I2" s="36"/>
      <c r="J2" s="36"/>
      <c r="K2" s="36"/>
      <c r="L2" s="36"/>
      <c r="M2" s="36"/>
      <c r="N2" s="36"/>
      <c r="O2" s="36"/>
      <c r="P2" s="36"/>
      <c r="Q2" s="36"/>
      <c r="R2" s="36"/>
      <c r="S2" s="36"/>
      <c r="T2" s="36"/>
      <c r="U2" s="36"/>
      <c r="V2" s="36"/>
      <c r="W2" s="36"/>
      <c r="X2" s="36"/>
      <c r="Y2" s="36"/>
    </row>
    <row r="3" spans="1:25" ht="17.5">
      <c r="A3" s="320" t="s">
        <v>733</v>
      </c>
      <c r="B3" s="321"/>
      <c r="C3" s="321"/>
      <c r="D3" s="321"/>
      <c r="E3" s="321"/>
      <c r="F3" s="37"/>
      <c r="G3" s="35"/>
      <c r="H3" s="36"/>
      <c r="I3" s="36"/>
      <c r="J3" s="36"/>
      <c r="K3" s="36"/>
      <c r="L3" s="36"/>
      <c r="M3" s="36"/>
      <c r="N3" s="36"/>
      <c r="O3" s="36"/>
      <c r="P3" s="36"/>
      <c r="Q3" s="36"/>
      <c r="R3" s="36"/>
      <c r="S3" s="36"/>
      <c r="T3" s="36"/>
      <c r="U3" s="36"/>
      <c r="V3" s="36"/>
      <c r="W3" s="36"/>
      <c r="X3" s="36"/>
      <c r="Y3" s="36"/>
    </row>
    <row r="4" spans="1:25" ht="141" customHeight="1">
      <c r="A4" s="322" t="s">
        <v>732</v>
      </c>
      <c r="B4" s="321"/>
      <c r="C4" s="321"/>
      <c r="D4" s="321"/>
      <c r="E4" s="321"/>
      <c r="F4" s="38"/>
      <c r="G4" s="38"/>
      <c r="H4" s="36"/>
      <c r="I4" s="36"/>
      <c r="J4" s="36"/>
      <c r="K4" s="36"/>
      <c r="L4" s="36"/>
      <c r="M4" s="36"/>
      <c r="N4" s="36"/>
      <c r="O4" s="36"/>
      <c r="P4" s="36"/>
      <c r="Q4" s="36"/>
      <c r="R4" s="36"/>
      <c r="S4" s="36"/>
      <c r="T4" s="36"/>
      <c r="U4" s="36"/>
      <c r="V4" s="36"/>
      <c r="W4" s="36"/>
      <c r="X4" s="36"/>
      <c r="Y4" s="36"/>
    </row>
    <row r="5" spans="1:25" ht="12.5">
      <c r="A5" s="39"/>
      <c r="B5" s="39"/>
      <c r="C5" s="39"/>
      <c r="D5" s="39"/>
      <c r="E5" s="39"/>
      <c r="F5" s="36"/>
      <c r="G5" s="316" t="s">
        <v>30</v>
      </c>
      <c r="H5" s="317"/>
      <c r="I5" s="317"/>
      <c r="J5" s="317"/>
      <c r="K5" s="36"/>
      <c r="L5" s="36"/>
      <c r="M5" s="36"/>
      <c r="N5" s="36"/>
      <c r="O5" s="36"/>
      <c r="P5" s="36"/>
      <c r="Q5" s="36"/>
      <c r="R5" s="36"/>
      <c r="S5" s="36"/>
      <c r="T5" s="36"/>
      <c r="U5" s="36"/>
      <c r="V5" s="36"/>
      <c r="W5" s="36"/>
      <c r="X5" s="36"/>
      <c r="Y5" s="36"/>
    </row>
    <row r="6" spans="1:25" ht="39" customHeight="1">
      <c r="A6" s="40" t="s">
        <v>31</v>
      </c>
      <c r="B6" s="41" t="s">
        <v>727</v>
      </c>
      <c r="C6" s="42" t="s">
        <v>728</v>
      </c>
      <c r="D6" s="42" t="s">
        <v>729</v>
      </c>
      <c r="E6" s="43" t="s">
        <v>32</v>
      </c>
      <c r="F6" s="36"/>
      <c r="G6" s="318"/>
      <c r="H6" s="308"/>
      <c r="I6" s="308"/>
      <c r="J6" s="308"/>
      <c r="K6" s="36"/>
      <c r="L6" s="36"/>
      <c r="M6" s="36"/>
      <c r="N6" s="36"/>
      <c r="O6" s="36"/>
      <c r="P6" s="36"/>
      <c r="Q6" s="36"/>
      <c r="R6" s="36"/>
      <c r="S6" s="36"/>
      <c r="T6" s="36"/>
      <c r="U6" s="36"/>
      <c r="V6" s="36"/>
      <c r="W6" s="36"/>
      <c r="X6" s="36"/>
      <c r="Y6" s="36"/>
    </row>
    <row r="7" spans="1:25" ht="12.75" customHeight="1">
      <c r="A7" s="75" t="s">
        <v>33</v>
      </c>
      <c r="B7" s="78">
        <v>19166813015.310001</v>
      </c>
      <c r="C7" s="44">
        <v>11339365116.34</v>
      </c>
      <c r="D7" s="44">
        <f t="shared" ref="D7:D28" si="0">B7-C7</f>
        <v>7827447898.9700012</v>
      </c>
      <c r="E7" s="45">
        <f>D7/B7</f>
        <v>0.40838546777273921</v>
      </c>
      <c r="F7" s="36"/>
      <c r="G7" s="318"/>
      <c r="H7" s="308"/>
      <c r="I7" s="308"/>
      <c r="J7" s="308"/>
      <c r="K7" s="36"/>
      <c r="L7" s="36"/>
      <c r="M7" s="36"/>
      <c r="N7" s="36"/>
      <c r="O7" s="36"/>
      <c r="P7" s="36"/>
      <c r="Q7" s="36"/>
      <c r="R7" s="36"/>
      <c r="S7" s="36"/>
      <c r="T7" s="36"/>
      <c r="U7" s="36"/>
      <c r="V7" s="36"/>
      <c r="W7" s="36"/>
      <c r="X7" s="36"/>
      <c r="Y7" s="36"/>
    </row>
    <row r="8" spans="1:25" ht="12.75" customHeight="1">
      <c r="A8" s="75" t="s">
        <v>34</v>
      </c>
      <c r="B8" s="78">
        <v>12943717356.75</v>
      </c>
      <c r="C8" s="44">
        <v>8116454658.5200005</v>
      </c>
      <c r="D8" s="44">
        <f t="shared" si="0"/>
        <v>4827262698.2299995</v>
      </c>
      <c r="E8" s="45">
        <f>D7/B8</f>
        <v>0.60472951341818948</v>
      </c>
      <c r="F8" s="36"/>
      <c r="G8" s="318"/>
      <c r="H8" s="308"/>
      <c r="I8" s="308"/>
      <c r="J8" s="308"/>
      <c r="K8" s="36"/>
      <c r="L8" s="36"/>
      <c r="M8" s="36"/>
      <c r="N8" s="36"/>
      <c r="O8" s="36"/>
      <c r="P8" s="36"/>
      <c r="Q8" s="36"/>
      <c r="R8" s="36"/>
      <c r="S8" s="36"/>
      <c r="T8" s="36"/>
      <c r="U8" s="36"/>
      <c r="V8" s="36"/>
      <c r="W8" s="36"/>
      <c r="X8" s="36"/>
      <c r="Y8" s="36"/>
    </row>
    <row r="9" spans="1:25" ht="12.75" customHeight="1">
      <c r="A9" s="75" t="s">
        <v>35</v>
      </c>
      <c r="B9" s="78">
        <v>9283950279.6599998</v>
      </c>
      <c r="C9" s="44">
        <v>4623257543.3400002</v>
      </c>
      <c r="D9" s="44">
        <f t="shared" si="0"/>
        <v>4660692736.3199997</v>
      </c>
      <c r="E9" s="45">
        <f t="shared" ref="E9:E28" si="1">D9/B9</f>
        <v>0.50201612416333252</v>
      </c>
      <c r="F9" s="36"/>
      <c r="G9" s="39"/>
      <c r="H9" s="39"/>
      <c r="I9" s="39"/>
      <c r="J9" s="39"/>
      <c r="K9" s="36"/>
      <c r="L9" s="36"/>
      <c r="M9" s="36"/>
      <c r="N9" s="36"/>
      <c r="O9" s="36"/>
      <c r="P9" s="36"/>
      <c r="Q9" s="36"/>
      <c r="R9" s="36"/>
      <c r="S9" s="36"/>
      <c r="T9" s="36"/>
      <c r="U9" s="36"/>
      <c r="V9" s="36"/>
      <c r="W9" s="36"/>
      <c r="X9" s="36"/>
      <c r="Y9" s="36"/>
    </row>
    <row r="10" spans="1:25" ht="12.75" customHeight="1">
      <c r="A10" s="75" t="s">
        <v>36</v>
      </c>
      <c r="B10" s="78">
        <v>2077622606.3099999</v>
      </c>
      <c r="C10" s="44">
        <v>1345491145.04</v>
      </c>
      <c r="D10" s="44">
        <f t="shared" si="0"/>
        <v>732131461.26999998</v>
      </c>
      <c r="E10" s="45">
        <f t="shared" si="1"/>
        <v>0.35238905229776818</v>
      </c>
      <c r="F10" s="36"/>
      <c r="G10" s="36"/>
      <c r="H10" s="36"/>
      <c r="I10" s="36"/>
      <c r="J10" s="36"/>
      <c r="K10" s="36"/>
      <c r="L10" s="36"/>
      <c r="M10" s="36"/>
      <c r="N10" s="36"/>
      <c r="O10" s="36"/>
      <c r="P10" s="36"/>
      <c r="Q10" s="36"/>
      <c r="R10" s="36"/>
      <c r="S10" s="36"/>
      <c r="T10" s="36"/>
      <c r="U10" s="36"/>
      <c r="V10" s="36"/>
      <c r="W10" s="36"/>
      <c r="X10" s="36"/>
      <c r="Y10" s="36"/>
    </row>
    <row r="11" spans="1:25" ht="12.75" customHeight="1">
      <c r="A11" s="75" t="s">
        <v>37</v>
      </c>
      <c r="B11" s="78">
        <v>731828731.19000006</v>
      </c>
      <c r="C11" s="44">
        <v>367836918.44999999</v>
      </c>
      <c r="D11" s="44">
        <f t="shared" si="0"/>
        <v>363991812.74000007</v>
      </c>
      <c r="E11" s="45">
        <f t="shared" si="1"/>
        <v>0.49737294701196855</v>
      </c>
      <c r="F11" s="36"/>
      <c r="G11" s="36"/>
      <c r="H11" s="36"/>
      <c r="I11" s="36"/>
      <c r="J11" s="36"/>
      <c r="K11" s="36"/>
      <c r="L11" s="36"/>
      <c r="M11" s="36"/>
      <c r="N11" s="36"/>
      <c r="O11" s="36"/>
      <c r="P11" s="36"/>
      <c r="Q11" s="36"/>
      <c r="R11" s="36"/>
      <c r="S11" s="36"/>
      <c r="T11" s="36"/>
      <c r="U11" s="36"/>
      <c r="V11" s="36"/>
      <c r="W11" s="36"/>
      <c r="X11" s="36"/>
      <c r="Y11" s="36"/>
    </row>
    <row r="12" spans="1:25" ht="12.75" customHeight="1">
      <c r="A12" s="75" t="s">
        <v>38</v>
      </c>
      <c r="B12" s="78">
        <v>7580096922.960001</v>
      </c>
      <c r="C12" s="44">
        <v>4419421520.1000004</v>
      </c>
      <c r="D12" s="44">
        <f t="shared" si="0"/>
        <v>3160675402.8600006</v>
      </c>
      <c r="E12" s="45">
        <f t="shared" si="1"/>
        <v>0.41697031515340677</v>
      </c>
      <c r="F12" s="36"/>
      <c r="G12" s="36"/>
      <c r="H12" s="36"/>
      <c r="I12" s="36"/>
      <c r="J12" s="36"/>
      <c r="K12" s="36"/>
      <c r="L12" s="36"/>
      <c r="M12" s="36"/>
      <c r="N12" s="36"/>
      <c r="O12" s="36"/>
      <c r="P12" s="36"/>
      <c r="Q12" s="36"/>
      <c r="R12" s="36"/>
      <c r="S12" s="36"/>
      <c r="T12" s="36"/>
      <c r="U12" s="36"/>
      <c r="V12" s="36"/>
      <c r="W12" s="36"/>
      <c r="X12" s="36"/>
      <c r="Y12" s="36"/>
    </row>
    <row r="13" spans="1:25" ht="12.75" customHeight="1">
      <c r="A13" s="76" t="s">
        <v>39</v>
      </c>
      <c r="B13" s="78">
        <v>4240179970.9200001</v>
      </c>
      <c r="C13" s="44">
        <v>2136969892.9099998</v>
      </c>
      <c r="D13" s="44">
        <f t="shared" si="0"/>
        <v>2103210078.0100002</v>
      </c>
      <c r="E13" s="45">
        <f t="shared" si="1"/>
        <v>0.49601905872727914</v>
      </c>
      <c r="F13" s="36"/>
      <c r="G13" s="36"/>
      <c r="H13" s="36"/>
      <c r="I13" s="36"/>
      <c r="J13" s="36"/>
      <c r="K13" s="36"/>
      <c r="L13" s="36"/>
      <c r="M13" s="36"/>
      <c r="N13" s="36"/>
      <c r="O13" s="36"/>
      <c r="P13" s="36"/>
      <c r="Q13" s="36"/>
      <c r="R13" s="36"/>
      <c r="S13" s="36"/>
      <c r="T13" s="36"/>
      <c r="U13" s="36"/>
      <c r="V13" s="36"/>
      <c r="W13" s="36"/>
      <c r="X13" s="36"/>
      <c r="Y13" s="36"/>
    </row>
    <row r="14" spans="1:25" ht="12.75" customHeight="1">
      <c r="A14" s="77" t="s">
        <v>138</v>
      </c>
      <c r="B14" s="78">
        <v>926813379.13999999</v>
      </c>
      <c r="C14" s="44">
        <v>865839393.13999999</v>
      </c>
      <c r="D14" s="44">
        <f t="shared" si="0"/>
        <v>60973986</v>
      </c>
      <c r="E14" s="45">
        <f t="shared" si="1"/>
        <v>6.5788849591897791E-2</v>
      </c>
      <c r="F14" s="36"/>
      <c r="G14" s="36"/>
      <c r="H14" s="36"/>
      <c r="I14" s="36"/>
      <c r="J14" s="36"/>
      <c r="K14" s="36"/>
      <c r="L14" s="36"/>
      <c r="M14" s="36"/>
      <c r="N14" s="36"/>
      <c r="O14" s="36"/>
      <c r="P14" s="36"/>
      <c r="Q14" s="36"/>
      <c r="R14" s="36"/>
      <c r="S14" s="36"/>
      <c r="T14" s="36"/>
      <c r="U14" s="36"/>
      <c r="V14" s="36"/>
      <c r="W14" s="36"/>
      <c r="X14" s="36"/>
      <c r="Y14" s="36"/>
    </row>
    <row r="15" spans="1:25" ht="12.75" customHeight="1">
      <c r="A15" s="77" t="s">
        <v>139</v>
      </c>
      <c r="B15" s="78">
        <v>28973161</v>
      </c>
      <c r="C15" s="44">
        <v>1128783</v>
      </c>
      <c r="D15" s="44">
        <f t="shared" si="0"/>
        <v>27844378</v>
      </c>
      <c r="E15" s="45">
        <f>D15/B15</f>
        <v>0.96104039183021828</v>
      </c>
      <c r="F15" s="36"/>
      <c r="G15" s="36"/>
      <c r="H15" s="36"/>
      <c r="I15" s="36"/>
      <c r="J15" s="36"/>
      <c r="K15" s="36"/>
      <c r="L15" s="36"/>
      <c r="M15" s="36"/>
      <c r="N15" s="36"/>
      <c r="O15" s="36"/>
      <c r="P15" s="36"/>
      <c r="Q15" s="36"/>
      <c r="R15" s="36"/>
      <c r="S15" s="36"/>
      <c r="T15" s="36"/>
      <c r="U15" s="36"/>
      <c r="V15" s="36"/>
      <c r="W15" s="36"/>
      <c r="X15" s="36"/>
      <c r="Y15" s="36"/>
    </row>
    <row r="16" spans="1:25" ht="12.75" customHeight="1">
      <c r="A16" s="77" t="s">
        <v>140</v>
      </c>
      <c r="B16" s="78">
        <v>980523550</v>
      </c>
      <c r="C16" s="44">
        <v>121120921</v>
      </c>
      <c r="D16" s="44">
        <f t="shared" si="0"/>
        <v>859402629</v>
      </c>
      <c r="E16" s="45">
        <f t="shared" ref="E16:E27" si="2">D16/B16</f>
        <v>0.87647321576315018</v>
      </c>
      <c r="F16" s="36"/>
      <c r="G16" s="36"/>
      <c r="H16" s="36"/>
      <c r="I16" s="36"/>
      <c r="J16" s="36"/>
      <c r="K16" s="36"/>
      <c r="L16" s="36"/>
      <c r="M16" s="36"/>
      <c r="N16" s="36"/>
      <c r="O16" s="36"/>
      <c r="P16" s="36"/>
      <c r="Q16" s="36"/>
      <c r="R16" s="36"/>
      <c r="S16" s="36"/>
      <c r="T16" s="36"/>
      <c r="U16" s="36"/>
      <c r="V16" s="36"/>
      <c r="W16" s="36"/>
      <c r="X16" s="36"/>
      <c r="Y16" s="36"/>
    </row>
    <row r="17" spans="1:25" ht="12.75" customHeight="1">
      <c r="A17" s="77" t="s">
        <v>731</v>
      </c>
      <c r="B17" s="78">
        <v>119174290.98999999</v>
      </c>
      <c r="C17" s="44">
        <v>97806542.989999995</v>
      </c>
      <c r="D17" s="44"/>
      <c r="E17" s="45"/>
      <c r="F17" s="36"/>
      <c r="G17" s="36"/>
      <c r="H17" s="36"/>
      <c r="I17" s="36"/>
      <c r="J17" s="36"/>
      <c r="K17" s="36"/>
      <c r="L17" s="36"/>
      <c r="M17" s="36"/>
      <c r="N17" s="36"/>
      <c r="O17" s="36"/>
      <c r="P17" s="36"/>
      <c r="Q17" s="36"/>
      <c r="R17" s="36"/>
      <c r="S17" s="36"/>
      <c r="T17" s="36"/>
      <c r="U17" s="36"/>
      <c r="V17" s="36"/>
      <c r="W17" s="36"/>
      <c r="X17" s="36"/>
      <c r="Y17" s="36"/>
    </row>
    <row r="18" spans="1:25" ht="12.75" customHeight="1">
      <c r="A18" s="77" t="s">
        <v>141</v>
      </c>
      <c r="B18" s="78">
        <v>251828204.43000001</v>
      </c>
      <c r="C18" s="44">
        <v>158857700.96000001</v>
      </c>
      <c r="D18" s="44">
        <f t="shared" si="0"/>
        <v>92970503.469999999</v>
      </c>
      <c r="E18" s="45">
        <f t="shared" si="2"/>
        <v>0.36918225137027</v>
      </c>
      <c r="F18" s="36"/>
      <c r="G18" s="36"/>
      <c r="H18" s="36"/>
      <c r="I18" s="36"/>
      <c r="J18" s="36"/>
      <c r="K18" s="36"/>
      <c r="L18" s="36"/>
      <c r="M18" s="36"/>
      <c r="N18" s="36"/>
      <c r="O18" s="36"/>
      <c r="P18" s="36"/>
      <c r="Q18" s="36"/>
      <c r="R18" s="36"/>
      <c r="S18" s="36"/>
      <c r="T18" s="36"/>
      <c r="U18" s="36"/>
      <c r="V18" s="36"/>
      <c r="W18" s="36"/>
      <c r="X18" s="36"/>
      <c r="Y18" s="36"/>
    </row>
    <row r="19" spans="1:25" ht="12.75" customHeight="1">
      <c r="A19" s="77" t="s">
        <v>142</v>
      </c>
      <c r="B19" s="78">
        <v>272130360.00999999</v>
      </c>
      <c r="C19" s="44">
        <v>189933955.00999999</v>
      </c>
      <c r="D19" s="44">
        <f t="shared" si="0"/>
        <v>82196405</v>
      </c>
      <c r="E19" s="45">
        <f t="shared" si="2"/>
        <v>0.30204790452994484</v>
      </c>
      <c r="F19" s="36"/>
      <c r="G19" s="36"/>
      <c r="H19" s="36"/>
      <c r="I19" s="36"/>
      <c r="J19" s="36"/>
      <c r="K19" s="36"/>
      <c r="L19" s="36"/>
      <c r="M19" s="36"/>
      <c r="N19" s="36"/>
      <c r="O19" s="36"/>
      <c r="P19" s="36"/>
      <c r="Q19" s="36"/>
      <c r="R19" s="36"/>
      <c r="S19" s="36"/>
      <c r="T19" s="36"/>
      <c r="U19" s="36"/>
      <c r="V19" s="36"/>
      <c r="W19" s="36"/>
      <c r="X19" s="36"/>
      <c r="Y19" s="36"/>
    </row>
    <row r="20" spans="1:25" ht="12.75" customHeight="1">
      <c r="A20" s="77" t="s">
        <v>143</v>
      </c>
      <c r="B20" s="78">
        <v>479382988.41000003</v>
      </c>
      <c r="C20" s="44">
        <v>365645657.41000003</v>
      </c>
      <c r="D20" s="44">
        <f t="shared" si="0"/>
        <v>113737331</v>
      </c>
      <c r="E20" s="45">
        <f t="shared" si="2"/>
        <v>0.23725775371637575</v>
      </c>
      <c r="F20" s="36"/>
      <c r="G20" s="36"/>
      <c r="H20" s="36"/>
      <c r="I20" s="36"/>
      <c r="J20" s="36"/>
      <c r="K20" s="36"/>
      <c r="L20" s="36"/>
      <c r="M20" s="36"/>
      <c r="N20" s="36"/>
      <c r="O20" s="36"/>
      <c r="P20" s="36"/>
      <c r="Q20" s="36"/>
      <c r="R20" s="36"/>
      <c r="S20" s="36"/>
      <c r="T20" s="36"/>
      <c r="U20" s="36"/>
      <c r="V20" s="36"/>
      <c r="W20" s="36"/>
      <c r="X20" s="36"/>
      <c r="Y20" s="36"/>
    </row>
    <row r="21" spans="1:25" ht="12.75" customHeight="1">
      <c r="A21" s="77" t="s">
        <v>144</v>
      </c>
      <c r="B21" s="78">
        <v>545984849.53999996</v>
      </c>
      <c r="C21" s="44">
        <v>248609934.77000001</v>
      </c>
      <c r="D21" s="44">
        <f t="shared" si="0"/>
        <v>297374914.76999998</v>
      </c>
      <c r="E21" s="45">
        <f t="shared" si="2"/>
        <v>0.54465781426085835</v>
      </c>
      <c r="F21" s="36"/>
      <c r="G21" s="36"/>
      <c r="H21" s="36"/>
      <c r="I21" s="36"/>
      <c r="J21" s="36"/>
      <c r="K21" s="36"/>
      <c r="L21" s="36"/>
      <c r="M21" s="36"/>
      <c r="N21" s="36"/>
      <c r="O21" s="36"/>
      <c r="P21" s="36"/>
      <c r="Q21" s="36"/>
      <c r="R21" s="36"/>
      <c r="S21" s="36"/>
      <c r="T21" s="36"/>
      <c r="U21" s="36"/>
      <c r="V21" s="36"/>
      <c r="W21" s="36"/>
      <c r="X21" s="36"/>
      <c r="Y21" s="36"/>
    </row>
    <row r="22" spans="1:25" ht="12.75" customHeight="1">
      <c r="A22" s="77" t="s">
        <v>145</v>
      </c>
      <c r="B22" s="78">
        <v>760490540.22000003</v>
      </c>
      <c r="C22" s="44">
        <v>736401484.22000003</v>
      </c>
      <c r="D22" s="44">
        <f t="shared" si="0"/>
        <v>24089056</v>
      </c>
      <c r="E22" s="45">
        <f t="shared" si="2"/>
        <v>3.1675681321468308E-2</v>
      </c>
      <c r="F22" s="36"/>
      <c r="G22" s="36"/>
      <c r="H22" s="36"/>
      <c r="I22" s="36"/>
      <c r="J22" s="36"/>
      <c r="K22" s="36"/>
      <c r="L22" s="36"/>
      <c r="M22" s="36"/>
      <c r="N22" s="36"/>
      <c r="O22" s="36"/>
      <c r="P22" s="36"/>
      <c r="Q22" s="36"/>
      <c r="R22" s="36"/>
      <c r="S22" s="36"/>
      <c r="T22" s="36"/>
      <c r="U22" s="36"/>
      <c r="V22" s="36"/>
      <c r="W22" s="36"/>
      <c r="X22" s="36"/>
      <c r="Y22" s="36"/>
    </row>
    <row r="23" spans="1:25" ht="12.75" customHeight="1">
      <c r="A23" s="77" t="s">
        <v>146</v>
      </c>
      <c r="B23" s="78">
        <v>18117150</v>
      </c>
      <c r="C23" s="44">
        <v>92000</v>
      </c>
      <c r="D23" s="44">
        <f t="shared" si="0"/>
        <v>18025150</v>
      </c>
      <c r="E23" s="45">
        <f t="shared" si="2"/>
        <v>0.99492193860513378</v>
      </c>
      <c r="F23" s="36"/>
      <c r="G23" s="36"/>
      <c r="H23" s="36"/>
      <c r="I23" s="36"/>
      <c r="J23" s="36"/>
      <c r="K23" s="36"/>
      <c r="L23" s="36"/>
      <c r="M23" s="36"/>
      <c r="N23" s="36"/>
      <c r="O23" s="36"/>
      <c r="P23" s="36"/>
      <c r="Q23" s="36"/>
      <c r="R23" s="36"/>
      <c r="S23" s="36"/>
      <c r="T23" s="36"/>
      <c r="U23" s="36"/>
      <c r="V23" s="36"/>
      <c r="W23" s="36"/>
      <c r="X23" s="36"/>
      <c r="Y23" s="36"/>
    </row>
    <row r="24" spans="1:25" ht="12.75" customHeight="1">
      <c r="A24" s="77" t="s">
        <v>147</v>
      </c>
      <c r="B24" s="78">
        <v>14112901</v>
      </c>
      <c r="C24" s="44">
        <v>3939278</v>
      </c>
      <c r="D24" s="44">
        <f t="shared" si="0"/>
        <v>10173623</v>
      </c>
      <c r="E24" s="45">
        <f t="shared" si="2"/>
        <v>0.72087397197783787</v>
      </c>
      <c r="F24" s="36"/>
      <c r="G24" s="36"/>
      <c r="H24" s="36"/>
      <c r="I24" s="36"/>
      <c r="J24" s="36"/>
      <c r="K24" s="36"/>
      <c r="L24" s="36"/>
      <c r="M24" s="36"/>
      <c r="N24" s="36"/>
      <c r="O24" s="36"/>
      <c r="P24" s="36"/>
      <c r="Q24" s="36"/>
      <c r="R24" s="36"/>
      <c r="S24" s="36"/>
      <c r="T24" s="36"/>
      <c r="U24" s="36"/>
      <c r="V24" s="36"/>
      <c r="W24" s="36"/>
      <c r="X24" s="36"/>
      <c r="Y24" s="36"/>
    </row>
    <row r="25" spans="1:25" ht="12.75" customHeight="1">
      <c r="A25" s="77" t="s">
        <v>148</v>
      </c>
      <c r="B25" s="78">
        <v>8645400.0199999996</v>
      </c>
      <c r="C25" s="44">
        <v>7880300.0199999996</v>
      </c>
      <c r="D25" s="44">
        <f t="shared" si="0"/>
        <v>765100</v>
      </c>
      <c r="E25" s="45">
        <f t="shared" si="2"/>
        <v>8.8497929330053141E-2</v>
      </c>
      <c r="F25" s="36"/>
      <c r="G25" s="36"/>
      <c r="H25" s="36"/>
      <c r="I25" s="36"/>
      <c r="J25" s="36"/>
      <c r="K25" s="36"/>
      <c r="L25" s="36"/>
      <c r="M25" s="36"/>
      <c r="N25" s="36"/>
      <c r="O25" s="36"/>
      <c r="P25" s="36"/>
      <c r="Q25" s="36"/>
      <c r="R25" s="36"/>
      <c r="S25" s="36"/>
      <c r="T25" s="36"/>
      <c r="U25" s="36"/>
      <c r="V25" s="36"/>
      <c r="W25" s="36"/>
      <c r="X25" s="36"/>
      <c r="Y25" s="36"/>
    </row>
    <row r="26" spans="1:25" ht="12.75" customHeight="1">
      <c r="A26" s="77" t="s">
        <v>149</v>
      </c>
      <c r="B26" s="78">
        <v>1615294587.0799999</v>
      </c>
      <c r="C26" s="44">
        <v>796260499.25999999</v>
      </c>
      <c r="D26" s="44">
        <f t="shared" si="0"/>
        <v>819034087.81999993</v>
      </c>
      <c r="E26" s="45">
        <f t="shared" si="2"/>
        <v>0.50704936076123686</v>
      </c>
      <c r="F26" s="36"/>
      <c r="G26" s="36"/>
      <c r="H26" s="36"/>
      <c r="I26" s="36"/>
      <c r="J26" s="36"/>
      <c r="K26" s="36"/>
      <c r="L26" s="36"/>
      <c r="M26" s="36"/>
      <c r="N26" s="36"/>
      <c r="O26" s="36"/>
      <c r="P26" s="36"/>
      <c r="Q26" s="36"/>
      <c r="R26" s="36"/>
      <c r="S26" s="36"/>
      <c r="T26" s="36"/>
      <c r="U26" s="36"/>
      <c r="V26" s="36"/>
      <c r="W26" s="36"/>
      <c r="X26" s="36"/>
      <c r="Y26" s="36"/>
    </row>
    <row r="27" spans="1:25" ht="12.75" customHeight="1">
      <c r="A27" s="77" t="s">
        <v>150</v>
      </c>
      <c r="B27" s="78">
        <v>810537511.74000001</v>
      </c>
      <c r="C27" s="44">
        <v>159647320.86000001</v>
      </c>
      <c r="D27" s="44">
        <f t="shared" si="0"/>
        <v>650890190.88</v>
      </c>
      <c r="E27" s="45">
        <f t="shared" si="2"/>
        <v>0.80303524692240169</v>
      </c>
      <c r="F27" s="36"/>
      <c r="G27" s="36"/>
      <c r="H27" s="36"/>
      <c r="I27" s="36"/>
      <c r="J27" s="36"/>
      <c r="K27" s="36"/>
      <c r="L27" s="36"/>
      <c r="M27" s="36"/>
      <c r="N27" s="36"/>
      <c r="O27" s="36"/>
      <c r="P27" s="36"/>
      <c r="Q27" s="36"/>
      <c r="R27" s="36"/>
      <c r="S27" s="36"/>
      <c r="T27" s="36"/>
      <c r="U27" s="36"/>
      <c r="V27" s="36"/>
      <c r="W27" s="36"/>
      <c r="X27" s="36"/>
      <c r="Y27" s="36"/>
    </row>
    <row r="28" spans="1:25" ht="12.75" customHeight="1">
      <c r="A28" s="46" t="s">
        <v>40</v>
      </c>
      <c r="B28" s="47">
        <f>SUM(B7:B27)</f>
        <v>62856217756.68</v>
      </c>
      <c r="C28" s="47">
        <f>SUM(C7:C27)</f>
        <v>36101960565.339996</v>
      </c>
      <c r="D28" s="47">
        <f t="shared" si="0"/>
        <v>26754257191.340004</v>
      </c>
      <c r="E28" s="48">
        <f t="shared" si="1"/>
        <v>0.4256421742540612</v>
      </c>
      <c r="F28" s="36"/>
      <c r="G28" s="36"/>
      <c r="H28" s="36"/>
      <c r="I28" s="36"/>
      <c r="J28" s="36"/>
      <c r="K28" s="36"/>
      <c r="L28" s="36"/>
      <c r="M28" s="36"/>
      <c r="N28" s="36"/>
      <c r="O28" s="36"/>
      <c r="P28" s="36"/>
      <c r="Q28" s="36"/>
      <c r="R28" s="36"/>
      <c r="S28" s="36"/>
      <c r="T28" s="36"/>
      <c r="U28" s="36"/>
      <c r="V28" s="36"/>
      <c r="W28" s="36"/>
      <c r="X28" s="36"/>
      <c r="Y28" s="36"/>
    </row>
    <row r="29" spans="1:25" ht="12.75"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row>
    <row r="30" spans="1:25" ht="12.75" customHeight="1">
      <c r="A30" s="79" t="s">
        <v>151</v>
      </c>
      <c r="B30" s="49"/>
      <c r="C30" s="49"/>
      <c r="D30" s="49"/>
      <c r="E30" s="49"/>
      <c r="F30" s="36"/>
      <c r="G30" s="36"/>
      <c r="H30" s="36"/>
      <c r="I30" s="36"/>
      <c r="J30" s="36"/>
      <c r="K30" s="36"/>
      <c r="L30" s="36"/>
      <c r="M30" s="36"/>
      <c r="N30" s="36"/>
      <c r="O30" s="36"/>
      <c r="P30" s="36"/>
      <c r="Q30" s="36"/>
      <c r="R30" s="36"/>
      <c r="S30" s="36"/>
      <c r="T30" s="36"/>
      <c r="U30" s="36"/>
      <c r="V30" s="36"/>
      <c r="W30" s="36"/>
      <c r="X30" s="36"/>
      <c r="Y30" s="36"/>
    </row>
    <row r="31" spans="1:25" ht="12.75" customHeight="1">
      <c r="A31" s="50" t="s">
        <v>41</v>
      </c>
      <c r="B31" s="51"/>
      <c r="C31" s="51"/>
      <c r="D31" s="50" t="s">
        <v>24</v>
      </c>
      <c r="E31" s="49"/>
      <c r="F31" s="36"/>
      <c r="G31" s="36"/>
      <c r="H31" s="36"/>
      <c r="I31" s="36"/>
      <c r="J31" s="36"/>
      <c r="K31" s="36"/>
      <c r="L31" s="36"/>
      <c r="M31" s="36"/>
      <c r="N31" s="36"/>
      <c r="O31" s="36"/>
      <c r="P31" s="36"/>
      <c r="Q31" s="36"/>
      <c r="R31" s="36"/>
      <c r="S31" s="36"/>
      <c r="T31" s="36"/>
      <c r="U31" s="36"/>
      <c r="V31" s="36"/>
      <c r="W31" s="36"/>
      <c r="X31" s="36"/>
      <c r="Y31" s="36"/>
    </row>
    <row r="32" spans="1:25" ht="12.75" customHeight="1">
      <c r="A32" s="49"/>
      <c r="B32" s="49"/>
      <c r="C32" s="49"/>
      <c r="D32" s="49"/>
      <c r="E32" s="49"/>
      <c r="F32" s="36"/>
      <c r="G32" s="36"/>
      <c r="H32" s="36"/>
      <c r="I32" s="36"/>
      <c r="J32" s="36"/>
      <c r="K32" s="36"/>
      <c r="L32" s="36"/>
      <c r="M32" s="36"/>
      <c r="N32" s="36"/>
      <c r="O32" s="36"/>
      <c r="P32" s="36"/>
      <c r="Q32" s="36"/>
      <c r="R32" s="36"/>
      <c r="S32" s="36"/>
      <c r="T32" s="36"/>
      <c r="U32" s="36"/>
      <c r="V32" s="36"/>
      <c r="W32" s="36"/>
      <c r="X32" s="36"/>
      <c r="Y32" s="36"/>
    </row>
    <row r="33" spans="1:25" ht="12.75" customHeight="1">
      <c r="A33" s="49"/>
      <c r="B33" s="49"/>
      <c r="C33" s="49"/>
      <c r="D33" s="49"/>
      <c r="E33" s="49"/>
      <c r="F33" s="36"/>
      <c r="G33" s="36"/>
      <c r="H33" s="36"/>
      <c r="I33" s="36"/>
      <c r="J33" s="36"/>
      <c r="K33" s="36"/>
      <c r="L33" s="36"/>
      <c r="M33" s="36"/>
      <c r="N33" s="36"/>
      <c r="O33" s="36"/>
      <c r="P33" s="36"/>
      <c r="Q33" s="36"/>
      <c r="R33" s="36"/>
      <c r="S33" s="36"/>
      <c r="T33" s="36"/>
      <c r="U33" s="36"/>
      <c r="V33" s="36"/>
      <c r="W33" s="36"/>
      <c r="X33" s="36"/>
      <c r="Y33" s="36"/>
    </row>
    <row r="34" spans="1:25" ht="12.75" customHeight="1">
      <c r="A34" s="80" t="s">
        <v>152</v>
      </c>
      <c r="B34" s="52"/>
      <c r="C34" s="52"/>
      <c r="D34" s="81">
        <v>44592</v>
      </c>
      <c r="E34" s="49"/>
      <c r="F34" s="36"/>
      <c r="G34" s="36"/>
      <c r="H34" s="36"/>
      <c r="I34" s="36"/>
      <c r="J34" s="36"/>
      <c r="K34" s="36"/>
      <c r="L34" s="36"/>
      <c r="M34" s="36"/>
      <c r="N34" s="36"/>
      <c r="O34" s="36"/>
      <c r="P34" s="36"/>
      <c r="Q34" s="36"/>
      <c r="R34" s="36"/>
      <c r="S34" s="36"/>
      <c r="T34" s="36"/>
      <c r="U34" s="36"/>
      <c r="V34" s="36"/>
      <c r="W34" s="36"/>
      <c r="X34" s="36"/>
      <c r="Y34" s="36"/>
    </row>
    <row r="35" spans="1:25" ht="12.75" customHeight="1">
      <c r="A35" s="34" t="s">
        <v>42</v>
      </c>
      <c r="B35" s="49"/>
      <c r="C35" s="49"/>
      <c r="D35" s="50" t="s">
        <v>27</v>
      </c>
      <c r="E35" s="49"/>
      <c r="F35" s="36"/>
      <c r="G35" s="36"/>
      <c r="H35" s="36"/>
      <c r="I35" s="36"/>
      <c r="J35" s="36"/>
      <c r="K35" s="36"/>
      <c r="L35" s="36"/>
      <c r="M35" s="36"/>
      <c r="N35" s="36"/>
      <c r="O35" s="36"/>
      <c r="P35" s="36"/>
      <c r="Q35" s="36"/>
      <c r="R35" s="36"/>
      <c r="S35" s="36"/>
      <c r="T35" s="36"/>
      <c r="U35" s="36"/>
      <c r="V35" s="36"/>
      <c r="W35" s="36"/>
      <c r="X35" s="36"/>
      <c r="Y35" s="36"/>
    </row>
    <row r="36" spans="1:25" ht="12.75" customHeight="1">
      <c r="A36" s="49"/>
      <c r="B36" s="49"/>
      <c r="C36" s="49"/>
      <c r="D36" s="49"/>
      <c r="E36" s="49"/>
      <c r="F36" s="36"/>
      <c r="G36" s="36"/>
      <c r="H36" s="36"/>
      <c r="I36" s="36"/>
      <c r="J36" s="36"/>
      <c r="K36" s="36"/>
      <c r="L36" s="36"/>
      <c r="M36" s="36"/>
      <c r="N36" s="36"/>
      <c r="O36" s="36"/>
      <c r="P36" s="36"/>
      <c r="Q36" s="36"/>
      <c r="R36" s="36"/>
      <c r="S36" s="36"/>
      <c r="T36" s="36"/>
      <c r="U36" s="36"/>
      <c r="V36" s="36"/>
      <c r="W36" s="36"/>
      <c r="X36" s="36"/>
      <c r="Y36" s="36"/>
    </row>
    <row r="37" spans="1:25" ht="12.7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row>
    <row r="38" spans="1:25" ht="12.75" customHeight="1">
      <c r="A38" s="319"/>
      <c r="B38" s="308"/>
      <c r="C38" s="308"/>
      <c r="D38" s="308"/>
      <c r="E38" s="308"/>
      <c r="F38" s="36"/>
      <c r="G38" s="36"/>
      <c r="H38" s="36"/>
      <c r="I38" s="36"/>
      <c r="J38" s="36"/>
      <c r="K38" s="36"/>
      <c r="L38" s="36"/>
      <c r="M38" s="36"/>
      <c r="N38" s="36"/>
      <c r="O38" s="36"/>
      <c r="P38" s="36"/>
      <c r="Q38" s="36"/>
      <c r="R38" s="36"/>
      <c r="S38" s="36"/>
      <c r="T38" s="36"/>
      <c r="U38" s="36"/>
      <c r="V38" s="36"/>
      <c r="W38" s="36"/>
      <c r="X38" s="36"/>
      <c r="Y38" s="36"/>
    </row>
    <row r="39" spans="1:25" ht="12.75" customHeight="1">
      <c r="A39" s="308"/>
      <c r="B39" s="308"/>
      <c r="C39" s="308"/>
      <c r="D39" s="308"/>
      <c r="E39" s="308"/>
      <c r="F39" s="36"/>
      <c r="G39" s="36"/>
      <c r="H39" s="36"/>
      <c r="I39" s="36"/>
      <c r="J39" s="36"/>
      <c r="K39" s="36"/>
      <c r="L39" s="36"/>
      <c r="M39" s="36"/>
      <c r="N39" s="36"/>
      <c r="O39" s="36"/>
      <c r="P39" s="36"/>
      <c r="Q39" s="36"/>
      <c r="R39" s="36"/>
      <c r="S39" s="36"/>
      <c r="T39" s="36"/>
      <c r="U39" s="36"/>
      <c r="V39" s="36"/>
      <c r="W39" s="36"/>
      <c r="X39" s="36"/>
      <c r="Y39" s="36"/>
    </row>
    <row r="40" spans="1:25" ht="12.75" customHeight="1">
      <c r="A40" s="308"/>
      <c r="B40" s="308"/>
      <c r="C40" s="308"/>
      <c r="D40" s="308"/>
      <c r="E40" s="308"/>
      <c r="F40" s="36"/>
      <c r="G40" s="36"/>
      <c r="H40" s="36"/>
      <c r="I40" s="36"/>
      <c r="J40" s="36"/>
      <c r="K40" s="36"/>
      <c r="L40" s="36"/>
      <c r="M40" s="36"/>
      <c r="N40" s="36"/>
      <c r="O40" s="36"/>
      <c r="P40" s="36"/>
      <c r="Q40" s="36"/>
      <c r="R40" s="36"/>
      <c r="S40" s="36"/>
      <c r="T40" s="36"/>
      <c r="U40" s="36"/>
      <c r="V40" s="36"/>
      <c r="W40" s="36"/>
      <c r="X40" s="36"/>
      <c r="Y40" s="36"/>
    </row>
    <row r="41" spans="1:25" ht="12.75" customHeight="1">
      <c r="A41" s="308"/>
      <c r="B41" s="308"/>
      <c r="C41" s="308"/>
      <c r="D41" s="308"/>
      <c r="E41" s="308"/>
      <c r="F41" s="36"/>
      <c r="G41" s="36"/>
      <c r="H41" s="36"/>
      <c r="I41" s="36"/>
      <c r="J41" s="36"/>
      <c r="K41" s="36"/>
      <c r="L41" s="36"/>
      <c r="M41" s="36"/>
      <c r="N41" s="36"/>
      <c r="O41" s="36"/>
      <c r="P41" s="36"/>
      <c r="Q41" s="36"/>
      <c r="R41" s="36"/>
      <c r="S41" s="36"/>
      <c r="T41" s="36"/>
      <c r="U41" s="36"/>
      <c r="V41" s="36"/>
      <c r="W41" s="36"/>
      <c r="X41" s="36"/>
      <c r="Y41" s="36"/>
    </row>
    <row r="42" spans="1:25" ht="12.75" customHeight="1">
      <c r="A42" s="39"/>
      <c r="B42" s="39"/>
      <c r="C42" s="39"/>
      <c r="D42" s="39"/>
      <c r="E42" s="39"/>
      <c r="F42" s="36"/>
      <c r="G42" s="36"/>
      <c r="H42" s="36"/>
      <c r="I42" s="36"/>
      <c r="J42" s="36"/>
      <c r="K42" s="36"/>
      <c r="L42" s="36"/>
      <c r="M42" s="36"/>
      <c r="N42" s="36"/>
      <c r="O42" s="36"/>
      <c r="P42" s="36"/>
      <c r="Q42" s="36"/>
      <c r="R42" s="36"/>
      <c r="S42" s="36"/>
      <c r="T42" s="36"/>
      <c r="U42" s="36"/>
      <c r="V42" s="36"/>
      <c r="W42" s="36"/>
      <c r="X42" s="36"/>
      <c r="Y42" s="36"/>
    </row>
    <row r="43" spans="1:25" ht="12.75" customHeight="1">
      <c r="A43" s="36"/>
      <c r="B43" s="36"/>
      <c r="C43" s="36"/>
      <c r="D43" s="36"/>
      <c r="E43" s="36"/>
      <c r="F43" s="36"/>
      <c r="G43" s="36"/>
      <c r="H43" s="36"/>
      <c r="I43" s="36"/>
      <c r="J43" s="36"/>
      <c r="K43" s="36"/>
      <c r="L43" s="36"/>
      <c r="M43" s="36"/>
      <c r="N43" s="36"/>
      <c r="O43" s="36"/>
      <c r="P43" s="36"/>
      <c r="Q43" s="36"/>
      <c r="R43" s="36"/>
      <c r="S43" s="36"/>
      <c r="T43" s="36"/>
      <c r="U43" s="36"/>
      <c r="V43" s="36"/>
      <c r="W43" s="36"/>
      <c r="X43" s="36"/>
      <c r="Y43" s="36"/>
    </row>
    <row r="44" spans="1:25" ht="12.7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row>
    <row r="45" spans="1:25" ht="12.7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row>
    <row r="46" spans="1:25" ht="12.7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row>
    <row r="47" spans="1:25" ht="12.7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row>
    <row r="48" spans="1:25" ht="12.75" customHeight="1">
      <c r="A48" s="36"/>
      <c r="B48" s="36"/>
      <c r="C48" s="36"/>
      <c r="D48" s="36"/>
      <c r="E48" s="36"/>
      <c r="F48" s="36"/>
      <c r="G48" s="36"/>
      <c r="H48" s="36"/>
      <c r="I48" s="36"/>
      <c r="J48" s="36"/>
      <c r="K48" s="36"/>
      <c r="L48" s="36"/>
      <c r="M48" s="36"/>
      <c r="N48" s="36"/>
      <c r="O48" s="36"/>
      <c r="P48" s="36"/>
      <c r="Q48" s="36"/>
      <c r="R48" s="36"/>
      <c r="S48" s="36"/>
      <c r="T48" s="36"/>
      <c r="U48" s="36"/>
      <c r="V48" s="36"/>
      <c r="W48" s="36"/>
      <c r="X48" s="36"/>
      <c r="Y48" s="36"/>
    </row>
    <row r="49" spans="1:25" ht="12.7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row>
    <row r="50" spans="1:25" ht="12.75" customHeight="1">
      <c r="A50" s="36"/>
      <c r="B50" s="36"/>
      <c r="C50" s="36"/>
      <c r="D50" s="36"/>
      <c r="E50" s="36"/>
      <c r="F50" s="36"/>
      <c r="G50" s="36"/>
      <c r="H50" s="36"/>
      <c r="I50" s="36"/>
      <c r="J50" s="36"/>
      <c r="K50" s="36"/>
      <c r="L50" s="36"/>
      <c r="M50" s="36"/>
      <c r="N50" s="36"/>
      <c r="O50" s="36"/>
      <c r="P50" s="36"/>
      <c r="Q50" s="36"/>
      <c r="R50" s="36"/>
      <c r="S50" s="36"/>
      <c r="T50" s="36"/>
      <c r="U50" s="36"/>
      <c r="V50" s="36"/>
      <c r="W50" s="36"/>
      <c r="X50" s="36"/>
      <c r="Y50" s="36"/>
    </row>
    <row r="51" spans="1:25" ht="12.75"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row>
    <row r="52" spans="1:25" ht="12.75" customHeight="1">
      <c r="A52" s="36"/>
      <c r="B52" s="36"/>
      <c r="C52" s="36"/>
      <c r="D52" s="36"/>
      <c r="E52" s="36"/>
      <c r="F52" s="36"/>
      <c r="G52" s="36"/>
      <c r="H52" s="36"/>
      <c r="I52" s="36"/>
      <c r="J52" s="36"/>
      <c r="K52" s="36"/>
      <c r="L52" s="36"/>
      <c r="M52" s="36"/>
      <c r="N52" s="36"/>
      <c r="O52" s="36"/>
      <c r="P52" s="36"/>
      <c r="Q52" s="36"/>
      <c r="R52" s="36"/>
      <c r="S52" s="36"/>
      <c r="T52" s="36"/>
      <c r="U52" s="36"/>
      <c r="V52" s="36"/>
      <c r="W52" s="36"/>
      <c r="X52" s="36"/>
      <c r="Y52" s="36"/>
    </row>
    <row r="53" spans="1:25" ht="12.75" customHeight="1">
      <c r="A53" s="36"/>
      <c r="B53" s="36"/>
      <c r="C53" s="36"/>
      <c r="D53" s="36"/>
      <c r="E53" s="36"/>
      <c r="F53" s="36"/>
      <c r="G53" s="36"/>
      <c r="H53" s="36"/>
      <c r="I53" s="36"/>
      <c r="J53" s="36"/>
      <c r="K53" s="36"/>
      <c r="L53" s="36"/>
      <c r="M53" s="36"/>
      <c r="N53" s="36"/>
      <c r="O53" s="36"/>
      <c r="P53" s="36"/>
      <c r="Q53" s="36"/>
      <c r="R53" s="36"/>
      <c r="S53" s="36"/>
      <c r="T53" s="36"/>
      <c r="U53" s="36"/>
      <c r="V53" s="36"/>
      <c r="W53" s="36"/>
      <c r="X53" s="36"/>
      <c r="Y53" s="36"/>
    </row>
    <row r="54" spans="1:25" ht="12.75" customHeight="1">
      <c r="A54" s="36"/>
      <c r="B54" s="36"/>
      <c r="C54" s="36"/>
      <c r="D54" s="36"/>
      <c r="E54" s="36"/>
      <c r="F54" s="36"/>
      <c r="G54" s="36"/>
      <c r="H54" s="36"/>
      <c r="I54" s="36"/>
      <c r="J54" s="36"/>
      <c r="K54" s="36"/>
      <c r="L54" s="36"/>
      <c r="M54" s="36"/>
      <c r="N54" s="36"/>
      <c r="O54" s="36"/>
      <c r="P54" s="36"/>
      <c r="Q54" s="36"/>
      <c r="R54" s="36"/>
      <c r="S54" s="36"/>
      <c r="T54" s="36"/>
      <c r="U54" s="36"/>
      <c r="V54" s="36"/>
      <c r="W54" s="36"/>
      <c r="X54" s="36"/>
      <c r="Y54" s="36"/>
    </row>
    <row r="55" spans="1:25" ht="12.7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row>
    <row r="56" spans="1:25" ht="12.75" customHeight="1">
      <c r="A56" s="36"/>
      <c r="B56" s="36"/>
      <c r="C56" s="36"/>
      <c r="D56" s="36"/>
      <c r="E56" s="36"/>
      <c r="F56" s="36"/>
      <c r="G56" s="36"/>
      <c r="H56" s="36"/>
      <c r="I56" s="36"/>
      <c r="J56" s="36"/>
      <c r="K56" s="36"/>
      <c r="L56" s="36"/>
      <c r="M56" s="36"/>
      <c r="N56" s="36"/>
      <c r="O56" s="36"/>
      <c r="P56" s="36"/>
      <c r="Q56" s="36"/>
      <c r="R56" s="36"/>
      <c r="S56" s="36"/>
      <c r="T56" s="36"/>
      <c r="U56" s="36"/>
      <c r="V56" s="36"/>
      <c r="W56" s="36"/>
      <c r="X56" s="36"/>
      <c r="Y56" s="36"/>
    </row>
    <row r="57" spans="1:25" ht="12.75" customHeight="1">
      <c r="A57" s="36"/>
      <c r="B57" s="36"/>
      <c r="C57" s="36"/>
      <c r="D57" s="36"/>
      <c r="E57" s="36"/>
      <c r="F57" s="36"/>
      <c r="G57" s="36"/>
      <c r="H57" s="36"/>
      <c r="I57" s="36"/>
      <c r="J57" s="36"/>
      <c r="K57" s="36"/>
      <c r="L57" s="36"/>
      <c r="M57" s="36"/>
      <c r="N57" s="36"/>
      <c r="O57" s="36"/>
      <c r="P57" s="36"/>
      <c r="Q57" s="36"/>
      <c r="R57" s="36"/>
      <c r="S57" s="36"/>
      <c r="T57" s="36"/>
      <c r="U57" s="36"/>
      <c r="V57" s="36"/>
      <c r="W57" s="36"/>
      <c r="X57" s="36"/>
      <c r="Y57" s="36"/>
    </row>
    <row r="58" spans="1:25" ht="12.75"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row>
    <row r="59" spans="1:25" ht="12.75" customHeight="1">
      <c r="A59" s="36"/>
      <c r="B59" s="36"/>
      <c r="C59" s="36"/>
      <c r="D59" s="36"/>
      <c r="E59" s="36"/>
      <c r="F59" s="36"/>
      <c r="G59" s="36"/>
      <c r="H59" s="36"/>
      <c r="I59" s="36"/>
      <c r="J59" s="36"/>
      <c r="K59" s="36"/>
      <c r="L59" s="36"/>
      <c r="M59" s="36"/>
      <c r="N59" s="36"/>
      <c r="O59" s="36"/>
      <c r="P59" s="36"/>
      <c r="Q59" s="36"/>
      <c r="R59" s="36"/>
      <c r="S59" s="36"/>
      <c r="T59" s="36"/>
      <c r="U59" s="36"/>
      <c r="V59" s="36"/>
      <c r="W59" s="36"/>
      <c r="X59" s="36"/>
      <c r="Y59" s="36"/>
    </row>
    <row r="60" spans="1:25" ht="12.7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row>
    <row r="61" spans="1:25" ht="12.75"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row>
    <row r="62" spans="1:25" ht="12.7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row>
    <row r="63" spans="1:25" ht="12.7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36"/>
    </row>
    <row r="64" spans="1:25" ht="12.75" customHeight="1">
      <c r="A64" s="36"/>
      <c r="B64" s="36"/>
      <c r="C64" s="36"/>
      <c r="D64" s="36"/>
      <c r="E64" s="36"/>
      <c r="F64" s="36"/>
      <c r="G64" s="36"/>
      <c r="H64" s="36"/>
      <c r="I64" s="36"/>
      <c r="J64" s="36"/>
      <c r="K64" s="36"/>
      <c r="L64" s="36"/>
      <c r="M64" s="36"/>
      <c r="N64" s="36"/>
      <c r="O64" s="36"/>
      <c r="P64" s="36"/>
      <c r="Q64" s="36"/>
      <c r="R64" s="36"/>
      <c r="S64" s="36"/>
      <c r="T64" s="36"/>
      <c r="U64" s="36"/>
      <c r="V64" s="36"/>
      <c r="W64" s="36"/>
      <c r="X64" s="36"/>
      <c r="Y64" s="36"/>
    </row>
    <row r="65" spans="1:25" ht="12.75" customHeight="1">
      <c r="A65" s="36"/>
      <c r="B65" s="36"/>
      <c r="C65" s="36"/>
      <c r="D65" s="36"/>
      <c r="E65" s="36"/>
      <c r="F65" s="36"/>
      <c r="G65" s="36"/>
      <c r="H65" s="36"/>
      <c r="I65" s="36"/>
      <c r="J65" s="36"/>
      <c r="K65" s="36"/>
      <c r="L65" s="36"/>
      <c r="M65" s="36"/>
      <c r="N65" s="36"/>
      <c r="O65" s="36"/>
      <c r="P65" s="36"/>
      <c r="Q65" s="36"/>
      <c r="R65" s="36"/>
      <c r="S65" s="36"/>
      <c r="T65" s="36"/>
      <c r="U65" s="36"/>
      <c r="V65" s="36"/>
      <c r="W65" s="36"/>
      <c r="X65" s="36"/>
      <c r="Y65" s="36"/>
    </row>
    <row r="66" spans="1:25" ht="12.75" customHeight="1">
      <c r="A66" s="36"/>
      <c r="B66" s="36"/>
      <c r="C66" s="36"/>
      <c r="D66" s="36"/>
      <c r="E66" s="36"/>
      <c r="F66" s="36"/>
      <c r="G66" s="36"/>
      <c r="H66" s="36"/>
      <c r="I66" s="36"/>
      <c r="J66" s="36"/>
      <c r="K66" s="36"/>
      <c r="L66" s="36"/>
      <c r="M66" s="36"/>
      <c r="N66" s="36"/>
      <c r="O66" s="36"/>
      <c r="P66" s="36"/>
      <c r="Q66" s="36"/>
      <c r="R66" s="36"/>
      <c r="S66" s="36"/>
      <c r="T66" s="36"/>
      <c r="U66" s="36"/>
      <c r="V66" s="36"/>
      <c r="W66" s="36"/>
      <c r="X66" s="36"/>
      <c r="Y66" s="36"/>
    </row>
    <row r="67" spans="1:25" ht="12.75"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row>
    <row r="68" spans="1:25" ht="12.75" customHeight="1">
      <c r="A68" s="36"/>
      <c r="B68" s="36"/>
      <c r="C68" s="36"/>
      <c r="D68" s="36"/>
      <c r="E68" s="36"/>
      <c r="F68" s="36"/>
      <c r="G68" s="36"/>
      <c r="H68" s="36"/>
      <c r="I68" s="36"/>
      <c r="J68" s="36"/>
      <c r="K68" s="36"/>
      <c r="L68" s="36"/>
      <c r="M68" s="36"/>
      <c r="N68" s="36"/>
      <c r="O68" s="36"/>
      <c r="P68" s="36"/>
      <c r="Q68" s="36"/>
      <c r="R68" s="36"/>
      <c r="S68" s="36"/>
      <c r="T68" s="36"/>
      <c r="U68" s="36"/>
      <c r="V68" s="36"/>
      <c r="W68" s="36"/>
      <c r="X68" s="36"/>
      <c r="Y68" s="36"/>
    </row>
    <row r="69" spans="1:25" ht="12.75" customHeight="1">
      <c r="A69" s="36"/>
      <c r="B69" s="36"/>
      <c r="C69" s="36"/>
      <c r="D69" s="36"/>
      <c r="E69" s="36"/>
      <c r="F69" s="36"/>
      <c r="G69" s="36"/>
      <c r="H69" s="36"/>
      <c r="I69" s="36"/>
      <c r="J69" s="36"/>
      <c r="K69" s="36"/>
      <c r="L69" s="36"/>
      <c r="M69" s="36"/>
      <c r="N69" s="36"/>
      <c r="O69" s="36"/>
      <c r="P69" s="36"/>
      <c r="Q69" s="36"/>
      <c r="R69" s="36"/>
      <c r="S69" s="36"/>
      <c r="T69" s="36"/>
      <c r="U69" s="36"/>
      <c r="V69" s="36"/>
      <c r="W69" s="36"/>
      <c r="X69" s="36"/>
      <c r="Y69" s="36"/>
    </row>
    <row r="70" spans="1:25" ht="12.75" customHeight="1">
      <c r="A70" s="36"/>
      <c r="B70" s="36"/>
      <c r="C70" s="36"/>
      <c r="D70" s="36"/>
      <c r="E70" s="36"/>
      <c r="F70" s="36"/>
      <c r="G70" s="36"/>
      <c r="H70" s="36"/>
      <c r="I70" s="36"/>
      <c r="J70" s="36"/>
      <c r="K70" s="36"/>
      <c r="L70" s="36"/>
      <c r="M70" s="36"/>
      <c r="N70" s="36"/>
      <c r="O70" s="36"/>
      <c r="P70" s="36"/>
      <c r="Q70" s="36"/>
      <c r="R70" s="36"/>
      <c r="S70" s="36"/>
      <c r="T70" s="36"/>
      <c r="U70" s="36"/>
      <c r="V70" s="36"/>
      <c r="W70" s="36"/>
      <c r="X70" s="36"/>
      <c r="Y70" s="36"/>
    </row>
    <row r="71" spans="1:25" ht="12.75" customHeight="1">
      <c r="A71" s="36"/>
      <c r="B71" s="36"/>
      <c r="C71" s="36"/>
      <c r="D71" s="36"/>
      <c r="E71" s="36"/>
      <c r="F71" s="36"/>
      <c r="G71" s="36"/>
      <c r="H71" s="36"/>
      <c r="I71" s="36"/>
      <c r="J71" s="36"/>
      <c r="K71" s="36"/>
      <c r="L71" s="36"/>
      <c r="M71" s="36"/>
      <c r="N71" s="36"/>
      <c r="O71" s="36"/>
      <c r="P71" s="36"/>
      <c r="Q71" s="36"/>
      <c r="R71" s="36"/>
      <c r="S71" s="36"/>
      <c r="T71" s="36"/>
      <c r="U71" s="36"/>
      <c r="V71" s="36"/>
      <c r="W71" s="36"/>
      <c r="X71" s="36"/>
      <c r="Y71" s="36"/>
    </row>
    <row r="72" spans="1:25" ht="12.75" customHeight="1">
      <c r="A72" s="36"/>
      <c r="B72" s="36"/>
      <c r="C72" s="36"/>
      <c r="D72" s="36"/>
      <c r="E72" s="36"/>
      <c r="F72" s="36"/>
      <c r="G72" s="36"/>
      <c r="H72" s="36"/>
      <c r="I72" s="36"/>
      <c r="J72" s="36"/>
      <c r="K72" s="36"/>
      <c r="L72" s="36"/>
      <c r="M72" s="36"/>
      <c r="N72" s="36"/>
      <c r="O72" s="36"/>
      <c r="P72" s="36"/>
      <c r="Q72" s="36"/>
      <c r="R72" s="36"/>
      <c r="S72" s="36"/>
      <c r="T72" s="36"/>
      <c r="U72" s="36"/>
      <c r="V72" s="36"/>
      <c r="W72" s="36"/>
      <c r="X72" s="36"/>
      <c r="Y72" s="36"/>
    </row>
    <row r="73" spans="1:25" ht="12.75" customHeight="1">
      <c r="A73" s="36"/>
      <c r="B73" s="36"/>
      <c r="C73" s="36"/>
      <c r="D73" s="36"/>
      <c r="E73" s="36"/>
      <c r="F73" s="36"/>
      <c r="G73" s="36"/>
      <c r="H73" s="36"/>
      <c r="I73" s="36"/>
      <c r="J73" s="36"/>
      <c r="K73" s="36"/>
      <c r="L73" s="36"/>
      <c r="M73" s="36"/>
      <c r="N73" s="36"/>
      <c r="O73" s="36"/>
      <c r="P73" s="36"/>
      <c r="Q73" s="36"/>
      <c r="R73" s="36"/>
      <c r="S73" s="36"/>
      <c r="T73" s="36"/>
      <c r="U73" s="36"/>
      <c r="V73" s="36"/>
      <c r="W73" s="36"/>
      <c r="X73" s="36"/>
      <c r="Y73" s="36"/>
    </row>
    <row r="74" spans="1:25" ht="12.75"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row>
    <row r="75" spans="1:25" ht="12.75" customHeight="1">
      <c r="A75" s="36"/>
      <c r="B75" s="36"/>
      <c r="C75" s="36"/>
      <c r="D75" s="36"/>
      <c r="E75" s="36"/>
      <c r="F75" s="36"/>
      <c r="G75" s="36"/>
      <c r="H75" s="36"/>
      <c r="I75" s="36"/>
      <c r="J75" s="36"/>
      <c r="K75" s="36"/>
      <c r="L75" s="36"/>
      <c r="M75" s="36"/>
      <c r="N75" s="36"/>
      <c r="O75" s="36"/>
      <c r="P75" s="36"/>
      <c r="Q75" s="36"/>
      <c r="R75" s="36"/>
      <c r="S75" s="36"/>
      <c r="T75" s="36"/>
      <c r="U75" s="36"/>
      <c r="V75" s="36"/>
      <c r="W75" s="36"/>
      <c r="X75" s="36"/>
      <c r="Y75" s="36"/>
    </row>
    <row r="76" spans="1:25" ht="12.75" customHeight="1">
      <c r="A76" s="36"/>
      <c r="B76" s="36"/>
      <c r="C76" s="36"/>
      <c r="D76" s="36"/>
      <c r="E76" s="36"/>
      <c r="F76" s="36"/>
      <c r="G76" s="36"/>
      <c r="H76" s="36"/>
      <c r="I76" s="36"/>
      <c r="J76" s="36"/>
      <c r="K76" s="36"/>
      <c r="L76" s="36"/>
      <c r="M76" s="36"/>
      <c r="N76" s="36"/>
      <c r="O76" s="36"/>
      <c r="P76" s="36"/>
      <c r="Q76" s="36"/>
      <c r="R76" s="36"/>
      <c r="S76" s="36"/>
      <c r="T76" s="36"/>
      <c r="U76" s="36"/>
      <c r="V76" s="36"/>
      <c r="W76" s="36"/>
      <c r="X76" s="36"/>
      <c r="Y76" s="36"/>
    </row>
    <row r="77" spans="1:25" ht="12.7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row>
    <row r="78" spans="1:25" ht="12.7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row>
    <row r="79" spans="1:25" ht="12.7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row>
    <row r="80" spans="1:25" ht="12.7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row>
    <row r="81" spans="1:25" ht="12.7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row>
    <row r="82" spans="1:25" ht="12.7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row>
    <row r="83" spans="1:25" ht="12.7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row>
    <row r="84" spans="1:25" ht="12.7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row>
    <row r="85" spans="1:25" ht="12.7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row>
    <row r="86" spans="1:25" ht="12.7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row>
    <row r="87" spans="1:25" ht="12.7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row>
    <row r="88" spans="1:25" ht="12.7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row>
    <row r="89" spans="1:25" ht="12.7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row>
    <row r="90" spans="1:25" ht="12.75" customHeight="1">
      <c r="A90" s="36"/>
      <c r="B90" s="36"/>
      <c r="C90" s="36"/>
      <c r="D90" s="36"/>
      <c r="E90" s="36"/>
      <c r="F90" s="36"/>
      <c r="G90" s="36"/>
      <c r="H90" s="36"/>
      <c r="I90" s="36"/>
      <c r="J90" s="36"/>
      <c r="K90" s="36"/>
      <c r="L90" s="36"/>
      <c r="M90" s="36"/>
      <c r="N90" s="36"/>
      <c r="O90" s="36"/>
      <c r="P90" s="36"/>
      <c r="Q90" s="36"/>
      <c r="R90" s="36"/>
      <c r="S90" s="36"/>
      <c r="T90" s="36"/>
      <c r="U90" s="36"/>
      <c r="V90" s="36"/>
      <c r="W90" s="36"/>
      <c r="X90" s="36"/>
      <c r="Y90" s="36"/>
    </row>
    <row r="91" spans="1:25" ht="12.75" customHeight="1">
      <c r="A91" s="36"/>
      <c r="B91" s="36"/>
      <c r="C91" s="36"/>
      <c r="D91" s="36"/>
      <c r="E91" s="36"/>
      <c r="F91" s="36"/>
      <c r="G91" s="36"/>
      <c r="H91" s="36"/>
      <c r="I91" s="36"/>
      <c r="J91" s="36"/>
      <c r="K91" s="36"/>
      <c r="L91" s="36"/>
      <c r="M91" s="36"/>
      <c r="N91" s="36"/>
      <c r="O91" s="36"/>
      <c r="P91" s="36"/>
      <c r="Q91" s="36"/>
      <c r="R91" s="36"/>
      <c r="S91" s="36"/>
      <c r="T91" s="36"/>
      <c r="U91" s="36"/>
      <c r="V91" s="36"/>
      <c r="W91" s="36"/>
      <c r="X91" s="36"/>
      <c r="Y91" s="36"/>
    </row>
    <row r="92" spans="1:25" ht="12.75" customHeight="1">
      <c r="A92" s="36"/>
      <c r="B92" s="36"/>
      <c r="C92" s="36"/>
      <c r="D92" s="36"/>
      <c r="E92" s="36"/>
      <c r="F92" s="36"/>
      <c r="G92" s="36"/>
      <c r="H92" s="36"/>
      <c r="I92" s="36"/>
      <c r="J92" s="36"/>
      <c r="K92" s="36"/>
      <c r="L92" s="36"/>
      <c r="M92" s="36"/>
      <c r="N92" s="36"/>
      <c r="O92" s="36"/>
      <c r="P92" s="36"/>
      <c r="Q92" s="36"/>
      <c r="R92" s="36"/>
      <c r="S92" s="36"/>
      <c r="T92" s="36"/>
      <c r="U92" s="36"/>
      <c r="V92" s="36"/>
      <c r="W92" s="36"/>
      <c r="X92" s="36"/>
      <c r="Y92" s="36"/>
    </row>
    <row r="93" spans="1:25" ht="12.75" customHeight="1">
      <c r="A93" s="36"/>
      <c r="B93" s="36"/>
      <c r="C93" s="36"/>
      <c r="D93" s="36"/>
      <c r="E93" s="36"/>
      <c r="F93" s="36"/>
      <c r="G93" s="36"/>
      <c r="H93" s="36"/>
      <c r="I93" s="36"/>
      <c r="J93" s="36"/>
      <c r="K93" s="36"/>
      <c r="L93" s="36"/>
      <c r="M93" s="36"/>
      <c r="N93" s="36"/>
      <c r="O93" s="36"/>
      <c r="P93" s="36"/>
      <c r="Q93" s="36"/>
      <c r="R93" s="36"/>
      <c r="S93" s="36"/>
      <c r="T93" s="36"/>
      <c r="U93" s="36"/>
      <c r="V93" s="36"/>
      <c r="W93" s="36"/>
      <c r="X93" s="36"/>
      <c r="Y93" s="36"/>
    </row>
    <row r="94" spans="1:25" ht="12.7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row>
    <row r="95" spans="1:25" ht="12.7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row>
    <row r="96" spans="1:25" ht="12.7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row>
    <row r="97" spans="1:25" ht="12.7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row>
    <row r="98" spans="1:25" ht="12.7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row>
    <row r="99" spans="1:25" ht="12.7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row>
    <row r="100" spans="1:25" ht="12.7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row>
    <row r="101" spans="1:25" ht="12.7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row>
    <row r="102" spans="1:25" ht="12.7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row>
    <row r="103" spans="1:25" ht="12.7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row>
    <row r="104" spans="1:25" ht="12.7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row>
    <row r="105" spans="1:25" ht="12.7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row>
    <row r="106" spans="1:25" ht="12.7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row>
    <row r="107" spans="1:25" ht="12.7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row>
    <row r="108" spans="1:25" ht="12.7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row>
    <row r="109" spans="1:25" ht="12.7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row>
    <row r="110" spans="1:25" ht="12.75"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row>
    <row r="111" spans="1:25" ht="12.75"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row>
    <row r="112" spans="1:25" ht="12.75"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row>
    <row r="113" spans="1:25" ht="12.7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row>
    <row r="114" spans="1:25" ht="12.75"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row>
    <row r="115" spans="1:25" ht="12.75"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row>
    <row r="116" spans="1:25" ht="12.75"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row>
    <row r="117" spans="1:25" ht="12.7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row>
    <row r="118" spans="1:25" ht="12.75"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row>
    <row r="119" spans="1:25" ht="12.75"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ht="12.75"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row>
    <row r="121" spans="1:25" ht="12.75"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row>
    <row r="122" spans="1:25" ht="12.7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row>
    <row r="123" spans="1:25" ht="12.7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row>
    <row r="124" spans="1:25" ht="12.7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row>
    <row r="125" spans="1:25" ht="12.75"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row>
    <row r="126" spans="1:25" ht="12.75"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row>
    <row r="127" spans="1:25" ht="12.75"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row>
    <row r="128" spans="1:25" ht="12.75"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row>
    <row r="129" spans="1:25" ht="12.75"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row>
    <row r="130" spans="1:25" ht="12.75"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row>
    <row r="131" spans="1:25" ht="12.75"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row>
    <row r="132" spans="1:25" ht="12.75"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row>
    <row r="133" spans="1:25" ht="12.7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row>
    <row r="134" spans="1:25" ht="12.75" customHeigh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row>
    <row r="135" spans="1:25" ht="12.75" customHeigh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row>
    <row r="136" spans="1:25" ht="12.75" customHeigh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row>
    <row r="137" spans="1:25" ht="12.75"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row>
    <row r="138" spans="1:25" ht="12.7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row>
    <row r="139" spans="1:25" ht="12.7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row>
    <row r="140" spans="1:25" ht="12.7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row>
    <row r="141" spans="1:25" ht="12.7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row>
    <row r="142" spans="1:25" ht="12.7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row>
    <row r="143" spans="1:25" ht="12.75" customHeigh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row>
    <row r="144" spans="1:25" ht="12.75"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row>
    <row r="145" spans="1:25" ht="12.75"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row>
    <row r="146" spans="1:25" ht="12.75" customHeigh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row>
    <row r="147" spans="1:25" ht="12.75" customHeigh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row>
    <row r="148" spans="1:25" ht="12.7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row>
    <row r="149" spans="1:25" ht="12.7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row>
    <row r="150" spans="1:25" ht="12.75" customHeight="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row>
    <row r="151" spans="1:25" ht="12.75" customHeight="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row>
    <row r="152" spans="1:25" ht="12.75" customHeight="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row>
    <row r="153" spans="1:25" ht="12.75" customHeight="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row>
    <row r="154" spans="1:25" ht="12.75" customHeight="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row>
    <row r="155" spans="1:25" ht="12.75" customHeight="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row>
    <row r="156" spans="1:25" ht="12.75" customHeight="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row>
    <row r="157" spans="1:25" ht="12.7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row>
    <row r="158" spans="1:25" ht="12.75" customHeight="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59" spans="1:25" ht="12.75" customHeight="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row>
    <row r="160" spans="1:25" ht="12.75" customHeight="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row>
    <row r="161" spans="1:25" ht="12.75" customHeight="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row>
    <row r="162" spans="1:25" ht="12.7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row>
    <row r="163" spans="1:25" ht="12.75" customHeight="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row>
    <row r="164" spans="1:25" ht="12.75" customHeight="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row>
    <row r="165" spans="1:25" ht="12.7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row>
    <row r="166" spans="1:25" ht="12.7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row>
    <row r="167" spans="1:25" ht="12.7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row>
    <row r="168" spans="1:25" ht="12.7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row>
    <row r="169" spans="1:25" ht="12.7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row>
    <row r="170" spans="1:25" ht="12.7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row>
    <row r="171" spans="1:25" ht="12.75" customHeight="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row>
    <row r="172" spans="1:25" ht="12.7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row>
    <row r="173" spans="1:25" ht="12.7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row>
    <row r="174" spans="1:25" ht="12.7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row>
    <row r="175" spans="1:25" ht="12.7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row>
    <row r="176" spans="1:25" ht="12.7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row>
    <row r="177" spans="1:25" ht="12.7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row>
    <row r="178" spans="1:25" ht="12.7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row>
    <row r="179" spans="1:25" ht="12.7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row>
    <row r="180" spans="1:25" ht="12.7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row>
    <row r="181" spans="1:25" ht="12.7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row>
    <row r="182" spans="1:25" ht="12.7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row>
    <row r="183" spans="1:25" ht="12.7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row>
    <row r="184" spans="1:25" ht="12.7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row>
    <row r="185" spans="1:25" ht="12.7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row>
    <row r="186" spans="1:25" ht="12.7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row>
    <row r="187" spans="1:25" ht="12.7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row>
    <row r="188" spans="1:25" ht="12.7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row>
    <row r="189" spans="1:25" ht="12.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row>
    <row r="190" spans="1:25" ht="12.7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row>
    <row r="191" spans="1:25" ht="12.7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row>
    <row r="192" spans="1:25" ht="12.7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row>
    <row r="193" spans="1:25" ht="12.75" customHeight="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row>
    <row r="194" spans="1:25" ht="12.75" customHeigh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row>
    <row r="195" spans="1:25" ht="12.75" customHeigh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row>
    <row r="196" spans="1:25" ht="12.75" customHeight="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row>
    <row r="197" spans="1:25" ht="12.75" customHeight="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row>
    <row r="198" spans="1:25" ht="12.75" customHeight="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row>
    <row r="199" spans="1:25" ht="12.75"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row>
    <row r="200" spans="1:25" ht="12.7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row>
    <row r="201" spans="1:25" ht="12.75" customHeight="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row>
    <row r="202" spans="1:25" ht="12.75" customHeight="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row>
    <row r="203" spans="1:25" ht="12.75" customHeight="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row>
    <row r="204" spans="1:25" ht="12.7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row>
    <row r="205" spans="1:25" ht="12.75" customHeight="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row>
    <row r="206" spans="1:25" ht="12.75" customHeigh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row>
    <row r="207" spans="1:25" ht="12.75" customHeight="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row>
    <row r="208" spans="1:25" ht="12.75" customHeight="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row>
    <row r="209" spans="1:25" ht="12.75" customHeigh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row>
    <row r="210" spans="1:25" ht="12.75" customHeight="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row>
    <row r="211" spans="1:25" ht="12.75" customHeigh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row>
    <row r="212" spans="1:25" ht="12.75" customHeight="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row>
    <row r="213" spans="1:25" ht="12.7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row>
    <row r="214" spans="1:25" ht="12.7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row>
    <row r="215" spans="1:25" ht="12.7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row>
    <row r="216" spans="1:25" ht="12.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row>
    <row r="217" spans="1:25" ht="12.75" customHeight="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row>
    <row r="218" spans="1:25" ht="12.75" customHeight="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row>
    <row r="219" spans="1:25" ht="12.75" customHeight="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row>
    <row r="220" spans="1:25" ht="12.75" customHeight="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row>
    <row r="221" spans="1:25" ht="12.75" customHeight="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row>
    <row r="222" spans="1:25" ht="12.75" customHeight="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row>
    <row r="223" spans="1:25" ht="12.75" customHeight="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row>
    <row r="224" spans="1:25" ht="12.75"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row>
    <row r="225" spans="1:25" ht="12.75" customHeight="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row>
    <row r="226" spans="1:25" ht="12.75" customHeight="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row>
    <row r="227" spans="1:25" ht="12.75" customHeight="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row>
    <row r="228" spans="1:25" ht="12.75" customHeight="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row>
    <row r="229" spans="1:25" ht="12.75" customHeight="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row>
    <row r="230" spans="1:25" ht="12.75" customHeight="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row>
    <row r="231" spans="1:25" ht="12.75" customHeight="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row>
    <row r="232" spans="1:25" ht="12.75" customHeight="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row>
    <row r="233" spans="1:25" ht="12.75" customHeight="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row>
    <row r="234" spans="1:25" ht="12.75" customHeight="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row>
    <row r="235" spans="1:25" ht="12.75" customHeight="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row>
    <row r="236" spans="1:25" ht="12.75" customHeight="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row>
    <row r="237" spans="1:25" ht="12.75" customHeight="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row>
    <row r="238" spans="1:25" ht="12.75" customHeight="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row>
    <row r="239" spans="1:25" ht="12.75" customHeight="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row>
    <row r="240" spans="1:25" ht="12.75" customHeight="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row>
    <row r="241" spans="1:25" ht="12.75" customHeight="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row>
    <row r="242" spans="1:25" ht="12.75" customHeight="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row>
    <row r="243" spans="1:25" ht="12.75" customHeight="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row>
    <row r="244" spans="1:25" ht="12.75" customHeigh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row>
    <row r="245" spans="1:25" ht="12.75" customHeigh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row>
    <row r="246" spans="1:25" ht="12.75" customHeight="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row>
    <row r="247" spans="1:25" ht="12.75" customHeight="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row>
    <row r="248" spans="1:25" ht="12.75" customHeight="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row>
    <row r="249" spans="1:25" ht="12.75" customHeight="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row>
    <row r="250" spans="1:25" ht="12.75" customHeight="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row>
    <row r="251" spans="1:25" ht="12.75" customHeight="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row>
    <row r="252" spans="1:25" ht="12.75" customHeight="1">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row>
    <row r="253" spans="1:25" ht="12.75" customHeight="1">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row>
    <row r="254" spans="1:25" ht="12.75" customHeight="1">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row>
    <row r="255" spans="1:25" ht="12.75" customHeight="1">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row>
    <row r="256" spans="1:25" ht="12.75" customHeight="1">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row>
    <row r="257" spans="1:25" ht="12.75" customHeight="1">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row>
    <row r="258" spans="1:25" ht="12.75" customHeight="1">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row>
    <row r="259" spans="1:25" ht="12.75" customHeight="1">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row>
    <row r="260" spans="1:25" ht="12.75" customHeight="1">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row>
    <row r="261" spans="1:25" ht="12.75" customHeight="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row>
    <row r="262" spans="1:25" ht="12.75" customHeight="1">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row>
    <row r="263" spans="1:25" ht="12.75" customHeight="1">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row>
    <row r="264" spans="1:25" ht="12.75" customHeight="1">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row>
    <row r="265" spans="1:25" ht="12.75" customHeight="1">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row>
    <row r="266" spans="1:25" ht="12.75" customHeight="1">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row>
    <row r="267" spans="1:25" ht="12.75" customHeight="1">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row>
    <row r="268" spans="1:25" ht="12.75" customHeight="1">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row>
    <row r="269" spans="1:25" ht="12.75" customHeight="1">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row>
    <row r="270" spans="1:25" ht="12.75" customHeight="1">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row>
    <row r="271" spans="1:25" ht="12.75" customHeight="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row>
    <row r="272" spans="1:25" ht="12.75" customHeight="1">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row>
    <row r="273" spans="1:25" ht="12.75" customHeight="1">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row>
    <row r="274" spans="1:25" ht="12.75" customHeight="1">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row>
    <row r="275" spans="1:25" ht="12.75" customHeight="1">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row>
    <row r="276" spans="1:25" ht="12.75" customHeight="1">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row>
    <row r="277" spans="1:25" ht="12.75" customHeight="1">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row>
    <row r="278" spans="1:25" ht="12.75" customHeight="1">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row>
    <row r="279" spans="1:25" ht="12.75" customHeight="1">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row>
    <row r="280" spans="1:25" ht="12.75" customHeight="1">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row>
    <row r="281" spans="1:25" ht="12.75" customHeight="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row>
    <row r="282" spans="1:25" ht="12.75" customHeight="1">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row>
    <row r="283" spans="1:25" ht="12.75" customHeight="1">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row>
    <row r="284" spans="1:25" ht="12.75" customHeight="1">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row>
    <row r="285" spans="1:25" ht="12.75" customHeight="1">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row>
    <row r="286" spans="1:25" ht="12.75" customHeight="1">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row>
    <row r="287" spans="1:25" ht="12.75" customHeight="1">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row>
    <row r="288" spans="1:25" ht="12.75" customHeight="1">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row>
    <row r="289" spans="1:25" ht="12.75" customHeight="1">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row>
    <row r="290" spans="1:25" ht="12.75" customHeight="1">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row>
    <row r="291" spans="1:25" ht="12.75" customHeight="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row>
    <row r="292" spans="1:25" ht="12.75" customHeight="1">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row>
    <row r="293" spans="1:25" ht="12.75" customHeight="1">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row>
    <row r="294" spans="1:25" ht="12.75" customHeight="1">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row>
    <row r="295" spans="1:25" ht="12.75" customHeight="1">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row>
    <row r="296" spans="1:25" ht="12.75" customHeight="1">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row>
    <row r="297" spans="1:25" ht="12.75" customHeight="1">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row>
    <row r="298" spans="1:25" ht="12.75" customHeight="1">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row>
    <row r="299" spans="1:25" ht="12.75" customHeight="1">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row>
    <row r="300" spans="1:25" ht="12.75" customHeight="1">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row>
    <row r="301" spans="1:25" ht="12.75" customHeight="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row>
    <row r="302" spans="1:25" ht="12.75" customHeight="1">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row>
    <row r="303" spans="1:25" ht="12.75" customHeight="1">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row>
    <row r="304" spans="1:25" ht="12.75" customHeight="1">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row>
    <row r="305" spans="1:25" ht="12.75" customHeight="1">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row>
    <row r="306" spans="1:25" ht="12.75" customHeight="1">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row>
    <row r="307" spans="1:25" ht="12.75" customHeight="1">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row>
    <row r="308" spans="1:25" ht="12.75" customHeight="1">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row>
    <row r="309" spans="1:25" ht="12.75" customHeight="1">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row>
    <row r="310" spans="1:25" ht="12.75" customHeight="1">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row>
    <row r="311" spans="1:25" ht="12.75" customHeight="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row>
    <row r="312" spans="1:25" ht="12.75" customHeight="1">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row>
    <row r="313" spans="1:25" ht="12.75" customHeight="1">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row>
    <row r="314" spans="1:25" ht="12.75" customHeight="1">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row>
    <row r="315" spans="1:25" ht="12.75" customHeight="1">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row>
    <row r="316" spans="1:25" ht="12.75" customHeight="1">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row>
    <row r="317" spans="1:25" ht="12.75" customHeight="1">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row>
    <row r="318" spans="1:25" ht="12.75" customHeight="1">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row>
    <row r="319" spans="1:25" ht="12.75" customHeight="1">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row>
    <row r="320" spans="1:25" ht="12.75" customHeight="1">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row>
    <row r="321" spans="1:25" ht="12.75" customHeight="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row>
    <row r="322" spans="1:25" ht="12.75" customHeight="1">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row>
    <row r="323" spans="1:25" ht="12.75" customHeight="1">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row>
    <row r="324" spans="1:25" ht="12.75" customHeight="1">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row>
    <row r="325" spans="1:25" ht="12.75" customHeight="1">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row>
    <row r="326" spans="1:25" ht="12.75" customHeight="1">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row>
    <row r="327" spans="1:25" ht="12.75" customHeight="1">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row>
    <row r="328" spans="1:25" ht="12.75" customHeight="1">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row>
    <row r="329" spans="1:25" ht="12.75" customHeight="1">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row>
    <row r="330" spans="1:25" ht="12.75" customHeight="1">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row>
    <row r="331" spans="1:25" ht="12.75" customHeight="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row>
    <row r="332" spans="1:25" ht="12.75" customHeight="1">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row>
    <row r="333" spans="1:25" ht="12.75" customHeight="1">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row>
    <row r="334" spans="1:25" ht="12.75" customHeight="1">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row>
    <row r="335" spans="1:25" ht="12.75" customHeight="1">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row>
    <row r="336" spans="1:25" ht="12.75" customHeight="1">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row>
    <row r="337" spans="1:25" ht="12.75" customHeight="1">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row>
    <row r="338" spans="1:25" ht="12.75" customHeight="1">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row>
    <row r="339" spans="1:25" ht="12.75" customHeight="1">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row>
    <row r="340" spans="1:25" ht="12.75" customHeight="1">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row>
    <row r="341" spans="1:25" ht="12.75" customHeight="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row>
    <row r="342" spans="1:25" ht="12.75" customHeight="1">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row>
    <row r="343" spans="1:25" ht="12.75" customHeight="1">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row>
    <row r="344" spans="1:25" ht="12.75" customHeight="1">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row>
    <row r="345" spans="1:25" ht="12.75" customHeight="1">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row>
    <row r="346" spans="1:25" ht="12.75" customHeight="1">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row>
    <row r="347" spans="1:25" ht="12.75" customHeight="1">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row>
    <row r="348" spans="1:25" ht="12.75" customHeight="1">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row>
    <row r="349" spans="1:25" ht="12.75" customHeight="1">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row>
    <row r="350" spans="1:25" ht="12.75" customHeight="1">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row>
    <row r="351" spans="1:25" ht="12.75" customHeight="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row>
    <row r="352" spans="1:25" ht="12.75" customHeight="1">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row>
    <row r="353" spans="1:25" ht="12.75" customHeight="1">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row>
    <row r="354" spans="1:25" ht="12.75" customHeight="1">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row>
    <row r="355" spans="1:25" ht="12.75" customHeight="1">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row>
    <row r="356" spans="1:25" ht="12.75" customHeight="1">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row>
    <row r="357" spans="1:25" ht="12.75" customHeight="1">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row>
    <row r="358" spans="1:25" ht="12.75" customHeight="1">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row>
    <row r="359" spans="1:25" ht="12.75" customHeight="1">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row>
    <row r="360" spans="1:25" ht="12.75" customHeight="1">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row>
    <row r="361" spans="1:25" ht="12.75" customHeight="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row>
    <row r="362" spans="1:25" ht="12.75" customHeight="1">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row>
    <row r="363" spans="1:25" ht="12.75" customHeight="1">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row>
    <row r="364" spans="1:25" ht="12.75" customHeight="1">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row>
    <row r="365" spans="1:25" ht="12.75" customHeight="1">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row>
    <row r="366" spans="1:25" ht="12.75" customHeight="1">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row>
    <row r="367" spans="1:25" ht="12.75" customHeight="1">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row>
    <row r="368" spans="1:25" ht="12.75" customHeight="1">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row>
    <row r="369" spans="1:25" ht="12.75" customHeight="1">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row>
    <row r="370" spans="1:25" ht="12.75" customHeight="1">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row>
    <row r="371" spans="1:25" ht="12.75" customHeight="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row>
    <row r="372" spans="1:25" ht="12.75" customHeight="1">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row>
    <row r="373" spans="1:25" ht="12.75" customHeight="1">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row>
    <row r="374" spans="1:25" ht="12.75" customHeight="1">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row>
    <row r="375" spans="1:25" ht="12.75" customHeight="1">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row>
    <row r="376" spans="1:25" ht="12.75" customHeight="1">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row>
    <row r="377" spans="1:25" ht="12.75" customHeight="1">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row>
    <row r="378" spans="1:25" ht="12.75" customHeight="1">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row>
    <row r="379" spans="1:25" ht="12.75" customHeight="1">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row>
    <row r="380" spans="1:25" ht="12.75" customHeight="1">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row>
    <row r="381" spans="1:25" ht="12.75" customHeight="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row>
    <row r="382" spans="1:25" ht="12.75" customHeight="1">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row>
    <row r="383" spans="1:25" ht="12.75" customHeight="1">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row>
    <row r="384" spans="1:25" ht="12.75" customHeight="1">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row>
    <row r="385" spans="1:25" ht="12.75" customHeight="1">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row>
    <row r="386" spans="1:25" ht="12.75" customHeight="1">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row>
    <row r="387" spans="1:25" ht="12.75" customHeight="1">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row>
    <row r="388" spans="1:25" ht="12.75" customHeight="1">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row>
    <row r="389" spans="1:25" ht="12.75" customHeight="1">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row>
    <row r="390" spans="1:25" ht="12.75" customHeight="1">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row>
    <row r="391" spans="1:25" ht="12.75" customHeight="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row>
    <row r="392" spans="1:25" ht="12.75" customHeight="1">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row>
    <row r="393" spans="1:25" ht="12.75" customHeight="1">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row>
    <row r="394" spans="1:25" ht="12.75" customHeight="1">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row>
    <row r="395" spans="1:25" ht="12.75" customHeight="1">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row>
    <row r="396" spans="1:25" ht="12.75" customHeight="1">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row>
    <row r="397" spans="1:25" ht="12.75" customHeight="1">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row>
    <row r="398" spans="1:25" ht="12.75" customHeight="1">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row>
    <row r="399" spans="1:25" ht="12.75" customHeight="1">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row>
    <row r="400" spans="1:25" ht="12.75" customHeight="1">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row>
    <row r="401" spans="1:25" ht="12.75" customHeight="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row>
    <row r="402" spans="1:25" ht="12.75" customHeight="1">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row>
    <row r="403" spans="1:25" ht="12.75" customHeight="1">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row>
    <row r="404" spans="1:25" ht="12.75" customHeight="1">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row>
    <row r="405" spans="1:25" ht="12.75" customHeight="1">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row>
    <row r="406" spans="1:25" ht="12.75" customHeight="1">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row>
    <row r="407" spans="1:25" ht="12.75" customHeight="1">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row>
    <row r="408" spans="1:25" ht="12.75" customHeight="1">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row>
    <row r="409" spans="1:25" ht="12.75" customHeight="1">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row>
    <row r="410" spans="1:25" ht="12.75" customHeight="1">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row>
    <row r="411" spans="1:25" ht="12.75" customHeight="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row>
    <row r="412" spans="1:25" ht="12.75" customHeight="1">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row>
    <row r="413" spans="1:25" ht="12.75" customHeight="1">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row>
    <row r="414" spans="1:25" ht="12.75" customHeight="1">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row>
    <row r="415" spans="1:25" ht="12.75" customHeight="1">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row>
    <row r="416" spans="1:25" ht="12.75" customHeight="1">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row>
    <row r="417" spans="1:25" ht="12.75" customHeight="1">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row>
    <row r="418" spans="1:25" ht="12.75" customHeight="1">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row>
    <row r="419" spans="1:25" ht="12.75" customHeight="1">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row>
    <row r="420" spans="1:25" ht="12.75" customHeight="1">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row>
    <row r="421" spans="1:25" ht="12.75" customHeight="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row>
    <row r="422" spans="1:25" ht="12.75" customHeight="1">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row>
    <row r="423" spans="1:25" ht="12.75" customHeight="1">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row>
    <row r="424" spans="1:25" ht="12.75" customHeight="1">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row>
    <row r="425" spans="1:25" ht="12.75" customHeight="1">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row>
    <row r="426" spans="1:25" ht="12.75" customHeight="1">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row>
    <row r="427" spans="1:25" ht="12.75" customHeight="1">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row>
    <row r="428" spans="1:25" ht="12.75" customHeight="1">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row>
    <row r="429" spans="1:25" ht="12.75" customHeight="1">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row>
    <row r="430" spans="1:25" ht="12.75" customHeight="1">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row>
    <row r="431" spans="1:25" ht="12.75" customHeight="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row>
    <row r="432" spans="1:25" ht="12.75" customHeight="1">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row>
    <row r="433" spans="1:25" ht="12.75" customHeight="1">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row>
    <row r="434" spans="1:25" ht="12.75" customHeight="1">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row>
    <row r="435" spans="1:25" ht="12.75" customHeight="1">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row>
    <row r="436" spans="1:25" ht="12.75" customHeight="1">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row>
    <row r="437" spans="1:25" ht="12.75" customHeight="1">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row>
    <row r="438" spans="1:25" ht="12.75" customHeight="1">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row>
    <row r="439" spans="1:25" ht="12.75" customHeight="1">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row>
    <row r="440" spans="1:25" ht="12.75" customHeight="1">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row>
    <row r="441" spans="1:25" ht="12.75" customHeight="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row>
    <row r="442" spans="1:25" ht="12.75" customHeight="1">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row>
    <row r="443" spans="1:25" ht="12.75" customHeight="1">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row>
    <row r="444" spans="1:25" ht="12.75" customHeight="1">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row>
    <row r="445" spans="1:25" ht="12.75" customHeight="1">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row>
    <row r="446" spans="1:25" ht="12.75" customHeight="1">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row>
    <row r="447" spans="1:25" ht="12.75" customHeight="1">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row>
    <row r="448" spans="1:25" ht="12.75" customHeight="1">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row>
    <row r="449" spans="1:25" ht="12.75" customHeight="1">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row>
    <row r="450" spans="1:25" ht="12.75" customHeight="1">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row>
    <row r="451" spans="1:25" ht="12.75" customHeight="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row>
    <row r="452" spans="1:25" ht="12.75" customHeight="1">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row>
    <row r="453" spans="1:25" ht="12.75" customHeight="1">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row>
    <row r="454" spans="1:25" ht="12.75" customHeight="1">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row>
    <row r="455" spans="1:25" ht="12.75" customHeight="1">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row>
    <row r="456" spans="1:25" ht="12.75" customHeight="1">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row>
    <row r="457" spans="1:25" ht="12.75" customHeight="1">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row>
    <row r="458" spans="1:25" ht="12.75" customHeight="1">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row>
    <row r="459" spans="1:25" ht="12.75" customHeight="1">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row>
    <row r="460" spans="1:25" ht="12.75" customHeight="1">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row>
    <row r="461" spans="1:25" ht="12.75" customHeight="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row>
    <row r="462" spans="1:25" ht="12.75" customHeight="1">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row>
    <row r="463" spans="1:25" ht="12.75" customHeight="1">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row>
    <row r="464" spans="1:25" ht="12.75" customHeight="1">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row>
    <row r="465" spans="1:25" ht="12.75" customHeight="1">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row>
    <row r="466" spans="1:25" ht="12.75" customHeight="1">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row>
    <row r="467" spans="1:25" ht="12.75" customHeight="1">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row>
    <row r="468" spans="1:25" ht="12.75" customHeight="1">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row>
    <row r="469" spans="1:25" ht="12.75" customHeight="1">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row>
    <row r="470" spans="1:25" ht="12.75" customHeight="1">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row>
    <row r="471" spans="1:25" ht="12.75" customHeight="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row>
    <row r="472" spans="1:25" ht="12.75" customHeight="1">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row>
    <row r="473" spans="1:25" ht="12.75" customHeight="1">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row>
    <row r="474" spans="1:25" ht="12.75" customHeight="1">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row>
    <row r="475" spans="1:25" ht="12.75" customHeight="1">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row>
    <row r="476" spans="1:25" ht="12.75" customHeight="1">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row>
    <row r="477" spans="1:25" ht="12.75" customHeight="1">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row>
    <row r="478" spans="1:25" ht="12.75" customHeight="1">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row>
    <row r="479" spans="1:25" ht="12.75" customHeight="1">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row>
    <row r="480" spans="1:25" ht="12.75" customHeight="1">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row>
    <row r="481" spans="1:25" ht="12.75" customHeight="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row>
    <row r="482" spans="1:25" ht="12.75" customHeight="1">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row>
    <row r="483" spans="1:25" ht="12.75" customHeight="1">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row>
    <row r="484" spans="1:25" ht="12.75" customHeight="1">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row>
    <row r="485" spans="1:25" ht="12.75" customHeight="1">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row>
    <row r="486" spans="1:25" ht="12.75" customHeight="1">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row>
    <row r="487" spans="1:25" ht="12.75" customHeight="1">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row>
    <row r="488" spans="1:25" ht="12.75" customHeight="1">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row>
    <row r="489" spans="1:25" ht="12.75" customHeight="1">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row>
    <row r="490" spans="1:25" ht="12.75" customHeight="1">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row>
    <row r="491" spans="1:25" ht="12.75" customHeight="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row>
    <row r="492" spans="1:25" ht="12.75" customHeight="1">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row>
    <row r="493" spans="1:25" ht="12.75" customHeight="1">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row>
    <row r="494" spans="1:25" ht="12.75" customHeight="1">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row>
    <row r="495" spans="1:25" ht="12.75" customHeight="1">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row>
    <row r="496" spans="1:25" ht="12.75" customHeight="1">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row>
    <row r="497" spans="1:25" ht="12.75" customHeight="1">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row>
    <row r="498" spans="1:25" ht="12.75" customHeight="1">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row>
    <row r="499" spans="1:25" ht="12.75" customHeight="1">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row>
    <row r="500" spans="1:25" ht="12.75" customHeight="1">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row>
    <row r="501" spans="1:25" ht="12.75" customHeight="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row>
    <row r="502" spans="1:25" ht="12.75" customHeight="1">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row>
    <row r="503" spans="1:25" ht="12.75" customHeight="1">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row>
    <row r="504" spans="1:25" ht="12.75" customHeight="1">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row>
    <row r="505" spans="1:25" ht="12.75" customHeight="1">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row>
    <row r="506" spans="1:25" ht="12.75" customHeight="1">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row>
    <row r="507" spans="1:25" ht="12.75" customHeight="1">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row>
    <row r="508" spans="1:25" ht="12.75" customHeight="1">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row>
    <row r="509" spans="1:25" ht="12.75" customHeight="1">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row>
    <row r="510" spans="1:25" ht="12.75" customHeight="1">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row>
    <row r="511" spans="1:25" ht="12.75" customHeight="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row>
    <row r="512" spans="1:25" ht="12.75" customHeight="1">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row>
    <row r="513" spans="1:25" ht="12.75" customHeight="1">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row>
    <row r="514" spans="1:25" ht="12.75" customHeight="1">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row>
    <row r="515" spans="1:25" ht="12.75" customHeight="1">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row>
    <row r="516" spans="1:25" ht="12.75" customHeight="1">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row>
    <row r="517" spans="1:25" ht="12.75" customHeight="1">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row>
    <row r="518" spans="1:25" ht="12.75" customHeight="1">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row>
    <row r="519" spans="1:25" ht="12.75" customHeight="1">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row>
    <row r="520" spans="1:25" ht="12.75" customHeight="1">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row>
    <row r="521" spans="1:25" ht="12.75" customHeight="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row>
    <row r="522" spans="1:25" ht="12.75" customHeight="1">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row>
    <row r="523" spans="1:25" ht="12.75" customHeight="1">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row>
    <row r="524" spans="1:25" ht="12.75" customHeight="1">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row>
    <row r="525" spans="1:25" ht="12.75" customHeight="1">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row>
    <row r="526" spans="1:25" ht="12.75" customHeight="1">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row>
    <row r="527" spans="1:25" ht="12.75" customHeight="1">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row>
    <row r="528" spans="1:25" ht="12.75" customHeight="1">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row>
    <row r="529" spans="1:25" ht="12.75" customHeight="1">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row>
    <row r="530" spans="1:25" ht="12.75" customHeight="1">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row>
    <row r="531" spans="1:25" ht="12.75" customHeight="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row>
    <row r="532" spans="1:25" ht="12.75" customHeight="1">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row>
    <row r="533" spans="1:25" ht="12.75" customHeight="1">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row>
    <row r="534" spans="1:25" ht="12.75" customHeight="1">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row>
    <row r="535" spans="1:25" ht="12.75" customHeight="1">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row>
    <row r="536" spans="1:25" ht="12.75" customHeight="1">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row>
    <row r="537" spans="1:25" ht="12.75" customHeight="1">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row>
    <row r="538" spans="1:25" ht="12.75" customHeight="1">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row>
    <row r="539" spans="1:25" ht="12.75" customHeight="1">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row>
    <row r="540" spans="1:25" ht="12.75" customHeight="1">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row>
    <row r="541" spans="1:25" ht="12.75" customHeight="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row>
    <row r="542" spans="1:25" ht="12.75" customHeight="1">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row>
    <row r="543" spans="1:25" ht="12.75" customHeight="1">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row>
    <row r="544" spans="1:25" ht="12.75" customHeight="1">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row>
    <row r="545" spans="1:25" ht="12.75" customHeight="1">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row>
    <row r="546" spans="1:25" ht="12.75" customHeight="1">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row>
    <row r="547" spans="1:25" ht="12.75" customHeight="1">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row>
    <row r="548" spans="1:25" ht="12.75" customHeight="1">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row>
    <row r="549" spans="1:25" ht="12.75" customHeight="1">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row>
    <row r="550" spans="1:25" ht="12.75" customHeight="1">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row>
    <row r="551" spans="1:25" ht="12.75" customHeight="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row>
    <row r="552" spans="1:25" ht="12.75" customHeight="1">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row>
    <row r="553" spans="1:25" ht="12.75" customHeight="1">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row>
    <row r="554" spans="1:25" ht="12.75" customHeight="1">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row>
    <row r="555" spans="1:25" ht="12.75" customHeight="1">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row>
    <row r="556" spans="1:25" ht="12.75" customHeight="1">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row>
    <row r="557" spans="1:25" ht="12.75" customHeight="1">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row>
    <row r="558" spans="1:25" ht="12.75" customHeight="1">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row>
    <row r="559" spans="1:25" ht="12.75" customHeight="1">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row>
    <row r="560" spans="1:25" ht="12.75" customHeight="1">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row>
    <row r="561" spans="1:25" ht="12.75" customHeight="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row>
    <row r="562" spans="1:25" ht="12.75" customHeight="1">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row>
    <row r="563" spans="1:25" ht="12.75" customHeight="1">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row>
    <row r="564" spans="1:25" ht="12.75" customHeight="1">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row>
    <row r="565" spans="1:25" ht="12.75" customHeight="1">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row>
    <row r="566" spans="1:25" ht="12.75" customHeight="1">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row>
    <row r="567" spans="1:25" ht="12.75" customHeight="1">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row>
    <row r="568" spans="1:25" ht="12.75" customHeight="1">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row>
    <row r="569" spans="1:25" ht="12.75" customHeight="1">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row>
    <row r="570" spans="1:25" ht="12.75" customHeight="1">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row>
    <row r="571" spans="1:25" ht="12.75" customHeight="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row>
    <row r="572" spans="1:25" ht="12.75" customHeight="1">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row>
    <row r="573" spans="1:25" ht="12.75" customHeight="1">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row>
    <row r="574" spans="1:25" ht="12.75" customHeight="1">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row>
    <row r="575" spans="1:25" ht="12.75" customHeight="1">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row>
    <row r="576" spans="1:25" ht="12.75" customHeight="1">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row>
    <row r="577" spans="1:25" ht="12.75" customHeight="1">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row>
    <row r="578" spans="1:25" ht="12.75" customHeight="1">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row>
    <row r="579" spans="1:25" ht="12.75" customHeight="1">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row>
    <row r="580" spans="1:25" ht="12.75" customHeight="1">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row>
    <row r="581" spans="1:25" ht="12.75" customHeight="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row>
    <row r="582" spans="1:25" ht="12.75" customHeight="1">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row>
    <row r="583" spans="1:25" ht="12.75" customHeight="1">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row>
    <row r="584" spans="1:25" ht="12.75" customHeight="1">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row>
    <row r="585" spans="1:25" ht="12.75" customHeight="1">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row>
    <row r="586" spans="1:25" ht="12.75" customHeight="1">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row>
    <row r="587" spans="1:25" ht="12.75" customHeight="1">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row>
    <row r="588" spans="1:25" ht="12.75" customHeight="1">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row>
    <row r="589" spans="1:25" ht="12.75" customHeight="1">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row>
    <row r="590" spans="1:25" ht="12.75" customHeight="1">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row>
    <row r="591" spans="1:25" ht="12.75" customHeight="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row>
    <row r="592" spans="1:25" ht="12.75" customHeight="1">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row>
    <row r="593" spans="1:25" ht="12.75" customHeight="1">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row>
    <row r="594" spans="1:25" ht="12.75" customHeight="1">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row>
    <row r="595" spans="1:25" ht="12.75" customHeight="1">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row>
    <row r="596" spans="1:25" ht="12.75" customHeight="1">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row>
    <row r="597" spans="1:25" ht="12.75" customHeight="1">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row>
    <row r="598" spans="1:25" ht="12.75" customHeight="1">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row>
    <row r="599" spans="1:25" ht="12.75" customHeight="1">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row>
    <row r="600" spans="1:25" ht="12.75" customHeight="1">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row>
    <row r="601" spans="1:25" ht="12.75" customHeight="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row>
    <row r="602" spans="1:25" ht="12.75" customHeight="1">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row>
    <row r="603" spans="1:25" ht="12.75" customHeight="1">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row>
    <row r="604" spans="1:25" ht="12.75" customHeight="1">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row>
    <row r="605" spans="1:25" ht="12.75" customHeight="1">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row>
    <row r="606" spans="1:25" ht="12.75" customHeight="1">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row>
    <row r="607" spans="1:25" ht="12.75" customHeight="1">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row>
    <row r="608" spans="1:25" ht="12.75" customHeight="1">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row>
    <row r="609" spans="1:25" ht="12.75" customHeight="1">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row>
    <row r="610" spans="1:25" ht="12.75" customHeight="1">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row>
    <row r="611" spans="1:25" ht="12.75" customHeight="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row>
    <row r="612" spans="1:25" ht="12.75" customHeight="1">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row>
    <row r="613" spans="1:25" ht="12.75" customHeight="1">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row>
    <row r="614" spans="1:25" ht="12.75" customHeight="1">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row>
    <row r="615" spans="1:25" ht="12.75" customHeight="1">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row>
    <row r="616" spans="1:25" ht="12.75" customHeight="1">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row>
    <row r="617" spans="1:25" ht="12.75" customHeight="1">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row>
    <row r="618" spans="1:25" ht="12.75" customHeight="1">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row>
    <row r="619" spans="1:25" ht="12.75" customHeight="1">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row>
    <row r="620" spans="1:25" ht="12.75" customHeight="1">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row>
    <row r="621" spans="1:25" ht="12.75" customHeight="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row>
    <row r="622" spans="1:25" ht="12.75" customHeight="1">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row>
    <row r="623" spans="1:25" ht="12.75" customHeight="1">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row>
    <row r="624" spans="1:25" ht="12.75" customHeight="1">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row>
    <row r="625" spans="1:25" ht="12.75" customHeight="1">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row>
    <row r="626" spans="1:25" ht="12.75" customHeight="1">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row>
    <row r="627" spans="1:25" ht="12.75" customHeight="1">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row>
    <row r="628" spans="1:25" ht="12.75" customHeight="1">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row>
    <row r="629" spans="1:25" ht="12.75" customHeight="1">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row>
    <row r="630" spans="1:25" ht="12.75" customHeight="1">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row>
    <row r="631" spans="1:25" ht="12.75" customHeight="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row>
    <row r="632" spans="1:25" ht="12.75" customHeight="1">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row>
    <row r="633" spans="1:25" ht="12.75" customHeight="1">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row>
    <row r="634" spans="1:25" ht="12.75" customHeight="1">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row>
    <row r="635" spans="1:25" ht="12.75" customHeight="1">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row>
    <row r="636" spans="1:25" ht="12.75" customHeight="1">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row>
    <row r="637" spans="1:25" ht="12.75" customHeight="1">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row>
    <row r="638" spans="1:25" ht="12.75" customHeight="1">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row>
    <row r="639" spans="1:25" ht="12.75" customHeight="1">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row>
    <row r="640" spans="1:25" ht="12.75" customHeight="1">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row>
    <row r="641" spans="1:25" ht="12.75" customHeight="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row>
    <row r="642" spans="1:25" ht="12.75" customHeight="1">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row>
    <row r="643" spans="1:25" ht="12.75" customHeight="1">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row>
    <row r="644" spans="1:25" ht="12.75" customHeight="1">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row>
    <row r="645" spans="1:25" ht="12.75" customHeight="1">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row>
    <row r="646" spans="1:25" ht="12.75" customHeight="1">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row>
    <row r="647" spans="1:25" ht="12.75" customHeight="1">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row>
    <row r="648" spans="1:25" ht="12.75" customHeight="1">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row>
    <row r="649" spans="1:25" ht="12.75" customHeight="1">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row>
    <row r="650" spans="1:25" ht="12.75" customHeight="1">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row>
    <row r="651" spans="1:25" ht="12.75" customHeight="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row>
    <row r="652" spans="1:25" ht="12.75" customHeight="1">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row>
    <row r="653" spans="1:25" ht="12.75" customHeight="1">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row>
    <row r="654" spans="1:25" ht="12.75" customHeight="1">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row>
    <row r="655" spans="1:25" ht="12.75" customHeight="1">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row>
    <row r="656" spans="1:25" ht="12.75" customHeight="1">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row>
    <row r="657" spans="1:25" ht="12.75" customHeight="1">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row>
    <row r="658" spans="1:25" ht="12.75" customHeight="1">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row>
    <row r="659" spans="1:25" ht="12.75" customHeight="1">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row>
    <row r="660" spans="1:25" ht="12.75" customHeight="1">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row>
    <row r="661" spans="1:25" ht="12.75" customHeight="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row>
    <row r="662" spans="1:25" ht="12.75" customHeight="1">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row>
    <row r="663" spans="1:25" ht="12.75" customHeight="1">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row>
    <row r="664" spans="1:25" ht="12.75" customHeight="1">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row>
    <row r="665" spans="1:25" ht="12.75" customHeight="1">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row>
    <row r="666" spans="1:25" ht="12.75" customHeight="1">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row>
    <row r="667" spans="1:25" ht="12.75" customHeight="1">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row>
    <row r="668" spans="1:25" ht="12.75" customHeight="1">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row>
    <row r="669" spans="1:25" ht="12.75" customHeight="1">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row>
    <row r="670" spans="1:25" ht="12.75" customHeight="1">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row>
    <row r="671" spans="1:25" ht="12.75" customHeight="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row>
    <row r="672" spans="1:25" ht="12.75" customHeight="1">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row>
    <row r="673" spans="1:25" ht="12.75" customHeight="1">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row>
    <row r="674" spans="1:25" ht="12.75" customHeight="1">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row>
    <row r="675" spans="1:25" ht="12.75" customHeight="1">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row>
    <row r="676" spans="1:25" ht="12.75" customHeight="1">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row>
    <row r="677" spans="1:25" ht="12.75" customHeight="1">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row>
    <row r="678" spans="1:25" ht="12.75" customHeight="1">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row>
    <row r="679" spans="1:25" ht="12.75" customHeight="1">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row>
    <row r="680" spans="1:25" ht="12.75" customHeight="1">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row>
    <row r="681" spans="1:25" ht="12.75" customHeight="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row>
    <row r="682" spans="1:25" ht="12.75" customHeight="1">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row>
    <row r="683" spans="1:25" ht="12.75" customHeight="1">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row>
    <row r="684" spans="1:25" ht="12.75" customHeight="1">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row>
    <row r="685" spans="1:25" ht="12.75" customHeight="1">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row>
    <row r="686" spans="1:25" ht="12.75" customHeight="1">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row>
    <row r="687" spans="1:25" ht="12.75" customHeight="1">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row>
    <row r="688" spans="1:25" ht="12.75" customHeight="1">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row>
    <row r="689" spans="1:25" ht="12.75" customHeight="1">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row>
    <row r="690" spans="1:25" ht="12.75" customHeight="1">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row>
    <row r="691" spans="1:25" ht="12.75" customHeight="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row>
    <row r="692" spans="1:25" ht="12.75" customHeight="1">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row>
    <row r="693" spans="1:25" ht="12.75" customHeight="1">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row>
    <row r="694" spans="1:25" ht="12.75" customHeight="1">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row>
    <row r="695" spans="1:25" ht="12.75" customHeight="1">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row>
    <row r="696" spans="1:25" ht="12.75" customHeight="1">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row>
    <row r="697" spans="1:25" ht="12.75" customHeight="1">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row>
    <row r="698" spans="1:25" ht="12.75" customHeight="1">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row>
    <row r="699" spans="1:25" ht="12.75" customHeight="1">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row>
    <row r="700" spans="1:25" ht="12.75" customHeight="1">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row>
    <row r="701" spans="1:25" ht="12.75" customHeight="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row>
    <row r="702" spans="1:25" ht="12.75" customHeight="1">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row>
    <row r="703" spans="1:25" ht="12.75" customHeight="1">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row>
    <row r="704" spans="1:25" ht="12.75" customHeight="1">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row>
    <row r="705" spans="1:25" ht="12.75" customHeight="1">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row>
    <row r="706" spans="1:25" ht="12.75" customHeight="1">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row>
    <row r="707" spans="1:25" ht="12.75" customHeight="1">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row>
    <row r="708" spans="1:25" ht="12.75" customHeight="1">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row>
    <row r="709" spans="1:25" ht="12.75" customHeight="1">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row>
    <row r="710" spans="1:25" ht="12.75" customHeight="1">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row>
    <row r="711" spans="1:25" ht="12.75" customHeight="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row>
    <row r="712" spans="1:25" ht="12.75" customHeight="1">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row>
    <row r="713" spans="1:25" ht="12.75" customHeight="1">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row>
    <row r="714" spans="1:25" ht="12.75" customHeight="1">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row>
    <row r="715" spans="1:25" ht="12.75" customHeight="1">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row>
    <row r="716" spans="1:25" ht="12.75" customHeight="1">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row>
    <row r="717" spans="1:25" ht="12.75" customHeight="1">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row>
    <row r="718" spans="1:25" ht="12.75" customHeight="1">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row>
    <row r="719" spans="1:25" ht="12.75" customHeight="1">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row>
    <row r="720" spans="1:25" ht="12.75" customHeight="1">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row>
    <row r="721" spans="1:25" ht="12.75" customHeight="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row>
    <row r="722" spans="1:25" ht="12.75" customHeight="1">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row>
    <row r="723" spans="1:25" ht="12.75" customHeight="1">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row>
    <row r="724" spans="1:25" ht="12.75" customHeight="1">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row>
    <row r="725" spans="1:25" ht="12.75" customHeight="1">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row>
    <row r="726" spans="1:25" ht="12.75" customHeight="1">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row>
    <row r="727" spans="1:25" ht="12.75" customHeight="1">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row>
    <row r="728" spans="1:25" ht="12.75" customHeight="1">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row>
    <row r="729" spans="1:25" ht="12.75" customHeight="1">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row>
    <row r="730" spans="1:25" ht="12.75" customHeight="1">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row>
    <row r="731" spans="1:25" ht="12.75" customHeight="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row>
    <row r="732" spans="1:25" ht="12.75" customHeight="1">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row>
    <row r="733" spans="1:25" ht="12.75" customHeight="1">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row>
    <row r="734" spans="1:25" ht="12.75" customHeight="1">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row>
    <row r="735" spans="1:25" ht="12.75" customHeight="1">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row>
    <row r="736" spans="1:25" ht="12.75" customHeight="1">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row>
    <row r="737" spans="1:25" ht="12.75" customHeight="1">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row>
    <row r="738" spans="1:25" ht="12.75" customHeight="1">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row>
    <row r="739" spans="1:25" ht="12.75" customHeight="1">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row>
    <row r="740" spans="1:25" ht="12.75" customHeight="1">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row>
    <row r="741" spans="1:25" ht="12.75" customHeight="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row>
    <row r="742" spans="1:25" ht="12.75" customHeight="1">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row>
    <row r="743" spans="1:25" ht="12.75" customHeight="1">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row>
    <row r="744" spans="1:25" ht="12.75" customHeight="1">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row>
    <row r="745" spans="1:25" ht="12.75" customHeight="1">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row>
    <row r="746" spans="1:25" ht="12.75" customHeight="1">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row>
    <row r="747" spans="1:25" ht="12.75" customHeight="1">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row>
    <row r="748" spans="1:25" ht="12.75" customHeight="1">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row>
    <row r="749" spans="1:25" ht="12.75" customHeight="1">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row>
    <row r="750" spans="1:25" ht="12.75" customHeight="1">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row>
    <row r="751" spans="1:25" ht="12.75" customHeight="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row>
    <row r="752" spans="1:25" ht="12.75" customHeight="1">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row>
    <row r="753" spans="1:25" ht="12.75" customHeight="1">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row>
    <row r="754" spans="1:25" ht="12.75" customHeight="1">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row>
    <row r="755" spans="1:25" ht="12.75" customHeight="1">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row>
    <row r="756" spans="1:25" ht="12.75" customHeight="1">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row>
    <row r="757" spans="1:25" ht="12.75" customHeight="1">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row>
    <row r="758" spans="1:25" ht="12.75" customHeight="1">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row>
    <row r="759" spans="1:25" ht="12.75" customHeight="1">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row>
    <row r="760" spans="1:25" ht="12.75" customHeight="1">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row>
    <row r="761" spans="1:25" ht="12.75" customHeight="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row>
    <row r="762" spans="1:25" ht="12.75" customHeight="1">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row>
    <row r="763" spans="1:25" ht="12.75" customHeight="1">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row>
    <row r="764" spans="1:25" ht="12.75" customHeight="1">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row>
    <row r="765" spans="1:25" ht="12.75" customHeight="1">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row>
    <row r="766" spans="1:25" ht="12.75" customHeight="1">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row>
    <row r="767" spans="1:25" ht="12.75" customHeight="1">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row>
    <row r="768" spans="1:25" ht="12.75" customHeight="1">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row>
    <row r="769" spans="1:25" ht="12.75" customHeight="1">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row>
    <row r="770" spans="1:25" ht="12.75" customHeight="1">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row>
    <row r="771" spans="1:25" ht="12.75" customHeight="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row>
    <row r="772" spans="1:25" ht="12.75" customHeight="1">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row>
    <row r="773" spans="1:25" ht="12.75" customHeight="1">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row>
    <row r="774" spans="1:25" ht="12.75" customHeight="1">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row>
    <row r="775" spans="1:25" ht="12.75" customHeight="1">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row>
    <row r="776" spans="1:25" ht="12.75" customHeight="1">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row>
    <row r="777" spans="1:25" ht="12.75" customHeight="1">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row>
    <row r="778" spans="1:25" ht="12.75" customHeight="1">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row>
    <row r="779" spans="1:25" ht="12.75" customHeight="1">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row>
    <row r="780" spans="1:25" ht="12.75" customHeight="1">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row>
    <row r="781" spans="1:25" ht="12.75" customHeight="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row>
    <row r="782" spans="1:25" ht="12.75" customHeight="1">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row>
    <row r="783" spans="1:25" ht="12.75" customHeight="1">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row>
    <row r="784" spans="1:25" ht="12.75" customHeight="1">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row>
    <row r="785" spans="1:25" ht="12.75" customHeight="1">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row>
    <row r="786" spans="1:25" ht="12.75" customHeight="1">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row>
    <row r="787" spans="1:25" ht="12.75" customHeight="1">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row>
    <row r="788" spans="1:25" ht="12.75" customHeight="1">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row>
    <row r="789" spans="1:25" ht="12.75" customHeight="1">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row>
    <row r="790" spans="1:25" ht="12.75" customHeight="1">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row>
    <row r="791" spans="1:25" ht="12.75" customHeight="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row>
    <row r="792" spans="1:25" ht="12.75" customHeight="1">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row>
    <row r="793" spans="1:25" ht="12.75" customHeight="1">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row>
    <row r="794" spans="1:25" ht="12.75" customHeight="1">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row>
    <row r="795" spans="1:25" ht="12.75" customHeight="1">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row>
    <row r="796" spans="1:25" ht="12.75" customHeight="1">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row>
    <row r="797" spans="1:25" ht="12.75" customHeight="1">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row>
    <row r="798" spans="1:25" ht="12.75" customHeight="1">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row>
    <row r="799" spans="1:25" ht="12.75" customHeight="1">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row>
    <row r="800" spans="1:25" ht="12.75" customHeight="1">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row>
    <row r="801" spans="1:25" ht="12.75" customHeight="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row>
    <row r="802" spans="1:25" ht="12.75" customHeight="1">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row>
    <row r="803" spans="1:25" ht="12.75" customHeight="1">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row>
    <row r="804" spans="1:25" ht="12.75" customHeight="1">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row>
    <row r="805" spans="1:25" ht="12.75" customHeight="1">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row>
    <row r="806" spans="1:25" ht="12.75" customHeight="1">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row>
    <row r="807" spans="1:25" ht="12.75" customHeight="1">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row>
    <row r="808" spans="1:25" ht="12.75" customHeight="1">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row>
    <row r="809" spans="1:25" ht="12.75" customHeight="1">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row>
    <row r="810" spans="1:25" ht="12.75" customHeight="1">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row>
    <row r="811" spans="1:25" ht="12.75" customHeight="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row>
    <row r="812" spans="1:25" ht="12.75" customHeight="1">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row>
    <row r="813" spans="1:25" ht="12.75" customHeight="1">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row>
    <row r="814" spans="1:25" ht="12.75" customHeight="1">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row>
    <row r="815" spans="1:25" ht="12.75" customHeight="1">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row>
    <row r="816" spans="1:25" ht="12.75" customHeight="1">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row>
    <row r="817" spans="1:25" ht="12.75" customHeight="1">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row>
    <row r="818" spans="1:25" ht="12.75" customHeight="1">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row>
    <row r="819" spans="1:25" ht="12.75" customHeight="1">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row>
    <row r="820" spans="1:25" ht="12.75" customHeight="1">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row>
    <row r="821" spans="1:25" ht="12.75" customHeight="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row>
    <row r="822" spans="1:25" ht="12.75" customHeight="1">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row>
    <row r="823" spans="1:25" ht="12.75" customHeight="1">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row>
    <row r="824" spans="1:25" ht="12.75" customHeight="1">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row>
    <row r="825" spans="1:25" ht="12.75" customHeight="1">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row>
    <row r="826" spans="1:25" ht="12.75" customHeight="1">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row>
    <row r="827" spans="1:25" ht="12.75" customHeight="1">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row>
    <row r="828" spans="1:25" ht="12.75" customHeight="1">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row>
    <row r="829" spans="1:25" ht="12.75" customHeight="1">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row>
    <row r="830" spans="1:25" ht="12.75" customHeight="1">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row>
    <row r="831" spans="1:25" ht="12.75" customHeight="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row>
    <row r="832" spans="1:25" ht="12.75" customHeight="1">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row>
    <row r="833" spans="1:25" ht="12.75" customHeight="1">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row>
    <row r="834" spans="1:25" ht="12.75" customHeight="1">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row>
    <row r="835" spans="1:25" ht="12.75" customHeight="1">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row>
    <row r="836" spans="1:25" ht="12.75" customHeight="1">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row>
    <row r="837" spans="1:25" ht="12.75" customHeight="1">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row>
    <row r="838" spans="1:25" ht="12.75" customHeight="1">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row>
    <row r="839" spans="1:25" ht="12.75" customHeight="1">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row>
    <row r="840" spans="1:25" ht="12.75" customHeight="1">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row>
    <row r="841" spans="1:25" ht="12.75" customHeight="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row>
    <row r="842" spans="1:25" ht="12.75" customHeight="1">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row>
    <row r="843" spans="1:25" ht="12.75" customHeight="1">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row>
    <row r="844" spans="1:25" ht="12.75" customHeight="1">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row>
    <row r="845" spans="1:25" ht="12.75" customHeight="1">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row>
    <row r="846" spans="1:25" ht="12.75" customHeight="1">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row>
    <row r="847" spans="1:25" ht="12.75" customHeight="1">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row>
    <row r="848" spans="1:25" ht="12.75" customHeight="1">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row>
    <row r="849" spans="1:25" ht="12.75" customHeight="1">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row>
    <row r="850" spans="1:25" ht="12.75" customHeight="1">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row>
    <row r="851" spans="1:25" ht="12.75" customHeight="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row>
    <row r="852" spans="1:25" ht="12.75" customHeight="1">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row>
    <row r="853" spans="1:25" ht="12.75" customHeight="1">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row>
    <row r="854" spans="1:25" ht="12.75" customHeight="1">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row>
    <row r="855" spans="1:25" ht="12.75" customHeight="1">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row>
    <row r="856" spans="1:25" ht="12.75" customHeight="1">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row>
    <row r="857" spans="1:25" ht="12.75" customHeight="1">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row>
    <row r="858" spans="1:25" ht="12.75" customHeight="1">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row>
    <row r="859" spans="1:25" ht="12.75" customHeight="1">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row>
    <row r="860" spans="1:25" ht="12.75" customHeight="1">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row>
    <row r="861" spans="1:25" ht="12.75" customHeight="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row>
    <row r="862" spans="1:25" ht="12.75" customHeight="1">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row>
    <row r="863" spans="1:25" ht="12.75" customHeight="1">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row>
    <row r="864" spans="1:25" ht="12.75" customHeight="1">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row>
    <row r="865" spans="1:25" ht="12.75" customHeight="1">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row>
    <row r="866" spans="1:25" ht="12.75" customHeight="1">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row>
    <row r="867" spans="1:25" ht="12.75" customHeight="1">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row>
    <row r="868" spans="1:25" ht="12.75" customHeight="1">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row>
    <row r="869" spans="1:25" ht="12.75" customHeight="1">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row>
    <row r="870" spans="1:25" ht="12.75" customHeight="1">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row>
    <row r="871" spans="1:25" ht="12.75" customHeight="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row>
    <row r="872" spans="1:25" ht="12.75" customHeight="1">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row>
    <row r="873" spans="1:25" ht="12.75" customHeight="1">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row>
    <row r="874" spans="1:25" ht="12.75" customHeight="1">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row>
    <row r="875" spans="1:25" ht="12.75" customHeight="1">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row>
    <row r="876" spans="1:25" ht="12.75" customHeight="1">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row>
    <row r="877" spans="1:25" ht="12.75" customHeight="1">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row>
    <row r="878" spans="1:25" ht="12.75" customHeight="1">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row>
    <row r="879" spans="1:25" ht="12.75" customHeight="1">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row>
    <row r="880" spans="1:25" ht="12.75" customHeight="1">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row>
    <row r="881" spans="1:25" ht="12.75" customHeight="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row>
    <row r="882" spans="1:25" ht="12.75" customHeight="1">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row>
    <row r="883" spans="1:25" ht="12.75" customHeight="1">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row>
    <row r="884" spans="1:25" ht="12.75" customHeight="1">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row>
    <row r="885" spans="1:25" ht="12.75" customHeight="1">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row>
    <row r="886" spans="1:25" ht="12.75" customHeight="1">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row>
    <row r="887" spans="1:25" ht="12.75" customHeight="1">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row>
    <row r="888" spans="1:25" ht="12.75" customHeight="1">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row>
    <row r="889" spans="1:25" ht="12.75" customHeight="1">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row>
    <row r="890" spans="1:25" ht="12.75" customHeight="1">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row>
    <row r="891" spans="1:25" ht="12.75" customHeight="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row>
    <row r="892" spans="1:25" ht="12.75" customHeight="1">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row>
    <row r="893" spans="1:25" ht="12.75" customHeight="1">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row>
    <row r="894" spans="1:25" ht="12.75" customHeight="1">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row>
    <row r="895" spans="1:25" ht="12.75" customHeight="1">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row>
    <row r="896" spans="1:25" ht="12.75" customHeight="1">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row>
    <row r="897" spans="1:25" ht="12.75" customHeight="1">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row>
    <row r="898" spans="1:25" ht="12.75" customHeight="1">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row>
    <row r="899" spans="1:25" ht="12.75" customHeight="1">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row>
    <row r="900" spans="1:25" ht="12.75" customHeight="1">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row>
    <row r="901" spans="1:25" ht="12.75" customHeight="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row>
    <row r="902" spans="1:25" ht="12.75" customHeight="1">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row>
    <row r="903" spans="1:25" ht="12.75" customHeight="1">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row>
    <row r="904" spans="1:25" ht="12.75" customHeight="1">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row>
    <row r="905" spans="1:25" ht="12.75" customHeight="1">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row>
    <row r="906" spans="1:25" ht="12.75" customHeight="1">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row>
    <row r="907" spans="1:25" ht="12.75" customHeight="1">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row>
    <row r="908" spans="1:25" ht="12.75" customHeight="1">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row>
    <row r="909" spans="1:25" ht="12.75" customHeight="1">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row>
    <row r="910" spans="1:25" ht="12.75" customHeight="1">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row>
    <row r="911" spans="1:25" ht="12.75" customHeight="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row>
    <row r="912" spans="1:25" ht="12.75" customHeight="1">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row>
    <row r="913" spans="1:25" ht="12.75" customHeight="1">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row>
    <row r="914" spans="1:25" ht="12.75" customHeight="1">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row>
    <row r="915" spans="1:25" ht="12.75" customHeight="1">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row>
    <row r="916" spans="1:25" ht="12.75" customHeight="1">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row>
    <row r="917" spans="1:25" ht="12.75" customHeight="1">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row>
    <row r="918" spans="1:25" ht="12.75" customHeight="1">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row>
    <row r="919" spans="1:25" ht="12.75" customHeight="1">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row>
    <row r="920" spans="1:25" ht="12.75" customHeight="1">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row>
    <row r="921" spans="1:25" ht="12.75" customHeight="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row>
    <row r="922" spans="1:25" ht="12.75" customHeight="1">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row>
    <row r="923" spans="1:25" ht="12.75" customHeight="1">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row>
    <row r="924" spans="1:25" ht="12.75" customHeight="1">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row>
    <row r="925" spans="1:25" ht="12.75" customHeight="1">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row>
    <row r="926" spans="1:25" ht="12.75" customHeight="1">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row>
    <row r="927" spans="1:25" ht="12.75" customHeight="1">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row>
    <row r="928" spans="1:25" ht="12.75" customHeight="1">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row>
    <row r="929" spans="1:25" ht="12.75" customHeight="1">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row>
    <row r="930" spans="1:25" ht="12.75" customHeight="1">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row>
    <row r="931" spans="1:25" ht="12.75" customHeight="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row>
    <row r="932" spans="1:25" ht="12.75" customHeight="1">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row>
    <row r="933" spans="1:25" ht="12.75" customHeight="1">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row>
    <row r="934" spans="1:25" ht="12.75" customHeight="1">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row>
    <row r="935" spans="1:25" ht="12.75" customHeight="1">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row>
    <row r="936" spans="1:25" ht="12.75" customHeight="1">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row>
    <row r="937" spans="1:25" ht="12.75" customHeight="1">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row>
    <row r="938" spans="1:25" ht="12.75" customHeight="1">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row>
    <row r="939" spans="1:25" ht="12.75" customHeight="1">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row>
    <row r="940" spans="1:25" ht="12.75" customHeight="1">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row>
    <row r="941" spans="1:25" ht="12.75" customHeight="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row>
    <row r="942" spans="1:25" ht="12.75" customHeight="1">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row>
    <row r="943" spans="1:25" ht="12.75" customHeight="1">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row>
    <row r="944" spans="1:25" ht="12.75" customHeight="1">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row>
    <row r="945" spans="1:25" ht="12.75" customHeight="1">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row>
    <row r="946" spans="1:25" ht="12.75" customHeight="1">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row>
    <row r="947" spans="1:25" ht="12.75" customHeight="1">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row>
    <row r="948" spans="1:25" ht="12.75" customHeight="1">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row>
    <row r="949" spans="1:25" ht="12.75" customHeight="1">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row>
    <row r="950" spans="1:25" ht="12.75" customHeight="1">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row>
    <row r="951" spans="1:25" ht="12.75" customHeight="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row>
    <row r="952" spans="1:25" ht="12.75" customHeight="1">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row>
    <row r="953" spans="1:25" ht="12.75" customHeight="1">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row>
    <row r="954" spans="1:25" ht="12.75" customHeight="1">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row>
    <row r="955" spans="1:25" ht="12.75" customHeight="1">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row>
    <row r="956" spans="1:25" ht="12.75" customHeight="1">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row>
    <row r="957" spans="1:25" ht="12.75" customHeight="1">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row>
    <row r="958" spans="1:25" ht="12.75" customHeight="1">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row>
    <row r="959" spans="1:25" ht="12.75" customHeight="1">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row>
    <row r="960" spans="1:25" ht="12.75" customHeight="1">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row>
    <row r="961" spans="1:25" ht="12.75" customHeight="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row>
    <row r="962" spans="1:25" ht="12.75" customHeight="1">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row>
    <row r="963" spans="1:25" ht="12.75" customHeight="1">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row>
    <row r="964" spans="1:25" ht="12.75" customHeight="1">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row>
    <row r="965" spans="1:25" ht="12.75" customHeight="1">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row>
    <row r="966" spans="1:25" ht="12.75" customHeight="1">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row>
    <row r="967" spans="1:25" ht="12.75" customHeight="1">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row>
    <row r="968" spans="1:25" ht="12.75" customHeight="1">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row>
    <row r="969" spans="1:25" ht="12.75" customHeight="1">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row>
    <row r="970" spans="1:25" ht="12.75" customHeight="1">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row>
    <row r="971" spans="1:25" ht="12.75" customHeight="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row>
    <row r="972" spans="1:25" ht="12.75" customHeight="1">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row>
    <row r="973" spans="1:25" ht="12.75" customHeight="1">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row>
    <row r="974" spans="1:25" ht="12.75" customHeight="1">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row>
    <row r="975" spans="1:25" ht="12.75" customHeight="1">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row>
    <row r="976" spans="1:25" ht="12.75" customHeight="1">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row>
    <row r="977" spans="1:25" ht="12.75" customHeight="1">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row>
    <row r="978" spans="1:25" ht="12.75" customHeight="1">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row>
    <row r="979" spans="1:25" ht="12.75" customHeight="1">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row>
    <row r="980" spans="1:25" ht="12.75" customHeight="1">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row>
    <row r="981" spans="1:25" ht="12.75" customHeight="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row>
    <row r="982" spans="1:25" ht="12.75" customHeight="1">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row>
    <row r="983" spans="1:25" ht="12.75" customHeight="1">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row>
    <row r="984" spans="1:25" ht="12.75" customHeight="1">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row>
    <row r="985" spans="1:25" ht="12.75" customHeight="1">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row>
    <row r="986" spans="1:25" ht="12.75" customHeight="1">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row>
    <row r="987" spans="1:25" ht="12.75" customHeight="1">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row>
    <row r="988" spans="1:25" ht="12.75" customHeight="1">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row>
    <row r="989" spans="1:25" ht="12.75" customHeight="1">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row>
    <row r="990" spans="1:25" ht="12.75" customHeight="1">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row>
    <row r="991" spans="1:25" ht="12.75" customHeight="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row>
    <row r="992" spans="1:25" ht="12.75" customHeight="1">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row>
    <row r="993" spans="1:25" ht="12.75" customHeight="1">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row>
    <row r="994" spans="1:25" ht="12.75" customHeight="1">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row>
    <row r="995" spans="1:25" ht="12.75" customHeight="1">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row>
    <row r="996" spans="1:25" ht="12.75" customHeight="1">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row>
  </sheetData>
  <mergeCells count="6">
    <mergeCell ref="G5:J8"/>
    <mergeCell ref="A38:E41"/>
    <mergeCell ref="A1:E1"/>
    <mergeCell ref="A2:E2"/>
    <mergeCell ref="A3:E3"/>
    <mergeCell ref="A4:E4"/>
  </mergeCells>
  <printOptions horizontalCentered="1" verticalCentered="1"/>
  <pageMargins left="0.75" right="0.75" top="1" bottom="1" header="0" footer="0"/>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2871A-5763-45D4-8A6F-7992548688CB}">
  <dimension ref="A1:TL1039"/>
  <sheetViews>
    <sheetView view="pageBreakPreview" topLeftCell="H987" zoomScale="93" zoomScaleNormal="100" zoomScaleSheetLayoutView="100" workbookViewId="0">
      <selection activeCell="O987" sqref="O1:Q1048576"/>
    </sheetView>
  </sheetViews>
  <sheetFormatPr baseColWidth="10" defaultColWidth="11.453125" defaultRowHeight="12.5"/>
  <cols>
    <col min="1" max="1" width="28.26953125" style="230" bestFit="1" customWidth="1"/>
    <col min="2" max="2" width="44" style="230" bestFit="1" customWidth="1"/>
    <col min="3" max="3" width="27.81640625" style="230" hidden="1" customWidth="1"/>
    <col min="4" max="5" width="21.7265625" style="230" bestFit="1" customWidth="1"/>
    <col min="6" max="6" width="20.26953125" style="230" customWidth="1"/>
    <col min="7" max="7" width="52.54296875" style="232" customWidth="1"/>
    <col min="8" max="8" width="29.453125" style="231" customWidth="1"/>
    <col min="9" max="9" width="17.26953125" style="230" bestFit="1" customWidth="1"/>
    <col min="10" max="10" width="16.1796875" style="230" bestFit="1" customWidth="1"/>
    <col min="11" max="11" width="16.26953125" style="230" bestFit="1" customWidth="1"/>
    <col min="12" max="12" width="16.08984375" style="230" bestFit="1" customWidth="1"/>
    <col min="13" max="13" width="16.81640625" style="230" bestFit="1" customWidth="1"/>
    <col min="14" max="14" width="18.08984375" style="230" bestFit="1" customWidth="1"/>
    <col min="15" max="16" width="16.453125" style="230" bestFit="1" customWidth="1"/>
    <col min="17" max="17" width="4.54296875" style="230" bestFit="1" customWidth="1"/>
    <col min="18" max="18" width="17.7265625" style="230" bestFit="1" customWidth="1"/>
    <col min="19" max="16384" width="11.453125" style="230"/>
  </cols>
  <sheetData>
    <row r="1" spans="1:18" s="85" customFormat="1" ht="13">
      <c r="A1" s="82"/>
      <c r="B1" s="82"/>
      <c r="C1" s="83"/>
      <c r="D1" s="83"/>
      <c r="E1" s="83"/>
      <c r="F1" s="83"/>
      <c r="G1" s="300"/>
      <c r="H1" s="299"/>
      <c r="I1" s="82"/>
      <c r="J1" s="83"/>
      <c r="K1" s="83"/>
      <c r="L1" s="83"/>
      <c r="M1" s="83"/>
      <c r="N1" s="84"/>
      <c r="O1" s="230"/>
      <c r="P1" s="230"/>
      <c r="Q1" s="230" t="s">
        <v>153</v>
      </c>
      <c r="R1" s="297">
        <f>+I342+I343+I344+I345+I346+I917+I918+I919</f>
        <v>888638379.47000003</v>
      </c>
    </row>
    <row r="2" spans="1:18" s="85" customFormat="1" ht="15.5">
      <c r="A2" s="325" t="s">
        <v>115</v>
      </c>
      <c r="B2" s="325"/>
      <c r="C2" s="325"/>
      <c r="D2" s="325"/>
      <c r="E2" s="325"/>
      <c r="F2" s="325"/>
      <c r="G2" s="325"/>
      <c r="H2" s="325"/>
      <c r="I2" s="325"/>
      <c r="J2" s="325"/>
      <c r="K2" s="325"/>
      <c r="L2" s="325"/>
      <c r="M2" s="325"/>
      <c r="N2" s="325"/>
      <c r="O2" s="230"/>
      <c r="P2" s="230"/>
      <c r="Q2" s="230" t="s">
        <v>154</v>
      </c>
      <c r="R2" s="297">
        <f>+I329+I330+I331+I333+I332+I923+I924+I925+I926</f>
        <v>4287244588.0799994</v>
      </c>
    </row>
    <row r="3" spans="1:18" s="85" customFormat="1" ht="16.5" customHeight="1">
      <c r="A3" s="326" t="s">
        <v>43</v>
      </c>
      <c r="B3" s="326"/>
      <c r="C3" s="326"/>
      <c r="D3" s="326"/>
      <c r="E3" s="326"/>
      <c r="F3" s="326"/>
      <c r="G3" s="326"/>
      <c r="H3" s="326"/>
      <c r="I3" s="326"/>
      <c r="J3" s="326"/>
      <c r="K3" s="326"/>
      <c r="L3" s="326"/>
      <c r="M3" s="326"/>
      <c r="N3" s="326"/>
      <c r="O3" s="233">
        <f>SUM(O4:O7)</f>
        <v>6735583103.1900005</v>
      </c>
      <c r="P3" s="233">
        <f>SUM(P4:P7)</f>
        <v>1316577974.3966715</v>
      </c>
      <c r="Q3" s="230" t="s">
        <v>156</v>
      </c>
      <c r="R3" s="297">
        <f>+I353+I354+I355+I356+I357+I932+I933+I934</f>
        <v>401353214.39999998</v>
      </c>
    </row>
    <row r="4" spans="1:18" s="85" customFormat="1" ht="15" customHeight="1">
      <c r="A4" s="327" t="s">
        <v>734</v>
      </c>
      <c r="B4" s="327"/>
      <c r="C4" s="327"/>
      <c r="D4" s="327"/>
      <c r="E4" s="327"/>
      <c r="F4" s="327"/>
      <c r="G4" s="327"/>
      <c r="H4" s="327"/>
      <c r="I4" s="327"/>
      <c r="J4" s="327"/>
      <c r="K4" s="327"/>
      <c r="L4" s="327"/>
      <c r="M4" s="327"/>
      <c r="N4" s="327"/>
      <c r="O4" s="233">
        <f>+I145+I171+I175+I179+I221+I258++I273+I284+I292+I307+I320+I327+I340+I351+I362+I368+I376+I387+I393+I435+I372+I468+D100+I12</f>
        <v>4684679327.7600002</v>
      </c>
      <c r="P4" s="233">
        <f>+N145+N171+N175+N179+N221+N258++N273+N284+N292+N307+N320+N327+N340+N351+N362+N368+N376+N387+N393+N435+N372+N468+E100+N12</f>
        <v>519703855.87531644</v>
      </c>
      <c r="Q4" s="230" t="s">
        <v>157</v>
      </c>
      <c r="R4" s="297">
        <f>+I260+I261+I262+I264+I265+I322+I472+I938+I939+I940</f>
        <v>2164453690.9400001</v>
      </c>
    </row>
    <row r="5" spans="1:18" s="85" customFormat="1" ht="57.5">
      <c r="A5" s="88" t="s">
        <v>158</v>
      </c>
      <c r="B5" s="229" t="s">
        <v>159</v>
      </c>
      <c r="C5" s="229"/>
      <c r="D5" s="229"/>
      <c r="E5" s="229"/>
      <c r="F5" s="229"/>
      <c r="G5" s="298"/>
      <c r="H5" s="229"/>
      <c r="I5" s="229"/>
      <c r="J5" s="229"/>
      <c r="K5" s="229"/>
      <c r="L5" s="229"/>
      <c r="M5" s="229"/>
      <c r="N5" s="229"/>
      <c r="O5" s="233">
        <f>+I136+I180+I509</f>
        <v>1845321419.24</v>
      </c>
      <c r="P5" s="233">
        <f>+N136+N180+N509</f>
        <v>378018217.4217999</v>
      </c>
      <c r="Q5" s="230" t="s">
        <v>160</v>
      </c>
      <c r="R5" s="297">
        <f>+I25+I26+I389+I275+I276+I279+I954+I955+I956</f>
        <v>235074001.42999998</v>
      </c>
    </row>
    <row r="6" spans="1:18" s="85" customFormat="1" ht="57.5">
      <c r="B6" s="229" t="s">
        <v>161</v>
      </c>
      <c r="C6" s="229"/>
      <c r="D6" s="229"/>
      <c r="E6" s="229"/>
      <c r="F6" s="229"/>
      <c r="G6" s="298"/>
      <c r="H6" s="229"/>
      <c r="I6" s="229"/>
      <c r="J6" s="229"/>
      <c r="K6" s="229"/>
      <c r="L6" s="229"/>
      <c r="M6" s="229"/>
      <c r="N6" s="229"/>
      <c r="O6" s="233">
        <f>+I181+I394+I510</f>
        <v>65775227.009999998</v>
      </c>
      <c r="P6" s="233">
        <f>+N181+N394+N510</f>
        <v>84858258.74000001</v>
      </c>
      <c r="Q6" s="230" t="s">
        <v>162</v>
      </c>
      <c r="R6" s="290">
        <f>+I30+I31+I34+I522+I523+I524</f>
        <v>891029847.38</v>
      </c>
    </row>
    <row r="7" spans="1:18" s="85" customFormat="1" ht="34.5">
      <c r="B7" s="229" t="s">
        <v>163</v>
      </c>
      <c r="C7" s="229"/>
      <c r="D7" s="229"/>
      <c r="E7" s="229"/>
      <c r="F7" s="229"/>
      <c r="G7" s="298"/>
      <c r="H7" s="229"/>
      <c r="I7" s="229"/>
      <c r="J7" s="229"/>
      <c r="K7" s="229"/>
      <c r="L7" s="229"/>
      <c r="M7" s="229"/>
      <c r="N7" s="229"/>
      <c r="O7" s="233">
        <f>+I182</f>
        <v>139807129.18000001</v>
      </c>
      <c r="P7" s="233">
        <f>+N182</f>
        <v>333997642.35955524</v>
      </c>
      <c r="Q7" s="230" t="s">
        <v>164</v>
      </c>
      <c r="R7" s="297">
        <f>+I36+I37+I38+I39+I40+I526+I527+I528</f>
        <v>1054243493.45</v>
      </c>
    </row>
    <row r="8" spans="1:18" s="85" customFormat="1" ht="15.5">
      <c r="A8" s="328" t="s">
        <v>44</v>
      </c>
      <c r="B8" s="329"/>
      <c r="C8" s="329"/>
      <c r="D8" s="329"/>
      <c r="E8" s="330"/>
      <c r="F8" s="328" t="s">
        <v>45</v>
      </c>
      <c r="G8" s="329"/>
      <c r="H8" s="329"/>
      <c r="I8" s="329"/>
      <c r="J8" s="329"/>
      <c r="K8" s="329"/>
      <c r="L8" s="329"/>
      <c r="M8" s="329"/>
      <c r="N8" s="329"/>
      <c r="O8" s="230"/>
      <c r="P8" s="230"/>
      <c r="Q8" s="230" t="s">
        <v>165</v>
      </c>
      <c r="R8" s="290">
        <f>+I42+I43+I46+I193+I288+I378+I422+I423+I424+I530</f>
        <v>466207054.52999997</v>
      </c>
    </row>
    <row r="9" spans="1:18" s="85" customFormat="1" ht="42">
      <c r="A9" s="220" t="s">
        <v>166</v>
      </c>
      <c r="B9" s="221" t="s">
        <v>46</v>
      </c>
      <c r="C9" s="222" t="s">
        <v>167</v>
      </c>
      <c r="D9" s="222" t="s">
        <v>168</v>
      </c>
      <c r="E9" s="222" t="s">
        <v>168</v>
      </c>
      <c r="F9" s="223" t="s">
        <v>48</v>
      </c>
      <c r="G9" s="224" t="s">
        <v>169</v>
      </c>
      <c r="H9" s="225" t="s">
        <v>170</v>
      </c>
      <c r="I9" s="90" t="s">
        <v>49</v>
      </c>
      <c r="J9" s="323" t="s">
        <v>50</v>
      </c>
      <c r="K9" s="323"/>
      <c r="L9" s="323"/>
      <c r="M9" s="324"/>
      <c r="N9" s="227" t="s">
        <v>66</v>
      </c>
      <c r="O9" s="287">
        <f>+I14+I15+I16+I19+I127+I252+I253+I405+I406+I407+I520+I826+I829+I832+I835+I838+I845+I848+I855+I858</f>
        <v>1766872962.2099998</v>
      </c>
      <c r="P9" s="287">
        <f>+N14+N15+N16+N19+N127+N252+N253+N405+N406+N407+N520+N826+N829+N832+N835+N838+N845+N848+N855+N858</f>
        <v>1048436756.2417001</v>
      </c>
      <c r="Q9" s="230" t="s">
        <v>172</v>
      </c>
      <c r="R9" s="297">
        <f>+I294+I295+I296+I297+I298+I960</f>
        <v>334797158.76999998</v>
      </c>
    </row>
    <row r="10" spans="1:18" s="85" customFormat="1" ht="28.5" thickBot="1">
      <c r="G10" s="86"/>
      <c r="H10" s="226"/>
      <c r="I10" s="86"/>
      <c r="J10" s="296" t="s">
        <v>52</v>
      </c>
      <c r="K10" s="296" t="s">
        <v>53</v>
      </c>
      <c r="L10" s="296" t="s">
        <v>54</v>
      </c>
      <c r="M10" s="90" t="s">
        <v>173</v>
      </c>
      <c r="N10" s="228"/>
      <c r="O10" s="233">
        <f>4362031424.64-O4</f>
        <v>-322647903.11999989</v>
      </c>
      <c r="P10" s="230"/>
      <c r="Q10" s="230" t="s">
        <v>174</v>
      </c>
      <c r="R10" s="290">
        <f>+I48+I49+I50</f>
        <v>40272192.280000001</v>
      </c>
    </row>
    <row r="11" spans="1:18" s="85" customFormat="1" ht="13">
      <c r="A11" s="295" t="s">
        <v>175</v>
      </c>
      <c r="B11" s="294" t="s">
        <v>176</v>
      </c>
      <c r="C11" s="293"/>
      <c r="D11" s="292">
        <f>+[2]ordinario!C10</f>
        <v>9100000000</v>
      </c>
      <c r="E11" s="292">
        <v>11339016834.889999</v>
      </c>
      <c r="F11" s="91"/>
      <c r="G11" s="92"/>
      <c r="H11" s="93"/>
      <c r="I11" s="291">
        <f>SUM(I12:I125)</f>
        <v>5821906598.0700006</v>
      </c>
      <c r="J11" s="291">
        <f>SUM(J12:J125)</f>
        <v>4430426190.250001</v>
      </c>
      <c r="K11" s="291">
        <f>SUM(K12:K125)</f>
        <v>1391480407.8199999</v>
      </c>
      <c r="L11" s="291">
        <f>SUM(L12:L119)</f>
        <v>0</v>
      </c>
      <c r="M11" s="291">
        <f>SUM(M12:M119)</f>
        <v>0</v>
      </c>
      <c r="N11" s="291">
        <f>SUM(N12:N125)</f>
        <v>5517110236.8161068</v>
      </c>
      <c r="O11" s="233">
        <f>+E11-N11-I11</f>
        <v>3.8919448852539063E-3</v>
      </c>
      <c r="P11" s="230"/>
      <c r="Q11" s="233" t="s">
        <v>177</v>
      </c>
      <c r="R11" s="290">
        <f>+I52+I53+I54+I459</f>
        <v>309886710.28999996</v>
      </c>
    </row>
    <row r="12" spans="1:18" s="85" customFormat="1" ht="12.75" customHeight="1">
      <c r="A12" s="286"/>
      <c r="B12" s="285"/>
      <c r="C12" s="124"/>
      <c r="D12" s="124"/>
      <c r="E12" s="124"/>
      <c r="F12" s="96" t="s">
        <v>178</v>
      </c>
      <c r="G12" s="97" t="s">
        <v>179</v>
      </c>
      <c r="H12" s="98" t="s">
        <v>77</v>
      </c>
      <c r="I12" s="125">
        <v>1133901683.49</v>
      </c>
      <c r="J12" s="125">
        <f t="shared" ref="J12:J19" si="0">+I12</f>
        <v>1133901683.49</v>
      </c>
      <c r="K12" s="125"/>
      <c r="L12" s="125"/>
      <c r="M12" s="125"/>
      <c r="N12" s="126">
        <f>+E11*0.1-I12</f>
        <v>-9.9992752075195313E-4</v>
      </c>
      <c r="O12" s="233"/>
      <c r="P12" s="233">
        <f>5102911803.53-P4</f>
        <v>4583207947.6546831</v>
      </c>
      <c r="Q12" s="233" t="s">
        <v>180</v>
      </c>
      <c r="R12" s="290">
        <f>SUM(I56:I60)+I532+I533+I534</f>
        <v>516461750.05999994</v>
      </c>
    </row>
    <row r="13" spans="1:18" s="85" customFormat="1" ht="12.75" customHeight="1">
      <c r="A13" s="286"/>
      <c r="B13" s="289"/>
      <c r="C13" s="124"/>
      <c r="D13" s="124"/>
      <c r="E13" s="124"/>
      <c r="F13" s="96"/>
      <c r="G13" s="101"/>
      <c r="H13" s="98"/>
      <c r="I13" s="125"/>
      <c r="J13" s="125">
        <f t="shared" si="0"/>
        <v>0</v>
      </c>
      <c r="K13" s="125"/>
      <c r="L13" s="125"/>
      <c r="M13" s="125"/>
      <c r="N13" s="126"/>
      <c r="O13" s="233">
        <f>1667509946.23-O5</f>
        <v>-177811473.00999999</v>
      </c>
      <c r="P13" s="230"/>
      <c r="Q13" s="230" t="s">
        <v>181</v>
      </c>
      <c r="R13" s="290">
        <f>SUM(I62:I66)+I254+I536</f>
        <v>127963431.74000001</v>
      </c>
    </row>
    <row r="14" spans="1:18" s="85" customFormat="1" ht="12.75" customHeight="1">
      <c r="A14" s="286"/>
      <c r="B14" s="289"/>
      <c r="C14" s="124"/>
      <c r="D14" s="124"/>
      <c r="E14" s="124"/>
      <c r="F14" s="270" t="s">
        <v>182</v>
      </c>
      <c r="G14" s="97" t="s">
        <v>183</v>
      </c>
      <c r="H14" s="98" t="s">
        <v>82</v>
      </c>
      <c r="I14" s="125">
        <f>238150298.15-I520-I829-I120</f>
        <v>182000000</v>
      </c>
      <c r="J14" s="125">
        <f t="shared" si="0"/>
        <v>182000000</v>
      </c>
      <c r="K14" s="125"/>
      <c r="L14" s="125"/>
      <c r="M14" s="125"/>
      <c r="N14" s="126">
        <f>+[2]ordinario!I15-I14</f>
        <v>0</v>
      </c>
      <c r="O14" s="230"/>
      <c r="P14" s="230"/>
      <c r="Q14" s="233" t="s">
        <v>184</v>
      </c>
      <c r="R14" s="290">
        <f>SUM(I68:I71)+I861+I863</f>
        <v>322227179.62</v>
      </c>
    </row>
    <row r="15" spans="1:18" s="85" customFormat="1" ht="12.75" customHeight="1">
      <c r="A15" s="286"/>
      <c r="B15" s="289"/>
      <c r="C15" s="124"/>
      <c r="D15" s="124"/>
      <c r="E15" s="124"/>
      <c r="F15" s="270" t="s">
        <v>182</v>
      </c>
      <c r="G15" s="97" t="s">
        <v>185</v>
      </c>
      <c r="H15" s="98" t="s">
        <v>82</v>
      </c>
      <c r="I15" s="125">
        <f>1105751491.28-I835-0.01</f>
        <v>-9.5367431642706668E-9</v>
      </c>
      <c r="J15" s="125">
        <f t="shared" si="0"/>
        <v>-9.5367431642706668E-9</v>
      </c>
      <c r="K15" s="125"/>
      <c r="L15" s="125"/>
      <c r="M15" s="125"/>
      <c r="N15" s="125">
        <f>+[2]ordinario!I17-'3_Detalle Origen y Aplicación'!I15</f>
        <v>910000000</v>
      </c>
      <c r="O15" s="230"/>
      <c r="P15" s="230"/>
      <c r="Q15" s="233" t="s">
        <v>186</v>
      </c>
      <c r="R15" s="287">
        <f>+I206+I341+I411+I412+I414+I416+I415+I656</f>
        <v>94172390.25999999</v>
      </c>
    </row>
    <row r="16" spans="1:18" s="85" customFormat="1" ht="12.75" customHeight="1">
      <c r="A16" s="286"/>
      <c r="B16" s="289"/>
      <c r="C16" s="124"/>
      <c r="D16" s="124"/>
      <c r="E16" s="124"/>
      <c r="F16" s="270" t="s">
        <v>182</v>
      </c>
      <c r="G16" s="97" t="s">
        <v>698</v>
      </c>
      <c r="H16" s="98" t="s">
        <v>82</v>
      </c>
      <c r="I16" s="125">
        <f>118575149.08-I838</f>
        <v>91000000</v>
      </c>
      <c r="J16" s="125">
        <f t="shared" si="0"/>
        <v>91000000</v>
      </c>
      <c r="K16" s="125"/>
      <c r="L16" s="125"/>
      <c r="M16" s="125"/>
      <c r="N16" s="126">
        <f>+[2]ordinario!I20-'3_Detalle Origen y Aplicación'!I16</f>
        <v>0</v>
      </c>
      <c r="O16" s="230"/>
      <c r="P16" s="230"/>
      <c r="Q16" s="233" t="s">
        <v>188</v>
      </c>
      <c r="R16" s="288">
        <f>+I309+I311+I312+I313+I314+I315+I545+I970+I971+I972+I482+I483</f>
        <v>1559264282.8499999</v>
      </c>
    </row>
    <row r="17" spans="1:18" s="85" customFormat="1" ht="12.75" customHeight="1">
      <c r="A17" s="286"/>
      <c r="B17" s="285"/>
      <c r="C17" s="124"/>
      <c r="D17" s="124"/>
      <c r="E17" s="124"/>
      <c r="F17" s="270" t="s">
        <v>182</v>
      </c>
      <c r="G17" s="97" t="s">
        <v>189</v>
      </c>
      <c r="H17" s="98" t="s">
        <v>82</v>
      </c>
      <c r="I17" s="125"/>
      <c r="J17" s="125">
        <f t="shared" si="0"/>
        <v>0</v>
      </c>
      <c r="K17" s="125"/>
      <c r="L17" s="125"/>
      <c r="M17" s="125"/>
      <c r="N17" s="126"/>
      <c r="O17" s="230"/>
      <c r="P17" s="230"/>
      <c r="Q17" s="230"/>
      <c r="R17" s="287">
        <f>SUM(R11:R16,R1:R10)</f>
        <v>13693289365.550001</v>
      </c>
    </row>
    <row r="18" spans="1:18" s="85" customFormat="1" ht="12.75" customHeight="1">
      <c r="A18" s="286"/>
      <c r="B18" s="285"/>
      <c r="C18" s="124"/>
      <c r="D18" s="124"/>
      <c r="E18" s="124"/>
      <c r="F18" s="270" t="s">
        <v>182</v>
      </c>
      <c r="G18" s="97" t="s">
        <v>190</v>
      </c>
      <c r="H18" s="98" t="s">
        <v>82</v>
      </c>
      <c r="I18" s="125"/>
      <c r="J18" s="125">
        <f t="shared" si="0"/>
        <v>0</v>
      </c>
      <c r="K18" s="125"/>
      <c r="L18" s="125"/>
      <c r="M18" s="125"/>
      <c r="N18" s="126"/>
    </row>
    <row r="19" spans="1:18" s="85" customFormat="1" ht="12.75" customHeight="1">
      <c r="A19" s="286"/>
      <c r="B19" s="285"/>
      <c r="C19" s="124"/>
      <c r="D19" s="124"/>
      <c r="E19" s="124"/>
      <c r="F19" s="270" t="s">
        <v>182</v>
      </c>
      <c r="G19" s="97" t="s">
        <v>191</v>
      </c>
      <c r="H19" s="98" t="s">
        <v>82</v>
      </c>
      <c r="I19" s="125">
        <v>30000000</v>
      </c>
      <c r="J19" s="125">
        <f t="shared" si="0"/>
        <v>30000000</v>
      </c>
      <c r="K19" s="125"/>
      <c r="L19" s="125"/>
      <c r="M19" s="125"/>
      <c r="N19" s="126">
        <f>+[2]ordinario!I26-'3_Detalle Origen y Aplicación'!I19</f>
        <v>0</v>
      </c>
    </row>
    <row r="20" spans="1:18" s="85" customFormat="1" ht="12.75" customHeight="1">
      <c r="A20" s="286"/>
      <c r="B20" s="285"/>
      <c r="C20" s="124"/>
      <c r="D20" s="124"/>
      <c r="E20" s="124"/>
      <c r="F20" s="270"/>
      <c r="G20" s="127"/>
      <c r="H20" s="98"/>
      <c r="I20" s="125"/>
      <c r="J20" s="125"/>
      <c r="K20" s="125"/>
      <c r="L20" s="125"/>
      <c r="M20" s="125"/>
      <c r="N20" s="126"/>
      <c r="O20" s="89">
        <f>+I136+I145+I171+I175+I179+I180+I181+I182+I221+I372+I468+I393</f>
        <v>4092347646.4000006</v>
      </c>
    </row>
    <row r="21" spans="1:18" s="85" customFormat="1" ht="12.75" customHeight="1">
      <c r="A21" s="286"/>
      <c r="B21" s="285"/>
      <c r="C21" s="124"/>
      <c r="D21" s="124"/>
      <c r="E21" s="124"/>
      <c r="F21" s="279" t="s">
        <v>156</v>
      </c>
      <c r="G21" s="278" t="s">
        <v>303</v>
      </c>
      <c r="H21" s="98" t="s">
        <v>77</v>
      </c>
      <c r="I21" s="125">
        <v>0</v>
      </c>
      <c r="J21" s="125"/>
      <c r="K21" s="125"/>
      <c r="L21" s="125"/>
      <c r="M21" s="125"/>
      <c r="N21" s="126">
        <v>21798857.32</v>
      </c>
      <c r="O21" s="89">
        <f>+I12+I258+I273+I292+I307+I320+I327+I340+I352+I351+I362+I376+I387</f>
        <v>2497140164.6800003</v>
      </c>
    </row>
    <row r="22" spans="1:18" s="85" customFormat="1" ht="12.75" customHeight="1">
      <c r="A22" s="286"/>
      <c r="B22" s="285"/>
      <c r="C22" s="124"/>
      <c r="D22" s="124"/>
      <c r="E22" s="124"/>
      <c r="F22" s="279"/>
      <c r="G22" s="278"/>
      <c r="H22" s="98" t="s">
        <v>78</v>
      </c>
      <c r="I22" s="125">
        <v>0</v>
      </c>
      <c r="J22" s="125"/>
      <c r="K22" s="125"/>
      <c r="L22" s="125"/>
      <c r="M22" s="125"/>
      <c r="N22" s="126">
        <f>+[2]ordinario!I32-I22-23202275.04</f>
        <v>76797724.960000008</v>
      </c>
      <c r="O22" s="87" t="e">
        <f>+#REF!</f>
        <v>#REF!</v>
      </c>
    </row>
    <row r="23" spans="1:18" s="85" customFormat="1" ht="12.75" customHeight="1">
      <c r="A23" s="286"/>
      <c r="B23" s="285"/>
      <c r="C23" s="124"/>
      <c r="D23" s="124"/>
      <c r="E23" s="124"/>
      <c r="F23" s="279"/>
      <c r="G23" s="278"/>
      <c r="H23" s="98" t="s">
        <v>79</v>
      </c>
      <c r="I23" s="125">
        <v>0</v>
      </c>
      <c r="J23" s="125"/>
      <c r="K23" s="125"/>
      <c r="L23" s="125"/>
      <c r="M23" s="125"/>
      <c r="N23" s="126">
        <v>1403417.72</v>
      </c>
      <c r="O23" s="87"/>
    </row>
    <row r="24" spans="1:18" s="85" customFormat="1" ht="12.75" customHeight="1">
      <c r="A24" s="122"/>
      <c r="B24" s="240"/>
      <c r="C24" s="124"/>
      <c r="D24" s="124"/>
      <c r="E24" s="124"/>
      <c r="F24" s="146"/>
      <c r="G24" s="138"/>
      <c r="H24" s="98"/>
      <c r="I24" s="125"/>
      <c r="J24" s="125"/>
      <c r="K24" s="125"/>
      <c r="L24" s="125"/>
      <c r="M24" s="125"/>
      <c r="N24" s="126"/>
      <c r="O24" s="89" t="e">
        <f>SUM(O20:O22)</f>
        <v>#REF!</v>
      </c>
    </row>
    <row r="25" spans="1:18" s="85" customFormat="1" ht="12.75" customHeight="1">
      <c r="A25" s="286"/>
      <c r="B25" s="285"/>
      <c r="C25" s="124"/>
      <c r="D25" s="124"/>
      <c r="E25" s="124"/>
      <c r="F25" s="279" t="s">
        <v>160</v>
      </c>
      <c r="G25" s="278" t="s">
        <v>192</v>
      </c>
      <c r="H25" s="98" t="s">
        <v>77</v>
      </c>
      <c r="I25" s="125">
        <v>31625004.98</v>
      </c>
      <c r="J25" s="125">
        <f>+I25</f>
        <v>31625004.98</v>
      </c>
      <c r="K25" s="124"/>
      <c r="L25" s="124"/>
      <c r="M25" s="124"/>
      <c r="N25" s="126">
        <f>+[2]ordinario!I34-I25</f>
        <v>1.2000016868114471E-3</v>
      </c>
      <c r="O25" s="89" t="e">
        <f>+O20-#REF!</f>
        <v>#REF!</v>
      </c>
    </row>
    <row r="26" spans="1:18" s="85" customFormat="1" ht="12.75" customHeight="1">
      <c r="A26" s="122"/>
      <c r="B26" s="240"/>
      <c r="C26" s="124"/>
      <c r="D26" s="124"/>
      <c r="E26" s="124"/>
      <c r="F26" s="281"/>
      <c r="G26" s="280"/>
      <c r="H26" s="98" t="s">
        <v>78</v>
      </c>
      <c r="I26" s="125">
        <f>37882995.17-I25</f>
        <v>6257990.1900000013</v>
      </c>
      <c r="J26" s="125">
        <f>+I26</f>
        <v>6257990.1900000013</v>
      </c>
      <c r="K26" s="124"/>
      <c r="L26" s="125"/>
      <c r="M26" s="124"/>
      <c r="N26" s="126">
        <f>+[2]ordinario!I35-I26</f>
        <v>1497319.3287999984</v>
      </c>
      <c r="O26" s="89" t="e">
        <f>+O24-O3</f>
        <v>#REF!</v>
      </c>
    </row>
    <row r="27" spans="1:18" s="85" customFormat="1" ht="12.75" customHeight="1">
      <c r="A27" s="122"/>
      <c r="B27" s="240"/>
      <c r="C27" s="124"/>
      <c r="D27" s="124"/>
      <c r="E27" s="124"/>
      <c r="F27" s="281"/>
      <c r="G27" s="280"/>
      <c r="H27" s="98" t="s">
        <v>79</v>
      </c>
      <c r="I27" s="125"/>
      <c r="J27" s="125">
        <f>+I27</f>
        <v>0</v>
      </c>
      <c r="K27" s="125"/>
      <c r="L27" s="125"/>
      <c r="M27" s="125"/>
      <c r="N27" s="126">
        <f>+[2]ordinario!I36-I27</f>
        <v>1620000</v>
      </c>
    </row>
    <row r="28" spans="1:18" s="85" customFormat="1" ht="12.75" customHeight="1">
      <c r="A28" s="122"/>
      <c r="B28" s="240"/>
      <c r="C28" s="124"/>
      <c r="D28" s="124"/>
      <c r="E28" s="124"/>
      <c r="F28" s="281"/>
      <c r="G28" s="280"/>
      <c r="H28" s="98" t="s">
        <v>82</v>
      </c>
      <c r="I28" s="125"/>
      <c r="J28" s="125">
        <f>+I28</f>
        <v>0</v>
      </c>
      <c r="K28" s="125"/>
      <c r="L28" s="125"/>
      <c r="M28" s="125"/>
      <c r="N28" s="126">
        <f>+[2]ordinario!I37-I28</f>
        <v>3764857.53</v>
      </c>
    </row>
    <row r="29" spans="1:18" s="85" customFormat="1" ht="12.75" customHeight="1">
      <c r="A29" s="122"/>
      <c r="B29" s="240"/>
      <c r="C29" s="124"/>
      <c r="D29" s="124"/>
      <c r="E29" s="124"/>
      <c r="F29" s="146"/>
      <c r="G29" s="138"/>
      <c r="H29" s="98"/>
      <c r="I29" s="125"/>
      <c r="J29" s="125"/>
      <c r="K29" s="125"/>
      <c r="L29" s="125"/>
      <c r="M29" s="125"/>
      <c r="N29" s="126"/>
    </row>
    <row r="30" spans="1:18" s="85" customFormat="1" ht="12.75" customHeight="1">
      <c r="A30" s="122"/>
      <c r="B30" s="240"/>
      <c r="C30" s="124"/>
      <c r="D30" s="124"/>
      <c r="E30" s="124"/>
      <c r="F30" s="284" t="s">
        <v>193</v>
      </c>
      <c r="G30" s="278" t="s">
        <v>194</v>
      </c>
      <c r="H30" s="98" t="s">
        <v>77</v>
      </c>
      <c r="I30" s="125">
        <v>48451685.979999997</v>
      </c>
      <c r="J30" s="125">
        <f>+I30</f>
        <v>48451685.979999997</v>
      </c>
      <c r="K30" s="125"/>
      <c r="L30" s="125"/>
      <c r="M30" s="125"/>
      <c r="N30" s="126">
        <f>+[2]ordinario!I40-I30</f>
        <v>9035264.317649506</v>
      </c>
    </row>
    <row r="31" spans="1:18" s="85" customFormat="1" ht="12.75" customHeight="1">
      <c r="A31" s="122"/>
      <c r="B31" s="240"/>
      <c r="C31" s="124"/>
      <c r="D31" s="124"/>
      <c r="E31" s="124"/>
      <c r="F31" s="281"/>
      <c r="G31" s="280"/>
      <c r="H31" s="98" t="s">
        <v>78</v>
      </c>
      <c r="I31" s="125">
        <f>833220617.33-I522</f>
        <v>410725401.40000004</v>
      </c>
      <c r="J31" s="125">
        <f>+I31</f>
        <v>410725401.40000004</v>
      </c>
      <c r="K31" s="125"/>
      <c r="L31" s="125"/>
      <c r="M31" s="125"/>
      <c r="N31" s="126">
        <f>+[2]ordinario!I41-I31+5000000-10000000</f>
        <v>300571264.55409998</v>
      </c>
    </row>
    <row r="32" spans="1:18" s="85" customFormat="1" ht="12.75" customHeight="1">
      <c r="A32" s="122"/>
      <c r="B32" s="240"/>
      <c r="C32" s="124"/>
      <c r="D32" s="124"/>
      <c r="E32" s="124"/>
      <c r="F32" s="281"/>
      <c r="G32" s="280"/>
      <c r="H32" s="98" t="s">
        <v>79</v>
      </c>
      <c r="I32" s="125"/>
      <c r="J32" s="125">
        <f>+I32</f>
        <v>0</v>
      </c>
      <c r="K32" s="125"/>
      <c r="L32" s="125"/>
      <c r="M32" s="125"/>
      <c r="N32" s="126">
        <f>+[2]ordinario!I42-I32-5000000</f>
        <v>0</v>
      </c>
    </row>
    <row r="33" spans="1:15" s="85" customFormat="1" ht="12.75" customHeight="1">
      <c r="A33" s="122"/>
      <c r="B33" s="240"/>
      <c r="C33" s="124"/>
      <c r="D33" s="124"/>
      <c r="E33" s="124"/>
      <c r="F33" s="281"/>
      <c r="G33" s="280"/>
      <c r="H33" s="98" t="s">
        <v>81</v>
      </c>
      <c r="I33" s="125">
        <f>9203543.66-I524</f>
        <v>0</v>
      </c>
      <c r="J33" s="125"/>
      <c r="K33" s="125">
        <f>+I33</f>
        <v>0</v>
      </c>
      <c r="L33" s="125"/>
      <c r="M33" s="125"/>
      <c r="N33" s="126">
        <f>10000000-I33</f>
        <v>10000000</v>
      </c>
    </row>
    <row r="34" spans="1:15" s="85" customFormat="1" ht="12.75" customHeight="1">
      <c r="A34" s="122"/>
      <c r="B34" s="240"/>
      <c r="C34" s="124"/>
      <c r="D34" s="124"/>
      <c r="E34" s="124"/>
      <c r="F34" s="281"/>
      <c r="G34" s="280"/>
      <c r="H34" s="98" t="s">
        <v>82</v>
      </c>
      <c r="I34" s="125">
        <v>154000.41</v>
      </c>
      <c r="J34" s="125">
        <f>+I34</f>
        <v>154000.41</v>
      </c>
      <c r="K34" s="125"/>
      <c r="L34" s="125"/>
      <c r="M34" s="125"/>
      <c r="N34" s="126">
        <f>+[2]ordinario!I43-I34</f>
        <v>11515204.300000001</v>
      </c>
    </row>
    <row r="35" spans="1:15" s="85" customFormat="1" ht="12.75" customHeight="1">
      <c r="A35" s="122"/>
      <c r="B35" s="240"/>
      <c r="C35" s="124"/>
      <c r="D35" s="124"/>
      <c r="E35" s="124"/>
      <c r="F35" s="146"/>
      <c r="G35" s="138"/>
      <c r="H35" s="98"/>
      <c r="I35" s="125"/>
      <c r="J35" s="125"/>
      <c r="K35" s="125"/>
      <c r="L35" s="125"/>
      <c r="M35" s="125"/>
      <c r="N35" s="126"/>
    </row>
    <row r="36" spans="1:15" s="85" customFormat="1" ht="12.75" customHeight="1">
      <c r="A36" s="122"/>
      <c r="B36" s="240"/>
      <c r="C36" s="124"/>
      <c r="D36" s="124"/>
      <c r="E36" s="124"/>
      <c r="F36" s="279" t="s">
        <v>195</v>
      </c>
      <c r="G36" s="278" t="s">
        <v>196</v>
      </c>
      <c r="H36" s="98" t="s">
        <v>77</v>
      </c>
      <c r="I36" s="125">
        <v>261558556.47999999</v>
      </c>
      <c r="J36" s="125">
        <f>+I36</f>
        <v>261558556.47999999</v>
      </c>
      <c r="K36" s="125"/>
      <c r="L36" s="125"/>
      <c r="M36" s="125"/>
      <c r="N36" s="126">
        <f>+[2]ordinario!I46-'3_Detalle Origen y Aplicación'!I36+0.01</f>
        <v>79661323.25445573</v>
      </c>
    </row>
    <row r="37" spans="1:15" s="85" customFormat="1" ht="12.75" customHeight="1">
      <c r="A37" s="122"/>
      <c r="B37" s="240"/>
      <c r="C37" s="124"/>
      <c r="D37" s="124"/>
      <c r="E37" s="124"/>
      <c r="F37" s="281"/>
      <c r="G37" s="280"/>
      <c r="H37" s="98" t="s">
        <v>78</v>
      </c>
      <c r="I37" s="125">
        <f>542075852.23-I526</f>
        <v>356967252.36000001</v>
      </c>
      <c r="J37" s="125">
        <f>+I37</f>
        <v>356967252.36000001</v>
      </c>
      <c r="K37" s="125"/>
      <c r="L37" s="125"/>
      <c r="M37" s="125"/>
      <c r="N37" s="126">
        <f>+[2]ordinario!I47-'3_Detalle Origen y Aplicación'!I37+450000-63000000-10000000</f>
        <v>197729245.69060004</v>
      </c>
    </row>
    <row r="38" spans="1:15" s="85" customFormat="1" ht="12.75" customHeight="1">
      <c r="A38" s="122"/>
      <c r="B38" s="240"/>
      <c r="C38" s="124"/>
      <c r="D38" s="124"/>
      <c r="E38" s="124"/>
      <c r="F38" s="281"/>
      <c r="G38" s="280"/>
      <c r="H38" s="98" t="s">
        <v>79</v>
      </c>
      <c r="I38" s="125">
        <v>0</v>
      </c>
      <c r="J38" s="125">
        <f>+I38</f>
        <v>0</v>
      </c>
      <c r="K38" s="125"/>
      <c r="L38" s="125"/>
      <c r="M38" s="125"/>
      <c r="N38" s="126">
        <f>+[2]ordinario!I48-'3_Detalle Origen y Aplicación'!I38-350000-300000</f>
        <v>2100000</v>
      </c>
    </row>
    <row r="39" spans="1:15" s="85" customFormat="1" ht="12.75" customHeight="1">
      <c r="A39" s="122"/>
      <c r="B39" s="240"/>
      <c r="C39" s="124"/>
      <c r="D39" s="124"/>
      <c r="E39" s="124"/>
      <c r="F39" s="281"/>
      <c r="G39" s="280"/>
      <c r="H39" s="98" t="s">
        <v>81</v>
      </c>
      <c r="I39" s="125">
        <f>248601856.64-I528</f>
        <v>245048581.63999999</v>
      </c>
      <c r="J39" s="125">
        <v>0</v>
      </c>
      <c r="K39" s="125">
        <f>+I39</f>
        <v>245048581.63999999</v>
      </c>
      <c r="L39" s="125"/>
      <c r="M39" s="125"/>
      <c r="N39" s="126">
        <f>+[2]ordinario!I49-'3_Detalle Origen y Aplicación'!I39-100000+63000000+300000</f>
        <v>2401418.3600000143</v>
      </c>
    </row>
    <row r="40" spans="1:15" s="85" customFormat="1" ht="12.75" customHeight="1">
      <c r="A40" s="122"/>
      <c r="B40" s="240"/>
      <c r="C40" s="124"/>
      <c r="D40" s="124"/>
      <c r="E40" s="124"/>
      <c r="F40" s="281"/>
      <c r="G40" s="280"/>
      <c r="H40" s="98" t="s">
        <v>82</v>
      </c>
      <c r="I40" s="125">
        <v>2007228.1</v>
      </c>
      <c r="J40" s="125">
        <f>+I40</f>
        <v>2007228.1</v>
      </c>
      <c r="K40" s="125"/>
      <c r="L40" s="125"/>
      <c r="M40" s="125"/>
      <c r="N40" s="126">
        <f>+[2]ordinario!I50-'3_Detalle Origen y Aplicación'!I40</f>
        <v>11559224.130000001</v>
      </c>
    </row>
    <row r="41" spans="1:15" s="85" customFormat="1" ht="12.75" customHeight="1">
      <c r="A41" s="122"/>
      <c r="B41" s="240"/>
      <c r="C41" s="124"/>
      <c r="D41" s="124"/>
      <c r="E41" s="124"/>
      <c r="F41" s="146"/>
      <c r="G41" s="138"/>
      <c r="H41" s="98"/>
      <c r="I41" s="125"/>
      <c r="J41" s="125"/>
      <c r="K41" s="125"/>
      <c r="L41" s="125"/>
      <c r="M41" s="125"/>
      <c r="N41" s="126"/>
      <c r="O41" s="87">
        <f>98596689.69+97806542.99+83852659.78+30000000+85960059.09+69991102.98</f>
        <v>466207054.53000009</v>
      </c>
    </row>
    <row r="42" spans="1:15" s="85" customFormat="1" ht="12.75" customHeight="1">
      <c r="A42" s="122"/>
      <c r="B42" s="240"/>
      <c r="C42" s="124"/>
      <c r="D42" s="124"/>
      <c r="E42" s="124"/>
      <c r="F42" s="279" t="s">
        <v>197</v>
      </c>
      <c r="G42" s="278" t="s">
        <v>140</v>
      </c>
      <c r="H42" s="98" t="s">
        <v>77</v>
      </c>
      <c r="I42" s="125">
        <f>70449928.14-25000000</f>
        <v>45449928.140000001</v>
      </c>
      <c r="J42" s="125">
        <f>+I42</f>
        <v>45449928.140000001</v>
      </c>
      <c r="K42" s="125"/>
      <c r="L42" s="125"/>
      <c r="M42" s="125"/>
      <c r="N42" s="126">
        <f>+[2]ordinario!I56-'3_Detalle Origen y Aplicación'!I42</f>
        <v>25000000.000310555</v>
      </c>
    </row>
    <row r="43" spans="1:15" s="85" customFormat="1" ht="12.75" customHeight="1">
      <c r="A43" s="122"/>
      <c r="B43" s="240"/>
      <c r="C43" s="124"/>
      <c r="D43" s="124"/>
      <c r="E43" s="124"/>
      <c r="F43" s="279"/>
      <c r="G43" s="278"/>
      <c r="H43" s="98" t="s">
        <v>78</v>
      </c>
      <c r="I43" s="125">
        <f>85960059.09-I42-I46</f>
        <v>37491473.370000005</v>
      </c>
      <c r="J43" s="125">
        <f>+I43</f>
        <v>37491473.370000005</v>
      </c>
      <c r="K43" s="125"/>
      <c r="L43" s="125"/>
      <c r="M43" s="125"/>
      <c r="N43" s="126">
        <f>+[2]ordinario!I57-'3_Detalle Origen y Aplicación'!I43-150000</f>
        <v>53794203.730499998</v>
      </c>
    </row>
    <row r="44" spans="1:15" s="85" customFormat="1" ht="12.75" customHeight="1">
      <c r="A44" s="122"/>
      <c r="B44" s="240"/>
      <c r="C44" s="124"/>
      <c r="D44" s="124"/>
      <c r="E44" s="124"/>
      <c r="F44" s="279"/>
      <c r="G44" s="278"/>
      <c r="H44" s="98" t="s">
        <v>79</v>
      </c>
      <c r="I44" s="125"/>
      <c r="J44" s="125">
        <f>+I44</f>
        <v>0</v>
      </c>
      <c r="K44" s="125"/>
      <c r="L44" s="125"/>
      <c r="M44" s="125"/>
      <c r="N44" s="126">
        <f>+[2]ordinario!I58-'3_Detalle Origen y Aplicación'!I44+115000</f>
        <v>115000</v>
      </c>
    </row>
    <row r="45" spans="1:15" s="85" customFormat="1" ht="12.75" customHeight="1">
      <c r="A45" s="122"/>
      <c r="B45" s="240"/>
      <c r="C45" s="124"/>
      <c r="D45" s="124"/>
      <c r="E45" s="124"/>
      <c r="F45" s="279"/>
      <c r="G45" s="278"/>
      <c r="H45" s="98" t="s">
        <v>81</v>
      </c>
      <c r="I45" s="125"/>
      <c r="J45" s="125"/>
      <c r="K45" s="125">
        <f>+I45</f>
        <v>0</v>
      </c>
      <c r="L45" s="125"/>
      <c r="M45" s="125"/>
      <c r="N45" s="126">
        <f>35000-I45</f>
        <v>35000</v>
      </c>
    </row>
    <row r="46" spans="1:15" s="85" customFormat="1" ht="12.75" customHeight="1">
      <c r="A46" s="122"/>
      <c r="B46" s="240"/>
      <c r="C46" s="124"/>
      <c r="D46" s="124"/>
      <c r="E46" s="124"/>
      <c r="F46" s="279"/>
      <c r="G46" s="278"/>
      <c r="H46" s="98" t="s">
        <v>82</v>
      </c>
      <c r="I46" s="125">
        <v>3018657.58</v>
      </c>
      <c r="J46" s="125">
        <f>+I46</f>
        <v>3018657.58</v>
      </c>
      <c r="K46" s="125"/>
      <c r="L46" s="125"/>
      <c r="M46" s="125"/>
      <c r="N46" s="126">
        <f>+[2]ordinario!I59-'3_Detalle Origen y Aplicación'!I46</f>
        <v>2872207.6799999997</v>
      </c>
    </row>
    <row r="47" spans="1:15" s="85" customFormat="1" ht="12.75" customHeight="1">
      <c r="A47" s="122"/>
      <c r="B47" s="240"/>
      <c r="C47" s="124"/>
      <c r="D47" s="124"/>
      <c r="E47" s="124"/>
      <c r="F47" s="270"/>
      <c r="G47" s="127"/>
      <c r="H47" s="98"/>
      <c r="I47" s="125" t="s">
        <v>11</v>
      </c>
      <c r="J47" s="125"/>
      <c r="K47" s="125"/>
      <c r="L47" s="125"/>
      <c r="M47" s="125"/>
      <c r="N47" s="126"/>
    </row>
    <row r="48" spans="1:15" s="85" customFormat="1" ht="12.75" customHeight="1">
      <c r="A48" s="122"/>
      <c r="B48" s="240"/>
      <c r="C48" s="124"/>
      <c r="D48" s="124"/>
      <c r="E48" s="124"/>
      <c r="F48" s="279" t="s">
        <v>198</v>
      </c>
      <c r="G48" s="278" t="s">
        <v>199</v>
      </c>
      <c r="H48" s="98" t="s">
        <v>77</v>
      </c>
      <c r="I48" s="125">
        <v>39023841.670000002</v>
      </c>
      <c r="J48" s="125">
        <f>+I48</f>
        <v>39023841.670000002</v>
      </c>
      <c r="K48" s="125"/>
      <c r="L48" s="125"/>
      <c r="M48" s="125"/>
      <c r="N48" s="126">
        <f>+[2]ordinario!I64-'3_Detalle Origen y Aplicación'!I48</f>
        <v>14199341.45235499</v>
      </c>
    </row>
    <row r="49" spans="1:14" s="85" customFormat="1" ht="12.75" customHeight="1">
      <c r="A49" s="122"/>
      <c r="B49" s="240"/>
      <c r="C49" s="124"/>
      <c r="D49" s="124"/>
      <c r="E49" s="124"/>
      <c r="F49" s="281"/>
      <c r="G49" s="280"/>
      <c r="H49" s="98" t="s">
        <v>78</v>
      </c>
      <c r="I49" s="125">
        <v>762562.31</v>
      </c>
      <c r="J49" s="125">
        <f>+I49</f>
        <v>762562.31</v>
      </c>
      <c r="K49" s="125"/>
      <c r="L49" s="125"/>
      <c r="M49" s="125"/>
      <c r="N49" s="126">
        <f>+[2]ordinario!I65-'3_Detalle Origen y Aplicación'!I49</f>
        <v>437930.83089999994</v>
      </c>
    </row>
    <row r="50" spans="1:14" s="85" customFormat="1" ht="12.75" customHeight="1">
      <c r="A50" s="122"/>
      <c r="B50" s="240"/>
      <c r="C50" s="124"/>
      <c r="D50" s="124"/>
      <c r="E50" s="124"/>
      <c r="F50" s="281"/>
      <c r="G50" s="280"/>
      <c r="H50" s="98" t="s">
        <v>82</v>
      </c>
      <c r="I50" s="125">
        <v>485788.3</v>
      </c>
      <c r="J50" s="125">
        <f>+I50</f>
        <v>485788.3</v>
      </c>
      <c r="K50" s="125"/>
      <c r="L50" s="125"/>
      <c r="M50" s="125"/>
      <c r="N50" s="126">
        <f>+[2]ordinario!I66-'3_Detalle Origen y Aplicación'!I50</f>
        <v>2192349.39</v>
      </c>
    </row>
    <row r="51" spans="1:14" s="85" customFormat="1" ht="12.75" customHeight="1">
      <c r="A51" s="122"/>
      <c r="B51" s="240"/>
      <c r="C51" s="124"/>
      <c r="D51" s="124"/>
      <c r="E51" s="124"/>
      <c r="F51" s="146"/>
      <c r="G51" s="138"/>
      <c r="H51" s="98"/>
      <c r="I51" s="125"/>
      <c r="J51" s="125"/>
      <c r="K51" s="125"/>
      <c r="L51" s="125"/>
      <c r="M51" s="125"/>
      <c r="N51" s="126"/>
    </row>
    <row r="52" spans="1:14" s="85" customFormat="1" ht="12.75" customHeight="1">
      <c r="A52" s="122"/>
      <c r="B52" s="240"/>
      <c r="C52" s="124"/>
      <c r="D52" s="124"/>
      <c r="E52" s="124"/>
      <c r="F52" s="279" t="s">
        <v>200</v>
      </c>
      <c r="G52" s="283" t="s">
        <v>201</v>
      </c>
      <c r="H52" s="98" t="s">
        <v>77</v>
      </c>
      <c r="I52" s="125">
        <f>295487221.32-I459</f>
        <v>222862044.66</v>
      </c>
      <c r="J52" s="125">
        <f>+I52</f>
        <v>222862044.66</v>
      </c>
      <c r="K52" s="125"/>
      <c r="L52" s="125"/>
      <c r="M52" s="125"/>
      <c r="N52" s="126">
        <f>+[2]ordinario!I69-'3_Detalle Origen y Aplicación'!I52</f>
        <v>48324235.651599973</v>
      </c>
    </row>
    <row r="53" spans="1:14" s="85" customFormat="1" ht="12.75" customHeight="1">
      <c r="A53" s="122"/>
      <c r="B53" s="240"/>
      <c r="C53" s="124"/>
      <c r="D53" s="124"/>
      <c r="E53" s="124"/>
      <c r="F53" s="279"/>
      <c r="G53" s="283"/>
      <c r="H53" s="98" t="s">
        <v>78</v>
      </c>
      <c r="I53" s="125">
        <v>2164829.36</v>
      </c>
      <c r="J53" s="125">
        <f>+I53</f>
        <v>2164829.36</v>
      </c>
      <c r="K53" s="125"/>
      <c r="L53" s="125"/>
      <c r="M53" s="125"/>
      <c r="N53" s="126">
        <f>+[2]ordinario!I70-'3_Detalle Origen y Aplicación'!I53</f>
        <v>5711357.4783999994</v>
      </c>
    </row>
    <row r="54" spans="1:14" s="85" customFormat="1" ht="12.75" customHeight="1">
      <c r="A54" s="122"/>
      <c r="B54" s="240"/>
      <c r="C54" s="124"/>
      <c r="D54" s="124"/>
      <c r="E54" s="124"/>
      <c r="F54" s="279"/>
      <c r="G54" s="283"/>
      <c r="H54" s="98" t="s">
        <v>82</v>
      </c>
      <c r="I54" s="125">
        <v>12234659.609999999</v>
      </c>
      <c r="J54" s="125">
        <f>+I54</f>
        <v>12234659.609999999</v>
      </c>
      <c r="K54" s="125"/>
      <c r="L54" s="125"/>
      <c r="M54" s="125"/>
      <c r="N54" s="126">
        <f>+[2]ordinario!I71-'3_Detalle Origen y Aplicación'!I54</f>
        <v>3511155.0500000007</v>
      </c>
    </row>
    <row r="55" spans="1:14" s="85" customFormat="1" ht="12.75" customHeight="1">
      <c r="A55" s="122"/>
      <c r="B55" s="240"/>
      <c r="C55" s="124"/>
      <c r="D55" s="124"/>
      <c r="E55" s="124"/>
      <c r="F55" s="270"/>
      <c r="G55" s="127"/>
      <c r="H55" s="98"/>
      <c r="I55" s="125"/>
      <c r="J55" s="125"/>
      <c r="K55" s="125"/>
      <c r="L55" s="125"/>
      <c r="M55" s="125"/>
      <c r="N55" s="126"/>
    </row>
    <row r="56" spans="1:14" s="85" customFormat="1" ht="12.75" customHeight="1">
      <c r="A56" s="122"/>
      <c r="B56" s="240"/>
      <c r="C56" s="124"/>
      <c r="D56" s="124"/>
      <c r="E56" s="124"/>
      <c r="F56" s="279" t="s">
        <v>202</v>
      </c>
      <c r="G56" s="278" t="s">
        <v>203</v>
      </c>
      <c r="H56" s="98" t="s">
        <v>77</v>
      </c>
      <c r="I56" s="125">
        <v>325915327.22000003</v>
      </c>
      <c r="J56" s="125">
        <f>+I56</f>
        <v>325915327.22000003</v>
      </c>
      <c r="K56" s="125"/>
      <c r="L56" s="125"/>
      <c r="M56" s="125"/>
      <c r="N56" s="126">
        <f>+[2]ordinario!I73-'3_Detalle Origen y Aplicación'!I56</f>
        <v>32174030.475665212</v>
      </c>
    </row>
    <row r="57" spans="1:14" s="85" customFormat="1" ht="12.75" customHeight="1">
      <c r="A57" s="122"/>
      <c r="B57" s="240"/>
      <c r="C57" s="124"/>
      <c r="D57" s="124"/>
      <c r="E57" s="124"/>
      <c r="F57" s="279"/>
      <c r="G57" s="282"/>
      <c r="H57" s="98" t="s">
        <v>78</v>
      </c>
      <c r="I57" s="125">
        <f>85975961.3-I532</f>
        <v>49898771.589999996</v>
      </c>
      <c r="J57" s="125">
        <f>+I57</f>
        <v>49898771.589999996</v>
      </c>
      <c r="K57" s="125"/>
      <c r="L57" s="125"/>
      <c r="M57" s="125"/>
      <c r="N57" s="126">
        <f>+[2]ordinario!I74-'3_Detalle Origen y Aplicación'!I57+784600+318000</f>
        <v>24280831.560199998</v>
      </c>
    </row>
    <row r="58" spans="1:14" s="85" customFormat="1" ht="12.75" customHeight="1">
      <c r="A58" s="122"/>
      <c r="B58" s="240"/>
      <c r="C58" s="124"/>
      <c r="D58" s="124"/>
      <c r="E58" s="124"/>
      <c r="F58" s="279"/>
      <c r="G58" s="282"/>
      <c r="H58" s="98" t="s">
        <v>79</v>
      </c>
      <c r="I58" s="125">
        <f>61123350-I533</f>
        <v>19002493</v>
      </c>
      <c r="J58" s="125">
        <f>+I58</f>
        <v>19002493</v>
      </c>
      <c r="K58" s="125"/>
      <c r="L58" s="125"/>
      <c r="M58" s="125"/>
      <c r="N58" s="126">
        <f>+[2]ordinario!I75-'3_Detalle Origen y Aplicación'!I58-784600-318000</f>
        <v>3404507</v>
      </c>
    </row>
    <row r="59" spans="1:14" s="85" customFormat="1" ht="12.75" customHeight="1">
      <c r="A59" s="122"/>
      <c r="B59" s="240"/>
      <c r="C59" s="124"/>
      <c r="D59" s="124"/>
      <c r="E59" s="124"/>
      <c r="F59" s="279"/>
      <c r="G59" s="282"/>
      <c r="H59" s="98" t="s">
        <v>81</v>
      </c>
      <c r="I59" s="125">
        <f>28815185.78-I534</f>
        <v>27938940</v>
      </c>
      <c r="J59" s="125"/>
      <c r="K59" s="125">
        <f>+I59</f>
        <v>27938940</v>
      </c>
      <c r="L59" s="125"/>
      <c r="M59" s="125"/>
      <c r="N59" s="126">
        <f>+[2]ordinario!I76-'3_Detalle Origen y Aplicación'!I59</f>
        <v>911060</v>
      </c>
    </row>
    <row r="60" spans="1:14" s="85" customFormat="1" ht="12.75" customHeight="1">
      <c r="A60" s="122"/>
      <c r="B60" s="240"/>
      <c r="C60" s="124"/>
      <c r="D60" s="124"/>
      <c r="E60" s="124"/>
      <c r="F60" s="279"/>
      <c r="G60" s="282"/>
      <c r="H60" s="98" t="s">
        <v>82</v>
      </c>
      <c r="I60" s="125">
        <v>14631925.76</v>
      </c>
      <c r="J60" s="125">
        <f>+I60</f>
        <v>14631925.76</v>
      </c>
      <c r="K60" s="125"/>
      <c r="L60" s="125"/>
      <c r="M60" s="125"/>
      <c r="N60" s="126">
        <f>+[2]ordinario!I77-'3_Detalle Origen y Aplicación'!I60</f>
        <v>2246488.040000001</v>
      </c>
    </row>
    <row r="61" spans="1:14" s="85" customFormat="1" ht="12.75" customHeight="1">
      <c r="A61" s="122"/>
      <c r="B61" s="240"/>
      <c r="C61" s="124"/>
      <c r="D61" s="124"/>
      <c r="E61" s="124"/>
      <c r="F61" s="270"/>
      <c r="G61" s="127"/>
      <c r="H61" s="98"/>
      <c r="I61" s="125"/>
      <c r="J61" s="125"/>
      <c r="K61" s="125"/>
      <c r="L61" s="125"/>
      <c r="M61" s="125"/>
      <c r="N61" s="142"/>
    </row>
    <row r="62" spans="1:14" s="85" customFormat="1" ht="12.75" customHeight="1">
      <c r="A62" s="122"/>
      <c r="B62" s="240"/>
      <c r="C62" s="124"/>
      <c r="D62" s="124"/>
      <c r="E62" s="124"/>
      <c r="F62" s="270" t="s">
        <v>204</v>
      </c>
      <c r="G62" s="101" t="s">
        <v>205</v>
      </c>
      <c r="H62" s="98" t="s">
        <v>77</v>
      </c>
      <c r="I62" s="125">
        <f>121639334.72-I254</f>
        <v>78755855.460000008</v>
      </c>
      <c r="J62" s="125">
        <f>+I62</f>
        <v>78755855.460000008</v>
      </c>
      <c r="K62" s="125"/>
      <c r="L62" s="125"/>
      <c r="M62" s="125"/>
      <c r="N62" s="126">
        <f>+[2]ordinario!I80-'3_Detalle Origen y Aplicación'!I62</f>
        <v>27873309.038899988</v>
      </c>
    </row>
    <row r="63" spans="1:14" s="85" customFormat="1" ht="12.75" customHeight="1">
      <c r="A63" s="122"/>
      <c r="B63" s="240"/>
      <c r="C63" s="124"/>
      <c r="D63" s="124"/>
      <c r="E63" s="124"/>
      <c r="F63" s="146"/>
      <c r="G63" s="101"/>
      <c r="H63" s="98" t="s">
        <v>78</v>
      </c>
      <c r="I63" s="125">
        <v>2886734.56</v>
      </c>
      <c r="J63" s="125">
        <f>+I63</f>
        <v>2886734.56</v>
      </c>
      <c r="K63" s="125"/>
      <c r="L63" s="125"/>
      <c r="M63" s="125"/>
      <c r="N63" s="126">
        <f>+[2]ordinario!I81-'3_Detalle Origen y Aplicación'!I63</f>
        <v>1348733.4510999997</v>
      </c>
    </row>
    <row r="64" spans="1:14" s="85" customFormat="1" ht="12.75" customHeight="1">
      <c r="A64" s="122"/>
      <c r="B64" s="240"/>
      <c r="C64" s="124"/>
      <c r="D64" s="124"/>
      <c r="E64" s="124"/>
      <c r="F64" s="146"/>
      <c r="G64" s="101"/>
      <c r="H64" s="98" t="s">
        <v>79</v>
      </c>
      <c r="I64" s="125">
        <v>400000</v>
      </c>
      <c r="J64" s="125">
        <f>+I64</f>
        <v>400000</v>
      </c>
      <c r="K64" s="125"/>
      <c r="L64" s="125"/>
      <c r="M64" s="125"/>
      <c r="N64" s="126">
        <f>+[2]ordinario!I82-'3_Detalle Origen y Aplicación'!I64</f>
        <v>1020000</v>
      </c>
    </row>
    <row r="65" spans="1:14" s="85" customFormat="1" ht="12.75" customHeight="1">
      <c r="A65" s="122"/>
      <c r="B65" s="240"/>
      <c r="C65" s="124"/>
      <c r="D65" s="124"/>
      <c r="E65" s="124"/>
      <c r="F65" s="146"/>
      <c r="G65" s="101"/>
      <c r="H65" s="98" t="s">
        <v>81</v>
      </c>
      <c r="I65" s="125">
        <f>1275502.35-I536</f>
        <v>399256.57000000007</v>
      </c>
      <c r="J65" s="125"/>
      <c r="K65" s="125">
        <f>+I65</f>
        <v>399256.57000000007</v>
      </c>
      <c r="L65" s="125"/>
      <c r="M65" s="125"/>
      <c r="N65" s="126">
        <f>+[2]ordinario!I83-'3_Detalle Origen y Aplicación'!I65</f>
        <v>2050743.43</v>
      </c>
    </row>
    <row r="66" spans="1:14" s="85" customFormat="1" ht="12.65" customHeight="1">
      <c r="A66" s="122"/>
      <c r="B66" s="240"/>
      <c r="C66" s="124"/>
      <c r="D66" s="124"/>
      <c r="E66" s="124"/>
      <c r="F66" s="146"/>
      <c r="G66" s="101"/>
      <c r="H66" s="98" t="s">
        <v>82</v>
      </c>
      <c r="I66" s="125">
        <v>1761860.11</v>
      </c>
      <c r="J66" s="125">
        <f>+I66</f>
        <v>1761860.11</v>
      </c>
      <c r="K66" s="125"/>
      <c r="L66" s="125"/>
      <c r="M66" s="125"/>
      <c r="N66" s="126">
        <f>+[2]ordinario!I84-'3_Detalle Origen y Aplicación'!I66</f>
        <v>746563.5399999998</v>
      </c>
    </row>
    <row r="67" spans="1:14" s="85" customFormat="1" ht="12.75" customHeight="1">
      <c r="A67" s="122"/>
      <c r="B67" s="240"/>
      <c r="C67" s="124"/>
      <c r="D67" s="124"/>
      <c r="E67" s="124"/>
      <c r="F67" s="146"/>
      <c r="G67" s="101"/>
      <c r="H67" s="98"/>
      <c r="I67" s="125"/>
      <c r="J67" s="125"/>
      <c r="K67" s="125"/>
      <c r="L67" s="125"/>
      <c r="M67" s="125"/>
      <c r="N67" s="126"/>
    </row>
    <row r="68" spans="1:14" s="85" customFormat="1" ht="12.75" customHeight="1">
      <c r="A68" s="122"/>
      <c r="B68" s="240"/>
      <c r="C68" s="124"/>
      <c r="D68" s="124"/>
      <c r="E68" s="124"/>
      <c r="F68" s="270" t="s">
        <v>206</v>
      </c>
      <c r="G68" s="101" t="s">
        <v>207</v>
      </c>
      <c r="H68" s="98" t="s">
        <v>77</v>
      </c>
      <c r="I68" s="125">
        <v>35464920.390000001</v>
      </c>
      <c r="J68" s="125">
        <f>+I68</f>
        <v>35464920.390000001</v>
      </c>
      <c r="K68" s="125"/>
      <c r="L68" s="125"/>
      <c r="M68" s="125"/>
      <c r="N68" s="126">
        <f>-I68+[2]ordinario!I87+580000</f>
        <v>10612952.136772022</v>
      </c>
    </row>
    <row r="69" spans="1:14" s="85" customFormat="1" ht="12.75" customHeight="1">
      <c r="A69" s="122"/>
      <c r="B69" s="240"/>
      <c r="C69" s="124"/>
      <c r="D69" s="124"/>
      <c r="E69" s="124"/>
      <c r="F69" s="146"/>
      <c r="G69" s="138"/>
      <c r="H69" s="98" t="s">
        <v>78</v>
      </c>
      <c r="I69" s="125"/>
      <c r="J69" s="125">
        <f>+I69</f>
        <v>0</v>
      </c>
      <c r="K69" s="125"/>
      <c r="L69" s="125"/>
      <c r="M69" s="125"/>
      <c r="N69" s="126">
        <f>-I69+[2]ordinario!I88-137034815.05</f>
        <v>3991427.288199991</v>
      </c>
    </row>
    <row r="70" spans="1:14" s="85" customFormat="1" ht="12.75" customHeight="1">
      <c r="A70" s="122"/>
      <c r="B70" s="240"/>
      <c r="C70" s="124"/>
      <c r="D70" s="124"/>
      <c r="E70" s="124"/>
      <c r="F70" s="146"/>
      <c r="G70" s="138"/>
      <c r="H70" s="98" t="s">
        <v>81</v>
      </c>
      <c r="I70" s="125"/>
      <c r="J70" s="125"/>
      <c r="K70" s="125"/>
      <c r="L70" s="125"/>
      <c r="M70" s="125"/>
      <c r="N70" s="126">
        <f>-I70+[2]ordinario!I90+137034815.05</f>
        <v>360034815.05000001</v>
      </c>
    </row>
    <row r="71" spans="1:14" s="85" customFormat="1" ht="12.75" customHeight="1">
      <c r="A71" s="122"/>
      <c r="B71" s="240"/>
      <c r="C71" s="124"/>
      <c r="D71" s="124"/>
      <c r="E71" s="124"/>
      <c r="F71" s="146"/>
      <c r="G71" s="138"/>
      <c r="H71" s="98" t="s">
        <v>82</v>
      </c>
      <c r="I71" s="125">
        <v>126502.36</v>
      </c>
      <c r="J71" s="125">
        <f>+I71</f>
        <v>126502.36</v>
      </c>
      <c r="K71" s="125"/>
      <c r="L71" s="125"/>
      <c r="M71" s="125"/>
      <c r="N71" s="126">
        <f>-I71+[2]ordinario!I91</f>
        <v>3124122.8800000004</v>
      </c>
    </row>
    <row r="72" spans="1:14" s="85" customFormat="1" ht="12.75" customHeight="1">
      <c r="A72" s="122"/>
      <c r="B72" s="240"/>
      <c r="C72" s="124"/>
      <c r="D72" s="124"/>
      <c r="E72" s="124"/>
      <c r="F72" s="146"/>
      <c r="G72" s="138"/>
      <c r="H72" s="98"/>
      <c r="I72" s="125"/>
      <c r="J72" s="125"/>
      <c r="K72" s="125"/>
      <c r="L72" s="125"/>
      <c r="M72" s="125"/>
      <c r="N72" s="126"/>
    </row>
    <row r="73" spans="1:14" s="85" customFormat="1" ht="12.75" customHeight="1">
      <c r="A73" s="122"/>
      <c r="B73" s="240"/>
      <c r="C73" s="124"/>
      <c r="D73" s="124"/>
      <c r="E73" s="124"/>
      <c r="F73" s="270" t="s">
        <v>722</v>
      </c>
      <c r="G73" s="101" t="s">
        <v>432</v>
      </c>
      <c r="H73" s="98" t="s">
        <v>77</v>
      </c>
      <c r="I73" s="125"/>
      <c r="J73" s="125">
        <f>+I73</f>
        <v>0</v>
      </c>
      <c r="K73" s="125"/>
      <c r="L73" s="125"/>
      <c r="M73" s="125"/>
      <c r="N73" s="126"/>
    </row>
    <row r="74" spans="1:14" s="85" customFormat="1" ht="12.75" customHeight="1">
      <c r="A74" s="122"/>
      <c r="B74" s="240"/>
      <c r="C74" s="124"/>
      <c r="D74" s="124"/>
      <c r="E74" s="124"/>
      <c r="F74" s="270"/>
      <c r="G74" s="127"/>
      <c r="H74" s="98"/>
      <c r="I74" s="125"/>
      <c r="J74" s="125"/>
      <c r="K74" s="125"/>
      <c r="L74" s="125"/>
      <c r="M74" s="125"/>
      <c r="N74" s="126"/>
    </row>
    <row r="75" spans="1:14" s="85" customFormat="1" ht="12.75" customHeight="1">
      <c r="A75" s="122"/>
      <c r="B75" s="240"/>
      <c r="C75" s="124"/>
      <c r="D75" s="124"/>
      <c r="E75" s="124"/>
      <c r="F75" s="270" t="s">
        <v>244</v>
      </c>
      <c r="G75" s="247" t="s">
        <v>721</v>
      </c>
      <c r="H75" s="98" t="s">
        <v>81</v>
      </c>
      <c r="I75" s="125"/>
      <c r="J75" s="125"/>
      <c r="K75" s="125">
        <f>+I75</f>
        <v>0</v>
      </c>
      <c r="L75" s="125"/>
      <c r="M75" s="125"/>
      <c r="N75" s="126">
        <f>-I75+[2]ordinario!I99</f>
        <v>10000000</v>
      </c>
    </row>
    <row r="76" spans="1:14" s="85" customFormat="1" ht="12.75" customHeight="1">
      <c r="A76" s="122"/>
      <c r="B76" s="240"/>
      <c r="C76" s="124"/>
      <c r="D76" s="124"/>
      <c r="E76" s="124"/>
      <c r="F76" s="270"/>
      <c r="G76" s="127"/>
      <c r="H76" s="98"/>
      <c r="I76" s="125"/>
      <c r="J76" s="125"/>
      <c r="K76" s="125"/>
      <c r="L76" s="125"/>
      <c r="M76" s="125"/>
      <c r="N76" s="126"/>
    </row>
    <row r="77" spans="1:14" s="85" customFormat="1" ht="12.75" customHeight="1">
      <c r="A77" s="122"/>
      <c r="B77" s="240"/>
      <c r="C77" s="124"/>
      <c r="D77" s="124"/>
      <c r="E77" s="124"/>
      <c r="F77" s="270" t="s">
        <v>370</v>
      </c>
      <c r="G77" s="263" t="s">
        <v>212</v>
      </c>
      <c r="H77" s="98" t="s">
        <v>81</v>
      </c>
      <c r="I77" s="125"/>
      <c r="J77" s="125"/>
      <c r="K77" s="125">
        <f>+I77</f>
        <v>0</v>
      </c>
      <c r="L77" s="125"/>
      <c r="M77" s="125"/>
      <c r="N77" s="126"/>
    </row>
    <row r="78" spans="1:14" s="85" customFormat="1" ht="12.75" customHeight="1">
      <c r="A78" s="122"/>
      <c r="B78" s="240"/>
      <c r="C78" s="124"/>
      <c r="D78" s="124"/>
      <c r="E78" s="124"/>
      <c r="F78" s="270"/>
      <c r="G78" s="127"/>
      <c r="H78" s="98"/>
      <c r="I78" s="125"/>
      <c r="J78" s="125"/>
      <c r="K78" s="125"/>
      <c r="L78" s="125"/>
      <c r="M78" s="125"/>
      <c r="N78" s="126"/>
    </row>
    <row r="79" spans="1:14" s="85" customFormat="1" ht="12.75" customHeight="1">
      <c r="A79" s="122"/>
      <c r="B79" s="240"/>
      <c r="C79" s="124"/>
      <c r="D79" s="124"/>
      <c r="E79" s="124"/>
      <c r="F79" s="270" t="s">
        <v>720</v>
      </c>
      <c r="G79" s="263" t="s">
        <v>719</v>
      </c>
      <c r="H79" s="98" t="s">
        <v>81</v>
      </c>
      <c r="I79" s="125">
        <v>528453.19999999995</v>
      </c>
      <c r="J79" s="125"/>
      <c r="K79" s="125">
        <f>+I79</f>
        <v>528453.19999999995</v>
      </c>
      <c r="L79" s="125"/>
      <c r="M79" s="125"/>
      <c r="N79" s="126">
        <f>528453.2-I79</f>
        <v>0</v>
      </c>
    </row>
    <row r="80" spans="1:14" s="85" customFormat="1" ht="12.75" customHeight="1">
      <c r="A80" s="122"/>
      <c r="B80" s="240"/>
      <c r="C80" s="124"/>
      <c r="D80" s="124"/>
      <c r="E80" s="124"/>
      <c r="F80" s="270"/>
      <c r="G80" s="127"/>
      <c r="H80" s="98"/>
      <c r="I80" s="125"/>
      <c r="J80" s="125"/>
      <c r="K80" s="125"/>
      <c r="L80" s="125"/>
      <c r="M80" s="125"/>
      <c r="N80" s="126"/>
    </row>
    <row r="81" spans="1:14" s="85" customFormat="1" ht="12.75" customHeight="1">
      <c r="A81" s="122"/>
      <c r="B81" s="240"/>
      <c r="C81" s="124"/>
      <c r="D81" s="124"/>
      <c r="E81" s="124"/>
      <c r="F81" s="279" t="s">
        <v>215</v>
      </c>
      <c r="G81" s="278" t="s">
        <v>216</v>
      </c>
      <c r="H81" s="98" t="s">
        <v>77</v>
      </c>
      <c r="I81" s="125">
        <v>386735966.67000002</v>
      </c>
      <c r="J81" s="125"/>
      <c r="K81" s="125">
        <f>+I81</f>
        <v>386735966.67000002</v>
      </c>
      <c r="L81" s="125"/>
      <c r="M81" s="125"/>
      <c r="N81" s="126">
        <f>-I81+[2]ordinario!I109-46253163.02</f>
        <v>54978173.96771083</v>
      </c>
    </row>
    <row r="82" spans="1:14" s="85" customFormat="1" ht="12.75" customHeight="1">
      <c r="A82" s="122"/>
      <c r="B82" s="240"/>
      <c r="C82" s="124"/>
      <c r="D82" s="124"/>
      <c r="E82" s="124"/>
      <c r="F82" s="281"/>
      <c r="G82" s="278"/>
      <c r="H82" s="98" t="s">
        <v>78</v>
      </c>
      <c r="I82" s="125">
        <f>150155478.75-I656</f>
        <v>55983088.49000001</v>
      </c>
      <c r="J82" s="125"/>
      <c r="K82" s="125">
        <f>+I82</f>
        <v>55983088.49000001</v>
      </c>
      <c r="L82" s="125"/>
      <c r="M82" s="125"/>
      <c r="N82" s="126">
        <f>-I82+[2]ordinario!I110+5000000</f>
        <v>119716859.70169997</v>
      </c>
    </row>
    <row r="83" spans="1:14" s="85" customFormat="1" ht="12.75" customHeight="1">
      <c r="A83" s="122"/>
      <c r="B83" s="240"/>
      <c r="C83" s="124"/>
      <c r="D83" s="124"/>
      <c r="E83" s="124"/>
      <c r="F83" s="281"/>
      <c r="G83" s="280"/>
      <c r="H83" s="98" t="s">
        <v>79</v>
      </c>
      <c r="I83" s="125">
        <f>455574361.17-I657</f>
        <v>336522245.99000001</v>
      </c>
      <c r="J83" s="125"/>
      <c r="K83" s="125">
        <f>+I83</f>
        <v>336522245.99000001</v>
      </c>
      <c r="L83" s="125"/>
      <c r="M83" s="125"/>
      <c r="N83" s="126">
        <f>-I83+[2]ordinario!I111-5000000</f>
        <v>53678535.220000029</v>
      </c>
    </row>
    <row r="84" spans="1:14" s="85" customFormat="1" ht="12.75" customHeight="1">
      <c r="A84" s="122"/>
      <c r="B84" s="240"/>
      <c r="C84" s="124"/>
      <c r="D84" s="124"/>
      <c r="E84" s="124"/>
      <c r="F84" s="281"/>
      <c r="G84" s="280"/>
      <c r="H84" s="98" t="s">
        <v>81</v>
      </c>
      <c r="I84" s="125">
        <f>113604331.3-I495-I658</f>
        <v>76166695.780000001</v>
      </c>
      <c r="J84" s="125"/>
      <c r="K84" s="125">
        <f>+I84</f>
        <v>76166695.780000001</v>
      </c>
      <c r="L84" s="125"/>
      <c r="M84" s="125"/>
      <c r="N84" s="126">
        <f>-I84+[2]ordinario!I112</f>
        <v>21004194.200000003</v>
      </c>
    </row>
    <row r="85" spans="1:14" s="85" customFormat="1" ht="12.75" customHeight="1">
      <c r="A85" s="122"/>
      <c r="B85" s="240"/>
      <c r="C85" s="124"/>
      <c r="D85" s="124"/>
      <c r="E85" s="124"/>
      <c r="F85" s="281"/>
      <c r="G85" s="280"/>
      <c r="H85" s="98" t="s">
        <v>82</v>
      </c>
      <c r="I85" s="125">
        <v>27395935.079999998</v>
      </c>
      <c r="J85" s="125">
        <f>+I85</f>
        <v>27395935.079999998</v>
      </c>
      <c r="K85" s="125"/>
      <c r="L85" s="125"/>
      <c r="M85" s="125"/>
      <c r="N85" s="126">
        <f>-I85+[2]ordinario!I113</f>
        <v>966254.5</v>
      </c>
    </row>
    <row r="86" spans="1:14" s="85" customFormat="1" ht="12.75" customHeight="1">
      <c r="A86" s="122"/>
      <c r="B86" s="240"/>
      <c r="C86" s="124"/>
      <c r="D86" s="124"/>
      <c r="E86" s="124"/>
      <c r="F86" s="146"/>
      <c r="G86" s="138"/>
      <c r="H86" s="98"/>
      <c r="I86" s="125"/>
      <c r="J86" s="125"/>
      <c r="K86" s="125"/>
      <c r="L86" s="125"/>
      <c r="M86" s="125"/>
      <c r="N86" s="126"/>
    </row>
    <row r="87" spans="1:14" s="85" customFormat="1" ht="12.75" customHeight="1">
      <c r="A87" s="122"/>
      <c r="B87" s="240"/>
      <c r="C87" s="124"/>
      <c r="D87" s="124"/>
      <c r="E87" s="124"/>
      <c r="F87" s="146" t="s">
        <v>217</v>
      </c>
      <c r="G87" s="277" t="s">
        <v>113</v>
      </c>
      <c r="H87" s="98" t="s">
        <v>78</v>
      </c>
      <c r="I87" s="125"/>
      <c r="J87" s="125">
        <f>+I87</f>
        <v>0</v>
      </c>
      <c r="K87" s="125"/>
      <c r="L87" s="125"/>
      <c r="M87" s="125"/>
      <c r="N87" s="126">
        <f>-I87+[2]ordinario!I118</f>
        <v>300000000</v>
      </c>
    </row>
    <row r="88" spans="1:14" s="85" customFormat="1" ht="12.75" customHeight="1">
      <c r="A88" s="122"/>
      <c r="B88" s="240"/>
      <c r="C88" s="124"/>
      <c r="D88" s="124"/>
      <c r="E88" s="124"/>
      <c r="F88" s="146"/>
      <c r="G88" s="277"/>
      <c r="H88" s="98" t="s">
        <v>81</v>
      </c>
      <c r="I88" s="125"/>
      <c r="J88" s="125"/>
      <c r="K88" s="125">
        <f>-I88</f>
        <v>0</v>
      </c>
      <c r="L88" s="125"/>
      <c r="M88" s="125"/>
      <c r="N88" s="126">
        <f>-I88+[2]ordinario!I119</f>
        <v>64000000</v>
      </c>
    </row>
    <row r="89" spans="1:14" s="85" customFormat="1" ht="12.75" customHeight="1">
      <c r="A89" s="122"/>
      <c r="B89" s="240"/>
      <c r="C89" s="124"/>
      <c r="D89" s="124"/>
      <c r="E89" s="124"/>
      <c r="F89" s="146"/>
      <c r="G89" s="277"/>
      <c r="H89" s="98"/>
      <c r="I89" s="125"/>
      <c r="J89" s="125"/>
      <c r="K89" s="125"/>
      <c r="L89" s="125"/>
      <c r="M89" s="125"/>
      <c r="N89" s="126"/>
    </row>
    <row r="90" spans="1:14" s="85" customFormat="1" ht="12.75" customHeight="1">
      <c r="A90" s="122"/>
      <c r="B90" s="240"/>
      <c r="C90" s="124"/>
      <c r="D90" s="124"/>
      <c r="E90" s="124"/>
      <c r="F90" s="146" t="s">
        <v>442</v>
      </c>
      <c r="G90" s="277" t="s">
        <v>446</v>
      </c>
      <c r="H90" s="98" t="s">
        <v>81</v>
      </c>
      <c r="I90" s="125"/>
      <c r="J90" s="125"/>
      <c r="K90" s="125">
        <f>+I90</f>
        <v>0</v>
      </c>
      <c r="L90" s="125"/>
      <c r="M90" s="125"/>
      <c r="N90" s="126">
        <f>52412.04-I90</f>
        <v>52412.04</v>
      </c>
    </row>
    <row r="91" spans="1:14" s="85" customFormat="1" ht="12.75" customHeight="1">
      <c r="A91" s="122"/>
      <c r="B91" s="240"/>
      <c r="C91" s="124"/>
      <c r="D91" s="124"/>
      <c r="E91" s="124"/>
      <c r="F91" s="146"/>
      <c r="G91" s="277"/>
      <c r="H91" s="98"/>
      <c r="I91" s="125"/>
      <c r="J91" s="125"/>
      <c r="K91" s="125"/>
      <c r="L91" s="125"/>
      <c r="M91" s="125"/>
      <c r="N91" s="126"/>
    </row>
    <row r="92" spans="1:14" s="85" customFormat="1" ht="12.75" customHeight="1">
      <c r="A92" s="122"/>
      <c r="B92" s="240"/>
      <c r="C92" s="124"/>
      <c r="D92" s="124"/>
      <c r="E92" s="124"/>
      <c r="F92" s="146" t="s">
        <v>392</v>
      </c>
      <c r="G92" s="277" t="str">
        <f>+[2]ordinario!G120</f>
        <v>Atención Extraordinaria de mejoras Pluviales</v>
      </c>
      <c r="H92" s="98" t="s">
        <v>81</v>
      </c>
      <c r="I92" s="125">
        <v>215904016.46000001</v>
      </c>
      <c r="J92" s="125"/>
      <c r="K92" s="125">
        <f>+I92</f>
        <v>215904016.46000001</v>
      </c>
      <c r="L92" s="125"/>
      <c r="M92" s="125"/>
      <c r="N92" s="126">
        <f>-I92+[2]ordinario!I121</f>
        <v>135595983.53999999</v>
      </c>
    </row>
    <row r="93" spans="1:14" s="85" customFormat="1" ht="12.75" customHeight="1">
      <c r="A93" s="122"/>
      <c r="B93" s="240"/>
      <c r="C93" s="124"/>
      <c r="D93" s="124"/>
      <c r="E93" s="124"/>
      <c r="F93" s="146"/>
      <c r="G93" s="277"/>
      <c r="H93" s="98"/>
      <c r="I93" s="125"/>
      <c r="J93" s="125"/>
      <c r="K93" s="125"/>
      <c r="L93" s="125"/>
      <c r="M93" s="125"/>
      <c r="N93" s="126"/>
    </row>
    <row r="94" spans="1:14" s="85" customFormat="1" ht="12.75" customHeight="1">
      <c r="A94" s="122"/>
      <c r="B94" s="240"/>
      <c r="C94" s="124"/>
      <c r="D94" s="124"/>
      <c r="E94" s="124"/>
      <c r="F94" s="146" t="s">
        <v>451</v>
      </c>
      <c r="G94" s="277" t="s">
        <v>718</v>
      </c>
      <c r="H94" s="98" t="s">
        <v>81</v>
      </c>
      <c r="I94" s="125"/>
      <c r="J94" s="125"/>
      <c r="K94" s="125">
        <f>-I94</f>
        <v>0</v>
      </c>
      <c r="L94" s="125"/>
      <c r="M94" s="125"/>
      <c r="N94" s="126">
        <f>+[2]ordinario!I123-'3_Detalle Origen y Aplicación'!I94</f>
        <v>27000000</v>
      </c>
    </row>
    <row r="95" spans="1:14" s="85" customFormat="1" ht="12.75" customHeight="1">
      <c r="A95" s="122"/>
      <c r="B95" s="240"/>
      <c r="C95" s="124"/>
      <c r="D95" s="124"/>
      <c r="E95" s="124"/>
      <c r="F95" s="146"/>
      <c r="G95" s="277"/>
      <c r="H95" s="98"/>
      <c r="I95" s="125"/>
      <c r="J95" s="125"/>
      <c r="K95" s="125"/>
      <c r="L95" s="125"/>
      <c r="M95" s="125"/>
      <c r="N95" s="126"/>
    </row>
    <row r="96" spans="1:14" s="168" customFormat="1" ht="12.5" customHeight="1">
      <c r="A96" s="164"/>
      <c r="B96" s="239"/>
      <c r="C96" s="165"/>
      <c r="D96" s="165"/>
      <c r="E96" s="165"/>
      <c r="F96" s="165" t="s">
        <v>391</v>
      </c>
      <c r="G96" s="264" t="s">
        <v>691</v>
      </c>
      <c r="H96" s="167" t="s">
        <v>81</v>
      </c>
      <c r="I96" s="94">
        <v>46253163.020000003</v>
      </c>
      <c r="J96" s="94"/>
      <c r="K96" s="94">
        <f>+I96</f>
        <v>46253163.020000003</v>
      </c>
      <c r="L96" s="94"/>
      <c r="M96" s="94"/>
      <c r="N96" s="94">
        <v>0</v>
      </c>
    </row>
    <row r="97" spans="1:14" s="85" customFormat="1" ht="12.5" customHeight="1">
      <c r="A97" s="122"/>
      <c r="B97" s="240"/>
      <c r="C97" s="124"/>
      <c r="D97" s="124"/>
      <c r="E97" s="124"/>
      <c r="F97" s="124"/>
      <c r="G97" s="263"/>
      <c r="H97" s="98"/>
      <c r="I97" s="125"/>
      <c r="J97" s="125"/>
      <c r="K97" s="125"/>
      <c r="L97" s="125"/>
      <c r="M97" s="125"/>
      <c r="N97" s="125"/>
    </row>
    <row r="98" spans="1:14" s="85" customFormat="1" ht="12.5" customHeight="1">
      <c r="A98" s="122"/>
      <c r="B98" s="240"/>
      <c r="C98" s="124"/>
      <c r="D98" s="124"/>
      <c r="E98" s="124"/>
      <c r="F98" s="146" t="s">
        <v>717</v>
      </c>
      <c r="G98" s="277" t="s">
        <v>220</v>
      </c>
      <c r="H98" s="98" t="s">
        <v>77</v>
      </c>
      <c r="I98" s="125">
        <f>998661163.79-I400-I431</f>
        <v>533661163.78999996</v>
      </c>
      <c r="J98" s="125">
        <f>+I98</f>
        <v>533661163.78999996</v>
      </c>
      <c r="K98" s="125"/>
      <c r="L98" s="125"/>
      <c r="M98" s="125"/>
      <c r="N98" s="126">
        <f>-I98+[2]ordinario!I125-580000+10000000-580865.24-5000000</f>
        <v>57634130.827488191</v>
      </c>
    </row>
    <row r="99" spans="1:14" s="85" customFormat="1" ht="12.75" customHeight="1">
      <c r="A99" s="122"/>
      <c r="B99" s="240"/>
      <c r="C99" s="124"/>
      <c r="D99" s="124"/>
      <c r="E99" s="124"/>
      <c r="F99" s="146"/>
      <c r="G99" s="277"/>
      <c r="H99" s="98" t="s">
        <v>78</v>
      </c>
      <c r="I99" s="125">
        <f>176919759.56-I743</f>
        <v>82391870.460000008</v>
      </c>
      <c r="J99" s="125">
        <f>+I99</f>
        <v>82391870.460000008</v>
      </c>
      <c r="K99" s="125"/>
      <c r="L99" s="125"/>
      <c r="M99" s="125"/>
      <c r="N99" s="126">
        <f>-I99+[2]ordinario!I126-4000000+500000</f>
        <v>126296621.3475</v>
      </c>
    </row>
    <row r="100" spans="1:14" s="85" customFormat="1" ht="12.75" customHeight="1">
      <c r="A100" s="122"/>
      <c r="B100" s="240"/>
      <c r="C100" s="124"/>
      <c r="D100" s="124"/>
      <c r="E100" s="124"/>
      <c r="F100" s="146"/>
      <c r="G100" s="277"/>
      <c r="H100" s="98" t="s">
        <v>79</v>
      </c>
      <c r="I100" s="125">
        <f>195521665.73-I744</f>
        <v>64724323.129999995</v>
      </c>
      <c r="J100" s="125">
        <f>+I100</f>
        <v>64724323.129999995</v>
      </c>
      <c r="K100" s="125"/>
      <c r="L100" s="125"/>
      <c r="M100" s="125"/>
      <c r="N100" s="126">
        <f>-I100+[2]ordinario!I127-500000-5160000</f>
        <v>175615676.87</v>
      </c>
    </row>
    <row r="101" spans="1:14" s="85" customFormat="1" ht="12.75" customHeight="1">
      <c r="A101" s="122"/>
      <c r="B101" s="240"/>
      <c r="C101" s="124"/>
      <c r="D101" s="124"/>
      <c r="E101" s="124"/>
      <c r="F101" s="146"/>
      <c r="G101" s="277"/>
      <c r="H101" s="98" t="s">
        <v>81</v>
      </c>
      <c r="I101" s="125">
        <f>86504547.44-I745</f>
        <v>0</v>
      </c>
      <c r="J101" s="125"/>
      <c r="K101" s="125">
        <f>+I101</f>
        <v>0</v>
      </c>
      <c r="L101" s="125"/>
      <c r="M101" s="125"/>
      <c r="N101" s="126">
        <f>-I101+[2]ordinario!I128+4000000-10000000+5160000</f>
        <v>36841949.00000003</v>
      </c>
    </row>
    <row r="102" spans="1:14" s="85" customFormat="1" ht="12.75" customHeight="1">
      <c r="A102" s="122"/>
      <c r="B102" s="240"/>
      <c r="C102" s="124"/>
      <c r="D102" s="124"/>
      <c r="E102" s="124"/>
      <c r="F102" s="146"/>
      <c r="G102" s="277"/>
      <c r="H102" s="98" t="s">
        <v>82</v>
      </c>
      <c r="I102" s="125">
        <f>16323584.33-I210</f>
        <v>7920.6300000008196</v>
      </c>
      <c r="J102" s="125">
        <f>+I102</f>
        <v>7920.6300000008196</v>
      </c>
      <c r="K102" s="125"/>
      <c r="L102" s="125"/>
      <c r="M102" s="125"/>
      <c r="N102" s="126">
        <f>-I102+[2]ordinario!I129</f>
        <v>7404805.9000000004</v>
      </c>
    </row>
    <row r="103" spans="1:14" s="85" customFormat="1" ht="12.75" customHeight="1">
      <c r="A103" s="122"/>
      <c r="B103" s="240"/>
      <c r="C103" s="124"/>
      <c r="D103" s="124"/>
      <c r="E103" s="124"/>
      <c r="F103" s="146"/>
      <c r="G103" s="277"/>
      <c r="H103" s="98"/>
      <c r="I103" s="125"/>
      <c r="J103" s="125"/>
      <c r="K103" s="125"/>
      <c r="L103" s="125"/>
      <c r="M103" s="125"/>
      <c r="N103" s="126"/>
    </row>
    <row r="104" spans="1:14" s="85" customFormat="1" ht="25.5">
      <c r="A104" s="122"/>
      <c r="B104" s="240"/>
      <c r="C104" s="124"/>
      <c r="D104" s="124"/>
      <c r="E104" s="124"/>
      <c r="F104" s="146" t="s">
        <v>716</v>
      </c>
      <c r="G104" s="263" t="s">
        <v>715</v>
      </c>
      <c r="H104" s="98" t="s">
        <v>78</v>
      </c>
      <c r="I104" s="125"/>
      <c r="J104" s="125"/>
      <c r="K104" s="125">
        <f>+I104</f>
        <v>0</v>
      </c>
      <c r="L104" s="125"/>
      <c r="M104" s="125"/>
      <c r="N104" s="126">
        <f>5000000-I104</f>
        <v>5000000</v>
      </c>
    </row>
    <row r="105" spans="1:14" s="85" customFormat="1" ht="12.75" customHeight="1">
      <c r="A105" s="122"/>
      <c r="B105" s="240"/>
      <c r="C105" s="124"/>
      <c r="D105" s="124"/>
      <c r="E105" s="124"/>
      <c r="F105" s="146"/>
      <c r="G105" s="138"/>
      <c r="H105" s="98"/>
      <c r="I105" s="125"/>
      <c r="J105" s="125"/>
      <c r="K105" s="125"/>
      <c r="L105" s="125"/>
      <c r="M105" s="125"/>
      <c r="N105" s="126"/>
    </row>
    <row r="106" spans="1:14" s="85" customFormat="1" ht="12.75" customHeight="1">
      <c r="A106" s="122"/>
      <c r="B106" s="240"/>
      <c r="C106" s="124"/>
      <c r="D106" s="124"/>
      <c r="E106" s="124"/>
      <c r="F106" s="279" t="s">
        <v>221</v>
      </c>
      <c r="G106" s="278" t="s">
        <v>222</v>
      </c>
      <c r="H106" s="98"/>
      <c r="I106" s="125"/>
      <c r="J106" s="125">
        <f t="shared" ref="J106:J114" si="1">+I106</f>
        <v>0</v>
      </c>
      <c r="K106" s="125"/>
      <c r="L106" s="125"/>
      <c r="M106" s="125"/>
      <c r="N106" s="126"/>
    </row>
    <row r="107" spans="1:14" s="85" customFormat="1" ht="12.75" customHeight="1">
      <c r="A107" s="122"/>
      <c r="B107" s="240"/>
      <c r="C107" s="124"/>
      <c r="D107" s="124"/>
      <c r="E107" s="124"/>
      <c r="F107" s="281"/>
      <c r="G107" s="280" t="s">
        <v>223</v>
      </c>
      <c r="H107" s="98" t="s">
        <v>82</v>
      </c>
      <c r="I107" s="125">
        <v>60000000</v>
      </c>
      <c r="J107" s="125">
        <f t="shared" si="1"/>
        <v>60000000</v>
      </c>
      <c r="K107" s="125"/>
      <c r="L107" s="125"/>
      <c r="M107" s="125"/>
      <c r="N107" s="125">
        <f>-I107+[2]ordinario!I131</f>
        <v>0</v>
      </c>
    </row>
    <row r="108" spans="1:14" s="85" customFormat="1" ht="12.75" customHeight="1">
      <c r="A108" s="122"/>
      <c r="B108" s="240"/>
      <c r="C108" s="124"/>
      <c r="D108" s="124"/>
      <c r="E108" s="124"/>
      <c r="F108" s="281"/>
      <c r="G108" s="280" t="s">
        <v>224</v>
      </c>
      <c r="H108" s="98" t="s">
        <v>82</v>
      </c>
      <c r="I108" s="125">
        <v>30000000</v>
      </c>
      <c r="J108" s="125">
        <f t="shared" si="1"/>
        <v>30000000</v>
      </c>
      <c r="K108" s="125"/>
      <c r="L108" s="125"/>
      <c r="M108" s="125"/>
      <c r="N108" s="125">
        <f>-I108+[2]ordinario!I132</f>
        <v>0</v>
      </c>
    </row>
    <row r="109" spans="1:14" s="85" customFormat="1" ht="12.75" customHeight="1">
      <c r="A109" s="122"/>
      <c r="B109" s="240"/>
      <c r="C109" s="124"/>
      <c r="D109" s="124"/>
      <c r="E109" s="124"/>
      <c r="F109" s="281"/>
      <c r="G109" s="280" t="s">
        <v>225</v>
      </c>
      <c r="H109" s="98" t="s">
        <v>82</v>
      </c>
      <c r="I109" s="125">
        <v>15000000</v>
      </c>
      <c r="J109" s="125">
        <f t="shared" si="1"/>
        <v>15000000</v>
      </c>
      <c r="K109" s="125"/>
      <c r="L109" s="125"/>
      <c r="M109" s="125"/>
      <c r="N109" s="125">
        <f>-I109+[2]ordinario!I133</f>
        <v>0</v>
      </c>
    </row>
    <row r="110" spans="1:14" s="85" customFormat="1" ht="12.75" customHeight="1">
      <c r="A110" s="122"/>
      <c r="B110" s="240"/>
      <c r="C110" s="124"/>
      <c r="D110" s="124"/>
      <c r="E110" s="124"/>
      <c r="F110" s="281"/>
      <c r="G110" s="280" t="s">
        <v>226</v>
      </c>
      <c r="H110" s="98" t="s">
        <v>82</v>
      </c>
      <c r="I110" s="125">
        <v>15000000</v>
      </c>
      <c r="J110" s="125">
        <f t="shared" si="1"/>
        <v>15000000</v>
      </c>
      <c r="K110" s="125"/>
      <c r="L110" s="125"/>
      <c r="M110" s="125"/>
      <c r="N110" s="125">
        <f>-I110+[2]ordinario!I134</f>
        <v>0</v>
      </c>
    </row>
    <row r="111" spans="1:14" s="85" customFormat="1" ht="12.75" customHeight="1">
      <c r="A111" s="122"/>
      <c r="B111" s="240"/>
      <c r="C111" s="124"/>
      <c r="D111" s="124"/>
      <c r="E111" s="124"/>
      <c r="F111" s="281"/>
      <c r="G111" s="280" t="s">
        <v>227</v>
      </c>
      <c r="H111" s="98" t="s">
        <v>82</v>
      </c>
      <c r="I111" s="125">
        <v>30000000</v>
      </c>
      <c r="J111" s="125">
        <f t="shared" si="1"/>
        <v>30000000</v>
      </c>
      <c r="K111" s="125"/>
      <c r="L111" s="125"/>
      <c r="M111" s="125"/>
      <c r="N111" s="125">
        <f>-I111+[2]ordinario!I135+10000000</f>
        <v>0</v>
      </c>
    </row>
    <row r="112" spans="1:14" s="85" customFormat="1" ht="12.75" customHeight="1">
      <c r="A112" s="122"/>
      <c r="B112" s="240"/>
      <c r="C112" s="124"/>
      <c r="D112" s="124"/>
      <c r="E112" s="124"/>
      <c r="F112" s="279"/>
      <c r="G112" s="280" t="s">
        <v>228</v>
      </c>
      <c r="H112" s="98" t="s">
        <v>82</v>
      </c>
      <c r="I112" s="125">
        <v>75000000</v>
      </c>
      <c r="J112" s="125">
        <f t="shared" si="1"/>
        <v>75000000</v>
      </c>
      <c r="K112" s="125"/>
      <c r="L112" s="125"/>
      <c r="M112" s="125"/>
      <c r="N112" s="125">
        <f>-I112+[2]ordinario!I136</f>
        <v>0</v>
      </c>
    </row>
    <row r="113" spans="1:14" s="85" customFormat="1" ht="12.65" customHeight="1">
      <c r="A113" s="122"/>
      <c r="B113" s="240"/>
      <c r="C113" s="124"/>
      <c r="D113" s="124"/>
      <c r="E113" s="124"/>
      <c r="F113" s="281"/>
      <c r="G113" s="280" t="s">
        <v>714</v>
      </c>
      <c r="H113" s="98" t="s">
        <v>82</v>
      </c>
      <c r="I113" s="125">
        <v>30000000</v>
      </c>
      <c r="J113" s="125">
        <f t="shared" si="1"/>
        <v>30000000</v>
      </c>
      <c r="K113" s="125"/>
      <c r="L113" s="125"/>
      <c r="M113" s="125"/>
      <c r="N113" s="125">
        <f>-I113+[2]ordinario!I137</f>
        <v>0</v>
      </c>
    </row>
    <row r="114" spans="1:14" s="85" customFormat="1" ht="12.65" customHeight="1">
      <c r="A114" s="122"/>
      <c r="B114" s="240"/>
      <c r="C114" s="124"/>
      <c r="D114" s="124"/>
      <c r="E114" s="124"/>
      <c r="F114" s="281"/>
      <c r="G114" s="280" t="s">
        <v>229</v>
      </c>
      <c r="H114" s="98" t="s">
        <v>82</v>
      </c>
      <c r="I114" s="125">
        <v>20000000</v>
      </c>
      <c r="J114" s="125">
        <f t="shared" si="1"/>
        <v>20000000</v>
      </c>
      <c r="K114" s="125"/>
      <c r="L114" s="125"/>
      <c r="M114" s="125"/>
      <c r="N114" s="125">
        <f>-I114+[2]ordinario!I138</f>
        <v>0</v>
      </c>
    </row>
    <row r="115" spans="1:14" s="85" customFormat="1" ht="12.75" customHeight="1">
      <c r="A115" s="122"/>
      <c r="B115" s="240"/>
      <c r="C115" s="124"/>
      <c r="D115" s="124"/>
      <c r="E115" s="124"/>
      <c r="F115" s="146"/>
      <c r="G115" s="138"/>
      <c r="H115" s="98"/>
      <c r="I115" s="125"/>
      <c r="J115" s="125"/>
      <c r="K115" s="125"/>
      <c r="L115" s="125"/>
      <c r="M115" s="125"/>
      <c r="N115" s="126"/>
    </row>
    <row r="116" spans="1:14" s="85" customFormat="1" ht="12.75" customHeight="1">
      <c r="A116" s="122"/>
      <c r="B116" s="240"/>
      <c r="C116" s="124"/>
      <c r="D116" s="124"/>
      <c r="E116" s="124"/>
      <c r="F116" s="279" t="s">
        <v>713</v>
      </c>
      <c r="G116" s="278" t="s">
        <v>712</v>
      </c>
      <c r="H116" s="98" t="s">
        <v>83</v>
      </c>
      <c r="I116" s="125"/>
      <c r="J116" s="125"/>
      <c r="K116" s="125">
        <f>+I116</f>
        <v>0</v>
      </c>
      <c r="L116" s="125"/>
      <c r="M116" s="125"/>
      <c r="N116" s="126">
        <f>-I116+[2]ordinario!I150</f>
        <v>35000000</v>
      </c>
    </row>
    <row r="117" spans="1:14" s="85" customFormat="1" ht="12.75" customHeight="1">
      <c r="A117" s="122"/>
      <c r="B117" s="240"/>
      <c r="C117" s="124"/>
      <c r="D117" s="124"/>
      <c r="E117" s="124"/>
      <c r="F117" s="146"/>
      <c r="G117" s="138"/>
      <c r="H117" s="98"/>
      <c r="I117" s="125"/>
      <c r="J117" s="125"/>
      <c r="K117" s="125"/>
      <c r="L117" s="125"/>
      <c r="M117" s="125"/>
      <c r="N117" s="126"/>
    </row>
    <row r="118" spans="1:14" s="85" customFormat="1" ht="12.75" customHeight="1">
      <c r="A118" s="122"/>
      <c r="B118" s="240"/>
      <c r="C118" s="124"/>
      <c r="D118" s="124"/>
      <c r="E118" s="124"/>
      <c r="F118" s="146"/>
      <c r="G118" s="138"/>
      <c r="H118" s="98"/>
      <c r="I118" s="125"/>
      <c r="J118" s="125"/>
      <c r="K118" s="125"/>
      <c r="L118" s="125"/>
      <c r="M118" s="125"/>
      <c r="N118" s="126"/>
    </row>
    <row r="119" spans="1:14" s="85" customFormat="1" ht="12.65" customHeight="1">
      <c r="A119" s="122"/>
      <c r="B119" s="240"/>
      <c r="C119" s="124"/>
      <c r="D119" s="124"/>
      <c r="E119" s="124"/>
      <c r="F119" s="270" t="s">
        <v>230</v>
      </c>
      <c r="G119" s="97" t="s">
        <v>231</v>
      </c>
      <c r="H119" s="98" t="s">
        <v>85</v>
      </c>
      <c r="I119" s="125">
        <v>0</v>
      </c>
      <c r="J119" s="125">
        <f>+I119</f>
        <v>0</v>
      </c>
      <c r="K119" s="125"/>
      <c r="L119" s="125"/>
      <c r="M119" s="125"/>
      <c r="N119" s="126"/>
    </row>
    <row r="120" spans="1:14" s="85" customFormat="1" ht="12.75" customHeight="1">
      <c r="A120" s="122"/>
      <c r="B120" s="240"/>
      <c r="C120" s="124"/>
      <c r="D120" s="124"/>
      <c r="E120" s="124"/>
      <c r="F120" s="146" t="s">
        <v>171</v>
      </c>
      <c r="G120" s="97" t="s">
        <v>183</v>
      </c>
      <c r="H120" s="98" t="s">
        <v>82</v>
      </c>
      <c r="I120" s="125">
        <v>257998.32</v>
      </c>
      <c r="J120" s="125">
        <f>+I120</f>
        <v>257998.32</v>
      </c>
      <c r="K120" s="125"/>
      <c r="L120" s="125"/>
      <c r="M120" s="125"/>
      <c r="N120" s="126">
        <f>+($E$11-$D$11)*0.02-I120</f>
        <v>44522338.377799988</v>
      </c>
    </row>
    <row r="121" spans="1:14" s="85" customFormat="1" ht="12.75" customHeight="1">
      <c r="A121" s="122"/>
      <c r="B121" s="240"/>
      <c r="C121" s="124"/>
      <c r="D121" s="124"/>
      <c r="E121" s="124"/>
      <c r="F121" s="146" t="s">
        <v>171</v>
      </c>
      <c r="G121" s="97" t="s">
        <v>185</v>
      </c>
      <c r="H121" s="98" t="s">
        <v>82</v>
      </c>
      <c r="I121" s="125"/>
      <c r="J121" s="125"/>
      <c r="K121" s="125"/>
      <c r="L121" s="125"/>
      <c r="M121" s="125"/>
      <c r="N121" s="126">
        <f>+($E$11-$D$11)*0.1</f>
        <v>223901683.48899996</v>
      </c>
    </row>
    <row r="122" spans="1:14" s="85" customFormat="1" ht="12.75" customHeight="1">
      <c r="A122" s="122"/>
      <c r="B122" s="240"/>
      <c r="C122" s="124"/>
      <c r="D122" s="124"/>
      <c r="E122" s="124"/>
      <c r="F122" s="146" t="s">
        <v>171</v>
      </c>
      <c r="G122" s="97" t="s">
        <v>187</v>
      </c>
      <c r="H122" s="98" t="s">
        <v>82</v>
      </c>
      <c r="I122" s="125"/>
      <c r="J122" s="125"/>
      <c r="K122" s="125"/>
      <c r="L122" s="125"/>
      <c r="M122" s="125"/>
      <c r="N122" s="126">
        <f>+($E$11-$D$11)*0.01</f>
        <v>22390168.348899994</v>
      </c>
    </row>
    <row r="123" spans="1:14" s="85" customFormat="1" ht="12.75" customHeight="1">
      <c r="A123" s="122"/>
      <c r="B123" s="240"/>
      <c r="C123" s="124"/>
      <c r="D123" s="124"/>
      <c r="E123" s="124"/>
      <c r="F123" s="146" t="s">
        <v>171</v>
      </c>
      <c r="G123" s="277" t="s">
        <v>113</v>
      </c>
      <c r="H123" s="98"/>
      <c r="I123" s="125"/>
      <c r="J123" s="125"/>
      <c r="K123" s="125"/>
      <c r="L123" s="125"/>
      <c r="M123" s="125"/>
      <c r="N123" s="126">
        <f>+($E$11-$D$11)*0.04</f>
        <v>89560673.395599976</v>
      </c>
    </row>
    <row r="124" spans="1:14" s="85" customFormat="1" ht="12.75" customHeight="1">
      <c r="A124" s="122"/>
      <c r="B124" s="240"/>
      <c r="C124" s="124"/>
      <c r="D124" s="124"/>
      <c r="E124" s="124"/>
      <c r="F124" s="146"/>
      <c r="G124" s="97"/>
      <c r="H124" s="98"/>
      <c r="I124" s="125"/>
      <c r="J124" s="125"/>
      <c r="K124" s="125"/>
      <c r="L124" s="125"/>
      <c r="M124" s="125"/>
      <c r="N124" s="126"/>
    </row>
    <row r="125" spans="1:14" s="85" customFormat="1" ht="12.75" customHeight="1">
      <c r="A125" s="122"/>
      <c r="B125" s="240"/>
      <c r="C125" s="124"/>
      <c r="D125" s="124"/>
      <c r="E125" s="124"/>
      <c r="F125" s="270" t="s">
        <v>232</v>
      </c>
      <c r="G125" s="127"/>
      <c r="H125" s="98"/>
      <c r="I125" s="125"/>
      <c r="J125" s="125"/>
      <c r="K125" s="125"/>
      <c r="L125" s="125"/>
      <c r="M125" s="125"/>
      <c r="N125" s="126">
        <f>+($E$11-$D$11)*0.73</f>
        <v>1634482289.4696996</v>
      </c>
    </row>
    <row r="126" spans="1:14" s="85" customFormat="1" ht="12.75" customHeight="1">
      <c r="A126" s="111"/>
      <c r="B126" s="243"/>
      <c r="C126" s="112"/>
      <c r="D126" s="112"/>
      <c r="E126" s="112"/>
      <c r="F126" s="242"/>
      <c r="G126" s="113"/>
      <c r="H126" s="114"/>
      <c r="I126" s="115"/>
      <c r="J126" s="115"/>
      <c r="K126" s="115"/>
      <c r="L126" s="115"/>
      <c r="M126" s="115"/>
      <c r="N126" s="116"/>
    </row>
    <row r="127" spans="1:14" s="85" customFormat="1" ht="12.75" customHeight="1">
      <c r="A127" s="117" t="s">
        <v>233</v>
      </c>
      <c r="B127" s="275" t="s">
        <v>234</v>
      </c>
      <c r="C127" s="118"/>
      <c r="D127" s="118">
        <v>0</v>
      </c>
      <c r="E127" s="118">
        <v>348281.45</v>
      </c>
      <c r="F127" s="274"/>
      <c r="G127" s="119"/>
      <c r="H127" s="120"/>
      <c r="I127" s="121">
        <f t="shared" ref="I127:N127" si="2">SUM(I128:I133)</f>
        <v>0</v>
      </c>
      <c r="J127" s="121">
        <f t="shared" si="2"/>
        <v>0</v>
      </c>
      <c r="K127" s="121">
        <f t="shared" si="2"/>
        <v>0</v>
      </c>
      <c r="L127" s="121">
        <f t="shared" si="2"/>
        <v>0</v>
      </c>
      <c r="M127" s="121">
        <f t="shared" si="2"/>
        <v>0</v>
      </c>
      <c r="N127" s="121">
        <f t="shared" si="2"/>
        <v>348281.45</v>
      </c>
    </row>
    <row r="128" spans="1:14" s="85" customFormat="1" ht="12.75" customHeight="1">
      <c r="A128" s="122"/>
      <c r="B128" s="240"/>
      <c r="C128" s="124"/>
      <c r="D128" s="124"/>
      <c r="E128" s="124"/>
      <c r="F128" s="270" t="s">
        <v>171</v>
      </c>
      <c r="G128" s="174" t="s">
        <v>403</v>
      </c>
      <c r="H128" s="98" t="s">
        <v>83</v>
      </c>
      <c r="I128" s="125">
        <v>0</v>
      </c>
      <c r="J128" s="125">
        <v>0</v>
      </c>
      <c r="K128" s="125"/>
      <c r="L128" s="125"/>
      <c r="M128" s="125"/>
      <c r="N128" s="126">
        <v>0</v>
      </c>
    </row>
    <row r="129" spans="1:532" s="85" customFormat="1" ht="12.75" customHeight="1">
      <c r="A129" s="122"/>
      <c r="B129" s="240"/>
      <c r="C129" s="124"/>
      <c r="D129" s="124"/>
      <c r="E129" s="124"/>
      <c r="F129" s="270" t="s">
        <v>171</v>
      </c>
      <c r="G129" s="127" t="s">
        <v>235</v>
      </c>
      <c r="H129" s="98" t="s">
        <v>82</v>
      </c>
      <c r="I129" s="125">
        <v>0</v>
      </c>
      <c r="J129" s="125">
        <v>0</v>
      </c>
      <c r="K129" s="125"/>
      <c r="L129" s="125"/>
      <c r="M129" s="125"/>
      <c r="N129" s="126">
        <f>+$E$127*0.03</f>
        <v>10448.443499999999</v>
      </c>
    </row>
    <row r="130" spans="1:532" s="85" customFormat="1" ht="12.75" customHeight="1">
      <c r="A130" s="122"/>
      <c r="B130" s="240"/>
      <c r="C130" s="124"/>
      <c r="D130" s="124"/>
      <c r="E130" s="124"/>
      <c r="F130" s="146" t="s">
        <v>171</v>
      </c>
      <c r="G130" s="97" t="s">
        <v>187</v>
      </c>
      <c r="H130" s="98" t="s">
        <v>82</v>
      </c>
      <c r="I130" s="125"/>
      <c r="J130" s="125"/>
      <c r="K130" s="125"/>
      <c r="L130" s="125"/>
      <c r="M130" s="125"/>
      <c r="N130" s="126">
        <f>+$E$127*0.01</f>
        <v>3482.8145000000004</v>
      </c>
    </row>
    <row r="131" spans="1:532" s="85" customFormat="1" ht="12.75" customHeight="1">
      <c r="A131" s="122"/>
      <c r="B131" s="240"/>
      <c r="C131" s="124"/>
      <c r="D131" s="124"/>
      <c r="E131" s="124"/>
      <c r="F131" s="270" t="s">
        <v>171</v>
      </c>
      <c r="G131" s="97" t="s">
        <v>183</v>
      </c>
      <c r="H131" s="98" t="s">
        <v>82</v>
      </c>
      <c r="I131" s="125">
        <v>0</v>
      </c>
      <c r="J131" s="125">
        <v>0</v>
      </c>
      <c r="K131" s="125"/>
      <c r="L131" s="125"/>
      <c r="M131" s="125"/>
      <c r="N131" s="126">
        <f>+$E$127*0.02</f>
        <v>6965.6290000000008</v>
      </c>
    </row>
    <row r="132" spans="1:532" s="85" customFormat="1" ht="12.75" customHeight="1">
      <c r="A132" s="122"/>
      <c r="B132" s="240"/>
      <c r="C132" s="124"/>
      <c r="D132" s="124"/>
      <c r="E132" s="124"/>
      <c r="F132" s="270" t="s">
        <v>171</v>
      </c>
      <c r="G132" s="97" t="s">
        <v>185</v>
      </c>
      <c r="H132" s="98" t="s">
        <v>82</v>
      </c>
      <c r="I132" s="125">
        <v>0</v>
      </c>
      <c r="J132" s="125">
        <v>0</v>
      </c>
      <c r="K132" s="125"/>
      <c r="L132" s="125"/>
      <c r="M132" s="125"/>
      <c r="N132" s="126">
        <f>+$E$127*0.1</f>
        <v>34828.145000000004</v>
      </c>
    </row>
    <row r="133" spans="1:532" s="85" customFormat="1" ht="12.75" customHeight="1">
      <c r="A133" s="122"/>
      <c r="B133" s="240"/>
      <c r="C133" s="124"/>
      <c r="D133" s="124"/>
      <c r="E133" s="124"/>
      <c r="F133" s="270" t="s">
        <v>232</v>
      </c>
      <c r="G133" s="127"/>
      <c r="H133" s="98"/>
      <c r="I133" s="125"/>
      <c r="J133" s="125"/>
      <c r="K133" s="125"/>
      <c r="L133" s="125"/>
      <c r="M133" s="125"/>
      <c r="N133" s="126">
        <f>+$E$127*0.84</f>
        <v>292556.41800000001</v>
      </c>
    </row>
    <row r="134" spans="1:532" s="85" customFormat="1" ht="12.75" customHeight="1">
      <c r="A134" s="111"/>
      <c r="B134" s="243"/>
      <c r="C134" s="112"/>
      <c r="D134" s="112"/>
      <c r="E134" s="112"/>
      <c r="F134" s="242"/>
      <c r="G134" s="113"/>
      <c r="H134" s="114"/>
      <c r="I134" s="115"/>
      <c r="J134" s="115"/>
      <c r="K134" s="115"/>
      <c r="L134" s="115"/>
      <c r="M134" s="115"/>
      <c r="N134" s="116"/>
    </row>
    <row r="135" spans="1:532" s="85" customFormat="1" ht="27" customHeight="1">
      <c r="A135" s="128" t="s">
        <v>236</v>
      </c>
      <c r="B135" s="271" t="s">
        <v>237</v>
      </c>
      <c r="C135" s="95"/>
      <c r="D135" s="124">
        <f>+[2]ordinario!C163</f>
        <v>130000000</v>
      </c>
      <c r="E135" s="124">
        <v>274214654.00999999</v>
      </c>
      <c r="F135" s="103"/>
      <c r="G135" s="104"/>
      <c r="H135" s="130"/>
      <c r="I135" s="131">
        <f t="shared" ref="I135:N135" si="3">SUM(I136:I139)</f>
        <v>130000000</v>
      </c>
      <c r="J135" s="131">
        <f t="shared" si="3"/>
        <v>130000000</v>
      </c>
      <c r="K135" s="131">
        <f t="shared" si="3"/>
        <v>0</v>
      </c>
      <c r="L135" s="131">
        <f t="shared" si="3"/>
        <v>0</v>
      </c>
      <c r="M135" s="131">
        <f t="shared" si="3"/>
        <v>0</v>
      </c>
      <c r="N135" s="131">
        <f t="shared" si="3"/>
        <v>144214654.00999999</v>
      </c>
    </row>
    <row r="136" spans="1:532" s="85" customFormat="1" ht="12.75" customHeight="1">
      <c r="A136" s="128"/>
      <c r="B136" s="132"/>
      <c r="C136" s="95"/>
      <c r="D136" s="95"/>
      <c r="E136" s="95"/>
      <c r="F136" s="276" t="s">
        <v>178</v>
      </c>
      <c r="G136" s="108" t="s">
        <v>155</v>
      </c>
      <c r="H136" s="105" t="s">
        <v>78</v>
      </c>
      <c r="I136" s="99">
        <v>130000000</v>
      </c>
      <c r="J136" s="99">
        <f>+I136</f>
        <v>130000000</v>
      </c>
      <c r="K136" s="99"/>
      <c r="L136" s="99"/>
      <c r="M136" s="99"/>
      <c r="N136" s="100">
        <f>-I136+[2]ordinario!I165</f>
        <v>0</v>
      </c>
    </row>
    <row r="137" spans="1:532" s="85" customFormat="1" ht="12.75" customHeight="1">
      <c r="A137" s="128"/>
      <c r="B137" s="271"/>
      <c r="C137" s="95"/>
      <c r="D137" s="95"/>
      <c r="E137" s="95"/>
      <c r="F137" s="276" t="s">
        <v>171</v>
      </c>
      <c r="G137" s="108" t="s">
        <v>238</v>
      </c>
      <c r="H137" s="105" t="s">
        <v>82</v>
      </c>
      <c r="I137" s="99">
        <v>0</v>
      </c>
      <c r="J137" s="99">
        <f>+I137</f>
        <v>0</v>
      </c>
      <c r="K137" s="99"/>
      <c r="L137" s="99"/>
      <c r="M137" s="99"/>
      <c r="N137" s="100">
        <v>0</v>
      </c>
    </row>
    <row r="138" spans="1:532" s="85" customFormat="1" ht="12.75" customHeight="1">
      <c r="A138" s="128"/>
      <c r="B138" s="271"/>
      <c r="C138" s="95"/>
      <c r="D138" s="95"/>
      <c r="E138" s="95"/>
      <c r="F138" s="276" t="s">
        <v>230</v>
      </c>
      <c r="G138" s="108" t="s">
        <v>231</v>
      </c>
      <c r="H138" s="105" t="s">
        <v>85</v>
      </c>
      <c r="I138" s="99"/>
      <c r="J138" s="99">
        <f>+I138</f>
        <v>0</v>
      </c>
      <c r="K138" s="99"/>
      <c r="L138" s="99"/>
      <c r="M138" s="99"/>
      <c r="N138" s="100"/>
    </row>
    <row r="139" spans="1:532" s="85" customFormat="1" ht="12.75" customHeight="1">
      <c r="A139" s="106"/>
      <c r="B139" s="257"/>
      <c r="C139" s="95"/>
      <c r="D139" s="95"/>
      <c r="E139" s="95"/>
      <c r="F139" s="256" t="s">
        <v>239</v>
      </c>
      <c r="G139" s="104"/>
      <c r="H139" s="105"/>
      <c r="I139" s="99"/>
      <c r="J139" s="99"/>
      <c r="K139" s="99"/>
      <c r="L139" s="99"/>
      <c r="M139" s="99"/>
      <c r="N139" s="100">
        <f>+E135-D135</f>
        <v>144214654.00999999</v>
      </c>
    </row>
    <row r="140" spans="1:532" s="85" customFormat="1" ht="12.75" customHeight="1">
      <c r="A140" s="111"/>
      <c r="B140" s="243"/>
      <c r="C140" s="112"/>
      <c r="D140" s="112"/>
      <c r="E140" s="112"/>
      <c r="F140" s="242"/>
      <c r="G140" s="113"/>
      <c r="H140" s="114"/>
      <c r="I140" s="115"/>
      <c r="J140" s="115"/>
      <c r="K140" s="115"/>
      <c r="L140" s="115"/>
      <c r="M140" s="115"/>
      <c r="N140" s="116"/>
    </row>
    <row r="141" spans="1:532" s="85" customFormat="1" ht="12.75" customHeight="1">
      <c r="A141" s="117" t="s">
        <v>240</v>
      </c>
      <c r="B141" s="275" t="s">
        <v>241</v>
      </c>
      <c r="C141" s="124"/>
      <c r="D141" s="124">
        <v>0</v>
      </c>
      <c r="E141" s="124">
        <v>0</v>
      </c>
      <c r="F141" s="274"/>
      <c r="G141" s="119"/>
      <c r="H141" s="120"/>
      <c r="I141" s="121"/>
      <c r="J141" s="121"/>
      <c r="K141" s="121"/>
      <c r="L141" s="121"/>
      <c r="M141" s="121"/>
      <c r="N141" s="133">
        <f>SUM(N142)</f>
        <v>0</v>
      </c>
    </row>
    <row r="142" spans="1:532" s="85" customFormat="1" ht="12.75" customHeight="1">
      <c r="A142" s="122"/>
      <c r="B142" s="240"/>
      <c r="C142" s="124"/>
      <c r="D142" s="124"/>
      <c r="E142" s="124"/>
      <c r="F142" s="146" t="s">
        <v>239</v>
      </c>
      <c r="G142" s="127"/>
      <c r="H142" s="98"/>
      <c r="I142" s="125"/>
      <c r="J142" s="125"/>
      <c r="K142" s="125"/>
      <c r="L142" s="125"/>
      <c r="M142" s="125"/>
      <c r="N142" s="126">
        <f>+E141-D141</f>
        <v>0</v>
      </c>
    </row>
    <row r="143" spans="1:532" s="135" customFormat="1" ht="12.75" customHeight="1">
      <c r="A143" s="111"/>
      <c r="B143" s="243"/>
      <c r="C143" s="112"/>
      <c r="D143" s="112"/>
      <c r="E143" s="112"/>
      <c r="F143" s="253"/>
      <c r="G143" s="134"/>
      <c r="H143" s="114"/>
      <c r="I143" s="115"/>
      <c r="J143" s="115"/>
      <c r="K143" s="115"/>
      <c r="L143" s="115"/>
      <c r="M143" s="115"/>
      <c r="N143" s="116"/>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85"/>
      <c r="BK143" s="85"/>
      <c r="BL143" s="85"/>
      <c r="BM143" s="85"/>
      <c r="BN143" s="85"/>
      <c r="BO143" s="85"/>
      <c r="BP143" s="85"/>
      <c r="BQ143" s="85"/>
      <c r="BR143" s="85"/>
      <c r="BS143" s="85"/>
      <c r="BT143" s="85"/>
      <c r="BU143" s="85"/>
      <c r="BV143" s="85"/>
      <c r="BW143" s="85"/>
      <c r="BX143" s="85"/>
      <c r="BY143" s="85"/>
      <c r="BZ143" s="85"/>
      <c r="CA143" s="85"/>
      <c r="CB143" s="85"/>
      <c r="CC143" s="85"/>
      <c r="CD143" s="85"/>
      <c r="CE143" s="85"/>
      <c r="CF143" s="85"/>
      <c r="CG143" s="85"/>
      <c r="CH143" s="85"/>
      <c r="CI143" s="85"/>
      <c r="CJ143" s="85"/>
      <c r="CK143" s="85"/>
      <c r="CL143" s="85"/>
      <c r="CM143" s="85"/>
      <c r="CN143" s="85"/>
      <c r="CO143" s="85"/>
      <c r="CP143" s="85"/>
      <c r="CQ143" s="85"/>
      <c r="CR143" s="85"/>
      <c r="CS143" s="85"/>
      <c r="CT143" s="85"/>
      <c r="CU143" s="85"/>
      <c r="CV143" s="85"/>
      <c r="CW143" s="85"/>
      <c r="CX143" s="85"/>
      <c r="CY143" s="85"/>
      <c r="CZ143" s="85"/>
      <c r="DA143" s="85"/>
      <c r="DB143" s="85"/>
      <c r="DC143" s="85"/>
      <c r="DD143" s="85"/>
      <c r="DE143" s="85"/>
      <c r="DF143" s="85"/>
      <c r="DG143" s="85"/>
      <c r="DH143" s="85"/>
      <c r="DI143" s="85"/>
      <c r="DJ143" s="85"/>
      <c r="DK143" s="85"/>
      <c r="DL143" s="85"/>
      <c r="DM143" s="85"/>
      <c r="DN143" s="85"/>
      <c r="DO143" s="85"/>
      <c r="DP143" s="85"/>
      <c r="DQ143" s="85"/>
      <c r="DR143" s="85"/>
      <c r="DS143" s="85"/>
      <c r="DT143" s="85"/>
      <c r="DU143" s="85"/>
      <c r="DV143" s="85"/>
      <c r="DW143" s="85"/>
      <c r="DX143" s="85"/>
      <c r="DY143" s="85"/>
      <c r="DZ143" s="85"/>
      <c r="EA143" s="85"/>
      <c r="EB143" s="85"/>
      <c r="EC143" s="85"/>
      <c r="ED143" s="85"/>
      <c r="EE143" s="85"/>
      <c r="EF143" s="85"/>
      <c r="EG143" s="85"/>
      <c r="EH143" s="85"/>
      <c r="EI143" s="85"/>
      <c r="EJ143" s="85"/>
      <c r="EK143" s="85"/>
      <c r="EL143" s="85"/>
      <c r="EM143" s="85"/>
      <c r="EN143" s="85"/>
      <c r="EO143" s="85"/>
      <c r="EP143" s="85"/>
      <c r="EQ143" s="85"/>
      <c r="ER143" s="85"/>
      <c r="ES143" s="85"/>
      <c r="ET143" s="85"/>
      <c r="EU143" s="85"/>
      <c r="EV143" s="85"/>
      <c r="EW143" s="85"/>
      <c r="EX143" s="85"/>
      <c r="EY143" s="85"/>
      <c r="EZ143" s="85"/>
      <c r="FA143" s="85"/>
      <c r="FB143" s="85"/>
      <c r="FC143" s="85"/>
      <c r="FD143" s="85"/>
      <c r="FE143" s="85"/>
      <c r="FF143" s="85"/>
      <c r="FG143" s="85"/>
      <c r="FH143" s="85"/>
      <c r="FI143" s="85"/>
      <c r="FJ143" s="85"/>
      <c r="FK143" s="85"/>
      <c r="FL143" s="85"/>
      <c r="FM143" s="85"/>
      <c r="FN143" s="85"/>
      <c r="FO143" s="85"/>
      <c r="FP143" s="85"/>
      <c r="FQ143" s="85"/>
      <c r="FR143" s="85"/>
      <c r="FS143" s="85"/>
      <c r="FT143" s="85"/>
      <c r="FU143" s="85"/>
      <c r="FV143" s="85"/>
      <c r="FW143" s="85"/>
      <c r="FX143" s="85"/>
      <c r="FY143" s="85"/>
      <c r="FZ143" s="85"/>
      <c r="GA143" s="85"/>
      <c r="GB143" s="85"/>
      <c r="GC143" s="85"/>
      <c r="GD143" s="85"/>
      <c r="GE143" s="85"/>
      <c r="GF143" s="85"/>
      <c r="GG143" s="85"/>
      <c r="GH143" s="85"/>
      <c r="GI143" s="85"/>
      <c r="GJ143" s="85"/>
      <c r="GK143" s="85"/>
      <c r="GL143" s="85"/>
      <c r="GM143" s="85"/>
      <c r="GN143" s="85"/>
      <c r="GO143" s="85"/>
      <c r="GP143" s="85"/>
      <c r="GQ143" s="85"/>
      <c r="GR143" s="85"/>
      <c r="GS143" s="85"/>
      <c r="GT143" s="85"/>
      <c r="GU143" s="85"/>
      <c r="GV143" s="85"/>
      <c r="GW143" s="85"/>
      <c r="GX143" s="85"/>
      <c r="GY143" s="85"/>
      <c r="GZ143" s="85"/>
      <c r="HA143" s="85"/>
      <c r="HB143" s="85"/>
      <c r="HC143" s="85"/>
      <c r="HD143" s="85"/>
      <c r="HE143" s="85"/>
      <c r="HF143" s="85"/>
      <c r="HG143" s="85"/>
      <c r="HH143" s="85"/>
      <c r="HI143" s="85"/>
      <c r="HJ143" s="85"/>
      <c r="HK143" s="85"/>
      <c r="HL143" s="85"/>
      <c r="HM143" s="85"/>
      <c r="HN143" s="85"/>
      <c r="HO143" s="85"/>
      <c r="HP143" s="85"/>
      <c r="HQ143" s="85"/>
      <c r="HR143" s="85"/>
      <c r="HS143" s="85"/>
      <c r="HT143" s="85"/>
      <c r="HU143" s="85"/>
      <c r="HV143" s="85"/>
      <c r="HW143" s="85"/>
      <c r="HX143" s="85"/>
      <c r="HY143" s="85"/>
      <c r="HZ143" s="85"/>
      <c r="IA143" s="85"/>
      <c r="IB143" s="85"/>
      <c r="IC143" s="85"/>
      <c r="ID143" s="85"/>
      <c r="IE143" s="85"/>
      <c r="IF143" s="85"/>
      <c r="IG143" s="85"/>
      <c r="IH143" s="85"/>
      <c r="II143" s="85"/>
      <c r="IJ143" s="85"/>
      <c r="IK143" s="85"/>
      <c r="IL143" s="85"/>
      <c r="IM143" s="85"/>
      <c r="IN143" s="85"/>
      <c r="IO143" s="85"/>
      <c r="IP143" s="85"/>
      <c r="IQ143" s="85"/>
      <c r="IR143" s="85"/>
      <c r="IS143" s="85"/>
      <c r="IT143" s="85"/>
      <c r="IU143" s="85"/>
      <c r="IV143" s="85"/>
      <c r="IW143" s="85"/>
      <c r="IX143" s="85"/>
      <c r="IY143" s="85"/>
      <c r="IZ143" s="85"/>
      <c r="JA143" s="85"/>
      <c r="JB143" s="85"/>
      <c r="JC143" s="85"/>
      <c r="JD143" s="85"/>
      <c r="JE143" s="85"/>
      <c r="JF143" s="85"/>
      <c r="JG143" s="85"/>
      <c r="JH143" s="85"/>
      <c r="JI143" s="85"/>
      <c r="JJ143" s="85"/>
      <c r="JK143" s="85"/>
      <c r="JL143" s="85"/>
      <c r="JM143" s="85"/>
      <c r="JN143" s="85"/>
      <c r="JO143" s="85"/>
      <c r="JP143" s="85"/>
      <c r="JQ143" s="85"/>
      <c r="JR143" s="85"/>
      <c r="JS143" s="85"/>
      <c r="JT143" s="85"/>
      <c r="JU143" s="85"/>
      <c r="JV143" s="85"/>
      <c r="JW143" s="85"/>
      <c r="JX143" s="85"/>
      <c r="JY143" s="85"/>
      <c r="JZ143" s="85"/>
      <c r="KA143" s="85"/>
      <c r="KB143" s="85"/>
      <c r="KC143" s="85"/>
      <c r="KD143" s="85"/>
      <c r="KE143" s="85"/>
      <c r="KF143" s="85"/>
      <c r="KG143" s="85"/>
      <c r="KH143" s="85"/>
      <c r="KI143" s="85"/>
      <c r="KJ143" s="85"/>
      <c r="KK143" s="85"/>
      <c r="KL143" s="85"/>
      <c r="KM143" s="85"/>
      <c r="KN143" s="85"/>
      <c r="KO143" s="85"/>
      <c r="KP143" s="85"/>
      <c r="KQ143" s="85"/>
      <c r="KR143" s="85"/>
      <c r="KS143" s="85"/>
      <c r="KT143" s="85"/>
      <c r="KU143" s="85"/>
      <c r="KV143" s="85"/>
      <c r="KW143" s="85"/>
      <c r="KX143" s="85"/>
      <c r="KY143" s="85"/>
      <c r="KZ143" s="85"/>
      <c r="LA143" s="85"/>
      <c r="LB143" s="85"/>
      <c r="LC143" s="85"/>
      <c r="LD143" s="85"/>
      <c r="LE143" s="85"/>
      <c r="LF143" s="85"/>
      <c r="LG143" s="85"/>
      <c r="LH143" s="85"/>
      <c r="LI143" s="85"/>
      <c r="LJ143" s="85"/>
      <c r="LK143" s="85"/>
      <c r="LL143" s="85"/>
      <c r="LM143" s="85"/>
      <c r="LN143" s="85"/>
      <c r="LO143" s="85"/>
      <c r="LP143" s="85"/>
      <c r="LQ143" s="85"/>
      <c r="LR143" s="85"/>
      <c r="LS143" s="85"/>
      <c r="LT143" s="85"/>
      <c r="LU143" s="85"/>
      <c r="LV143" s="85"/>
      <c r="LW143" s="85"/>
      <c r="LX143" s="85"/>
      <c r="LY143" s="85"/>
      <c r="LZ143" s="85"/>
      <c r="MA143" s="85"/>
      <c r="MB143" s="85"/>
      <c r="MC143" s="85"/>
      <c r="MD143" s="85"/>
      <c r="ME143" s="85"/>
      <c r="MF143" s="85"/>
      <c r="MG143" s="85"/>
      <c r="MH143" s="85"/>
      <c r="MI143" s="85"/>
      <c r="MJ143" s="85"/>
      <c r="MK143" s="85"/>
      <c r="ML143" s="85"/>
      <c r="MM143" s="85"/>
      <c r="MN143" s="85"/>
      <c r="MO143" s="85"/>
      <c r="MP143" s="85"/>
      <c r="MQ143" s="85"/>
      <c r="MR143" s="85"/>
      <c r="MS143" s="85"/>
      <c r="MT143" s="85"/>
      <c r="MU143" s="85"/>
      <c r="MV143" s="85"/>
      <c r="MW143" s="85"/>
      <c r="MX143" s="85"/>
      <c r="MY143" s="85"/>
      <c r="MZ143" s="85"/>
      <c r="NA143" s="85"/>
      <c r="NB143" s="85"/>
      <c r="NC143" s="85"/>
      <c r="ND143" s="85"/>
      <c r="NE143" s="85"/>
      <c r="NF143" s="85"/>
      <c r="NG143" s="85"/>
      <c r="NH143" s="85"/>
      <c r="NI143" s="85"/>
      <c r="NJ143" s="85"/>
      <c r="NK143" s="85"/>
      <c r="NL143" s="85"/>
      <c r="NM143" s="85"/>
      <c r="NN143" s="85"/>
      <c r="NO143" s="85"/>
      <c r="NP143" s="85"/>
      <c r="NQ143" s="85"/>
      <c r="NR143" s="85"/>
      <c r="NS143" s="85"/>
      <c r="NT143" s="85"/>
      <c r="NU143" s="85"/>
      <c r="NV143" s="85"/>
      <c r="NW143" s="85"/>
      <c r="NX143" s="85"/>
      <c r="NY143" s="85"/>
      <c r="NZ143" s="85"/>
      <c r="OA143" s="85"/>
      <c r="OB143" s="85"/>
      <c r="OC143" s="85"/>
      <c r="OD143" s="85"/>
      <c r="OE143" s="85"/>
      <c r="OF143" s="85"/>
      <c r="OG143" s="85"/>
      <c r="OH143" s="85"/>
      <c r="OI143" s="85"/>
      <c r="OJ143" s="85"/>
      <c r="OK143" s="85"/>
      <c r="OL143" s="85"/>
      <c r="OM143" s="85"/>
      <c r="ON143" s="85"/>
      <c r="OO143" s="85"/>
      <c r="OP143" s="85"/>
      <c r="OQ143" s="85"/>
      <c r="OR143" s="85"/>
      <c r="OS143" s="85"/>
      <c r="OT143" s="85"/>
      <c r="OU143" s="85"/>
      <c r="OV143" s="85"/>
      <c r="OW143" s="85"/>
      <c r="OX143" s="85"/>
      <c r="OY143" s="85"/>
      <c r="OZ143" s="85"/>
      <c r="PA143" s="85"/>
      <c r="PB143" s="85"/>
      <c r="PC143" s="85"/>
      <c r="PD143" s="85"/>
      <c r="PE143" s="85"/>
      <c r="PF143" s="85"/>
      <c r="PG143" s="85"/>
      <c r="PH143" s="85"/>
      <c r="PI143" s="85"/>
      <c r="PJ143" s="85"/>
      <c r="PK143" s="85"/>
      <c r="PL143" s="85"/>
      <c r="PM143" s="85"/>
      <c r="PN143" s="85"/>
      <c r="PO143" s="85"/>
      <c r="PP143" s="85"/>
      <c r="PQ143" s="85"/>
      <c r="PR143" s="85"/>
      <c r="PS143" s="85"/>
      <c r="PT143" s="85"/>
      <c r="PU143" s="85"/>
      <c r="PV143" s="85"/>
      <c r="PW143" s="85"/>
      <c r="PX143" s="85"/>
      <c r="PY143" s="85"/>
      <c r="PZ143" s="85"/>
      <c r="QA143" s="85"/>
      <c r="QB143" s="85"/>
      <c r="QC143" s="85"/>
      <c r="QD143" s="85"/>
      <c r="QE143" s="85"/>
      <c r="QF143" s="85"/>
      <c r="QG143" s="85"/>
      <c r="QH143" s="85"/>
      <c r="QI143" s="85"/>
      <c r="QJ143" s="85"/>
      <c r="QK143" s="85"/>
      <c r="QL143" s="85"/>
      <c r="QM143" s="85"/>
      <c r="QN143" s="85"/>
      <c r="QO143" s="85"/>
      <c r="QP143" s="85"/>
      <c r="QQ143" s="85"/>
      <c r="QR143" s="85"/>
      <c r="QS143" s="85"/>
      <c r="QT143" s="85"/>
      <c r="QU143" s="85"/>
      <c r="QV143" s="85"/>
      <c r="QW143" s="85"/>
      <c r="QX143" s="85"/>
      <c r="QY143" s="85"/>
      <c r="QZ143" s="85"/>
      <c r="RA143" s="85"/>
      <c r="RB143" s="85"/>
      <c r="RC143" s="85"/>
      <c r="RD143" s="85"/>
      <c r="RE143" s="85"/>
      <c r="RF143" s="85"/>
      <c r="RG143" s="85"/>
      <c r="RH143" s="85"/>
      <c r="RI143" s="85"/>
      <c r="RJ143" s="85"/>
      <c r="RK143" s="85"/>
      <c r="RL143" s="85"/>
      <c r="RM143" s="85"/>
      <c r="RN143" s="85"/>
      <c r="RO143" s="85"/>
      <c r="RP143" s="85"/>
      <c r="RQ143" s="85"/>
      <c r="RR143" s="85"/>
      <c r="RS143" s="85"/>
      <c r="RT143" s="85"/>
      <c r="RU143" s="85"/>
      <c r="RV143" s="85"/>
      <c r="RW143" s="85"/>
      <c r="RX143" s="85"/>
      <c r="RY143" s="85"/>
      <c r="RZ143" s="85"/>
      <c r="SA143" s="85"/>
      <c r="SB143" s="85"/>
      <c r="SC143" s="85"/>
      <c r="SD143" s="85"/>
      <c r="SE143" s="85"/>
      <c r="SF143" s="85"/>
      <c r="SG143" s="85"/>
      <c r="SH143" s="85"/>
      <c r="SI143" s="85"/>
      <c r="SJ143" s="85"/>
      <c r="SK143" s="85"/>
      <c r="SL143" s="85"/>
      <c r="SM143" s="85"/>
      <c r="SN143" s="85"/>
      <c r="SO143" s="85"/>
      <c r="SP143" s="85"/>
      <c r="SQ143" s="85"/>
      <c r="SR143" s="85"/>
      <c r="SS143" s="85"/>
      <c r="ST143" s="85"/>
      <c r="SU143" s="85"/>
      <c r="SV143" s="85"/>
      <c r="SW143" s="85"/>
      <c r="SX143" s="85"/>
      <c r="SY143" s="85"/>
      <c r="SZ143" s="85"/>
      <c r="TA143" s="85"/>
      <c r="TB143" s="85"/>
      <c r="TC143" s="85"/>
      <c r="TD143" s="85"/>
      <c r="TE143" s="85"/>
      <c r="TF143" s="85"/>
      <c r="TG143" s="85"/>
      <c r="TH143" s="85"/>
      <c r="TI143" s="85"/>
      <c r="TJ143" s="85"/>
      <c r="TK143" s="85"/>
      <c r="TL143" s="85"/>
    </row>
    <row r="144" spans="1:532" s="85" customFormat="1" ht="12.75" customHeight="1">
      <c r="A144" s="128" t="s">
        <v>242</v>
      </c>
      <c r="B144" s="109" t="s">
        <v>243</v>
      </c>
      <c r="C144" s="95"/>
      <c r="D144" s="124">
        <f>+[2]ordinario!C180</f>
        <v>1100000000</v>
      </c>
      <c r="E144" s="124">
        <v>913249664.50999999</v>
      </c>
      <c r="F144" s="273"/>
      <c r="G144" s="136"/>
      <c r="H144" s="105"/>
      <c r="I144" s="94">
        <f t="shared" ref="I144:N144" si="4">SUM(I145:I168)</f>
        <v>296328992.95000064</v>
      </c>
      <c r="J144" s="94">
        <f t="shared" si="4"/>
        <v>174562494.57000065</v>
      </c>
      <c r="K144" s="94">
        <f t="shared" si="4"/>
        <v>121766498.38</v>
      </c>
      <c r="L144" s="94">
        <f t="shared" si="4"/>
        <v>0</v>
      </c>
      <c r="M144" s="94">
        <f t="shared" si="4"/>
        <v>0</v>
      </c>
      <c r="N144" s="94">
        <f t="shared" si="4"/>
        <v>616920671.55999959</v>
      </c>
    </row>
    <row r="145" spans="1:14" s="85" customFormat="1" ht="12.75" customHeight="1">
      <c r="A145" s="106"/>
      <c r="B145" s="257"/>
      <c r="C145" s="95"/>
      <c r="D145" s="95"/>
      <c r="E145" s="95"/>
      <c r="F145" s="256" t="s">
        <v>178</v>
      </c>
      <c r="G145" s="108" t="s">
        <v>155</v>
      </c>
      <c r="H145" s="105" t="s">
        <v>77</v>
      </c>
      <c r="I145" s="272">
        <f>4684679327.76-I171-I175-I179-I221-I258-I273-I284-I292-I307-I320-I327-I340-I351-I362-I368-I372-I376-I387-I393-I468-I12</f>
        <v>168937494.57000065</v>
      </c>
      <c r="J145" s="99">
        <f>+I145</f>
        <v>168937494.57000065</v>
      </c>
      <c r="K145" s="99"/>
      <c r="L145" s="99"/>
      <c r="M145" s="99"/>
      <c r="N145" s="100">
        <f>-I145+[2]ordinario!I182-186750335.49</f>
        <v>519703855.8599993</v>
      </c>
    </row>
    <row r="146" spans="1:14" s="85" customFormat="1" ht="12.75" customHeight="1">
      <c r="A146" s="106"/>
      <c r="B146" s="257"/>
      <c r="C146" s="95"/>
      <c r="D146" s="95"/>
      <c r="E146" s="95"/>
      <c r="F146" s="256"/>
      <c r="G146" s="107"/>
      <c r="H146" s="105"/>
      <c r="I146" s="272"/>
      <c r="J146" s="272"/>
      <c r="K146" s="99"/>
      <c r="L146" s="99"/>
      <c r="M146" s="99"/>
      <c r="N146" s="100"/>
    </row>
    <row r="147" spans="1:14" s="85" customFormat="1" ht="12.75" customHeight="1">
      <c r="A147" s="106"/>
      <c r="B147" s="257"/>
      <c r="C147" s="95"/>
      <c r="D147" s="95"/>
      <c r="E147" s="95"/>
      <c r="F147" s="256" t="s">
        <v>208</v>
      </c>
      <c r="G147" s="108" t="str">
        <f>+[2]ordinario!G185</f>
        <v>Salón Multiusos los Targuaces, Distrito Desamparados</v>
      </c>
      <c r="H147" s="105" t="s">
        <v>78</v>
      </c>
      <c r="I147" s="272">
        <v>5625000</v>
      </c>
      <c r="J147" s="272">
        <f>+I147</f>
        <v>5625000</v>
      </c>
      <c r="K147" s="99"/>
      <c r="L147" s="99"/>
      <c r="M147" s="99"/>
      <c r="N147" s="100">
        <f>-I147+[2]ordinario!I186</f>
        <v>19375000</v>
      </c>
    </row>
    <row r="148" spans="1:14" s="85" customFormat="1" ht="12.75" customHeight="1">
      <c r="A148" s="106"/>
      <c r="B148" s="257"/>
      <c r="C148" s="95"/>
      <c r="D148" s="95"/>
      <c r="E148" s="95"/>
      <c r="F148" s="256"/>
      <c r="G148" s="108"/>
      <c r="H148" s="105"/>
      <c r="I148" s="272"/>
      <c r="J148" s="272"/>
      <c r="K148" s="99"/>
      <c r="L148" s="99"/>
      <c r="M148" s="99"/>
      <c r="N148" s="100"/>
    </row>
    <row r="149" spans="1:14" s="85" customFormat="1" ht="12.75" customHeight="1">
      <c r="A149" s="106"/>
      <c r="B149" s="257"/>
      <c r="C149" s="95"/>
      <c r="D149" s="95"/>
      <c r="E149" s="95"/>
      <c r="F149" s="256" t="s">
        <v>209</v>
      </c>
      <c r="G149" s="108" t="str">
        <f>+[2]ordinario!G188</f>
        <v>Salón Comunal de  San Martín</v>
      </c>
      <c r="H149" s="105" t="s">
        <v>78</v>
      </c>
      <c r="I149" s="272">
        <v>11975000</v>
      </c>
      <c r="J149" s="272"/>
      <c r="K149" s="99">
        <f>+I149</f>
        <v>11975000</v>
      </c>
      <c r="L149" s="99"/>
      <c r="M149" s="99"/>
      <c r="N149" s="100">
        <f>-I149+[2]ordinario!I189</f>
        <v>3025000</v>
      </c>
    </row>
    <row r="150" spans="1:14" s="85" customFormat="1" ht="12.75" customHeight="1">
      <c r="A150" s="106"/>
      <c r="B150" s="257"/>
      <c r="C150" s="95"/>
      <c r="D150" s="95"/>
      <c r="E150" s="95"/>
      <c r="F150" s="256"/>
      <c r="G150" s="108"/>
      <c r="H150" s="105" t="s">
        <v>81</v>
      </c>
      <c r="I150" s="272"/>
      <c r="J150" s="272"/>
      <c r="K150" s="99">
        <f>+I150</f>
        <v>0</v>
      </c>
      <c r="L150" s="99"/>
      <c r="M150" s="99"/>
      <c r="N150" s="100">
        <f>-I150+[2]ordinario!I190</f>
        <v>25640000</v>
      </c>
    </row>
    <row r="151" spans="1:14" s="85" customFormat="1" ht="12.75" customHeight="1">
      <c r="A151" s="106"/>
      <c r="B151" s="257"/>
      <c r="C151" s="95"/>
      <c r="D151" s="95"/>
      <c r="E151" s="95"/>
      <c r="F151" s="256"/>
      <c r="G151" s="107"/>
      <c r="H151" s="105"/>
      <c r="I151" s="272"/>
      <c r="J151" s="272"/>
      <c r="K151" s="99"/>
      <c r="L151" s="99"/>
      <c r="M151" s="99"/>
      <c r="N151" s="100"/>
    </row>
    <row r="152" spans="1:14" s="85" customFormat="1" ht="12.75" customHeight="1">
      <c r="A152" s="106"/>
      <c r="B152" s="257"/>
      <c r="C152" s="95"/>
      <c r="D152" s="95"/>
      <c r="E152" s="95"/>
      <c r="F152" s="256" t="s">
        <v>211</v>
      </c>
      <c r="G152" s="108" t="str">
        <f>+[2]ordinario!G191</f>
        <v>Escuela Julia Fernandez Rodriguez  en San Rafael</v>
      </c>
      <c r="H152" s="105" t="s">
        <v>81</v>
      </c>
      <c r="I152" s="272">
        <v>15000000</v>
      </c>
      <c r="J152" s="272"/>
      <c r="K152" s="99">
        <f>+I152</f>
        <v>15000000</v>
      </c>
      <c r="L152" s="99"/>
      <c r="M152" s="99"/>
      <c r="N152" s="100">
        <f>-I152+[2]ordinario!I192</f>
        <v>0</v>
      </c>
    </row>
    <row r="153" spans="1:14" s="85" customFormat="1" ht="12.75" customHeight="1">
      <c r="A153" s="106"/>
      <c r="B153" s="257"/>
      <c r="C153" s="95"/>
      <c r="D153" s="95"/>
      <c r="E153" s="95"/>
      <c r="F153" s="256"/>
      <c r="G153" s="108"/>
      <c r="H153" s="105"/>
      <c r="I153" s="272"/>
      <c r="J153" s="272"/>
      <c r="K153" s="99"/>
      <c r="L153" s="99"/>
      <c r="M153" s="99"/>
      <c r="N153" s="100"/>
    </row>
    <row r="154" spans="1:14" s="85" customFormat="1" ht="12.75" customHeight="1">
      <c r="A154" s="106"/>
      <c r="B154" s="257"/>
      <c r="C154" s="95"/>
      <c r="D154" s="95"/>
      <c r="E154" s="95"/>
      <c r="F154" s="256" t="s">
        <v>434</v>
      </c>
      <c r="G154" s="108" t="str">
        <f>+[2]ordinario!G193</f>
        <v>Mejoras de Infraestructura del Liceo de Sabanilla</v>
      </c>
      <c r="H154" s="105" t="s">
        <v>78</v>
      </c>
      <c r="I154" s="272">
        <v>10081466.41</v>
      </c>
      <c r="J154" s="272"/>
      <c r="K154" s="99">
        <f>+I154</f>
        <v>10081466.41</v>
      </c>
      <c r="L154" s="99"/>
      <c r="M154" s="99"/>
      <c r="N154" s="100">
        <f>-I154+[2]ordinario!I194+3000000</f>
        <v>1918533.5899999999</v>
      </c>
    </row>
    <row r="155" spans="1:14" s="85" customFormat="1" ht="12.75" customHeight="1">
      <c r="A155" s="106"/>
      <c r="B155" s="257"/>
      <c r="C155" s="95"/>
      <c r="D155" s="95"/>
      <c r="E155" s="95"/>
      <c r="F155" s="256"/>
      <c r="G155" s="108"/>
      <c r="H155" s="105" t="s">
        <v>81</v>
      </c>
      <c r="I155" s="272">
        <v>80951731.969999999</v>
      </c>
      <c r="J155" s="272"/>
      <c r="K155" s="99">
        <f>+I155</f>
        <v>80951731.969999999</v>
      </c>
      <c r="L155" s="99"/>
      <c r="M155" s="99"/>
      <c r="N155" s="100">
        <f>-I155+[2]ordinario!I195-3000000</f>
        <v>6048268.0300000012</v>
      </c>
    </row>
    <row r="156" spans="1:14" s="85" customFormat="1" ht="12.75" customHeight="1">
      <c r="A156" s="106"/>
      <c r="B156" s="257"/>
      <c r="C156" s="95"/>
      <c r="D156" s="95"/>
      <c r="E156" s="95"/>
      <c r="F156" s="256"/>
      <c r="G156" s="108"/>
      <c r="H156" s="105"/>
      <c r="I156" s="272"/>
      <c r="J156" s="272"/>
      <c r="K156" s="99"/>
      <c r="L156" s="99"/>
      <c r="M156" s="99"/>
      <c r="N156" s="100"/>
    </row>
    <row r="157" spans="1:14" s="85" customFormat="1" ht="12.75" customHeight="1">
      <c r="A157" s="106"/>
      <c r="B157" s="257"/>
      <c r="C157" s="95"/>
      <c r="D157" s="95"/>
      <c r="E157" s="95"/>
      <c r="F157" s="256" t="s">
        <v>245</v>
      </c>
      <c r="G157" s="108" t="str">
        <f>+[2]ordinario!G196</f>
        <v>Mantenimiento Periòdico de la Red Vial Cantonal</v>
      </c>
      <c r="H157" s="105" t="s">
        <v>81</v>
      </c>
      <c r="I157" s="272"/>
      <c r="J157" s="272"/>
      <c r="K157" s="99">
        <f>+I157</f>
        <v>0</v>
      </c>
      <c r="L157" s="99"/>
      <c r="M157" s="99"/>
      <c r="N157" s="100">
        <f>-I157+[2]ordinario!I197</f>
        <v>968314.08000028133</v>
      </c>
    </row>
    <row r="158" spans="1:14" s="85" customFormat="1" ht="12.75" customHeight="1">
      <c r="A158" s="106"/>
      <c r="B158" s="257"/>
      <c r="C158" s="95"/>
      <c r="D158" s="95"/>
      <c r="E158" s="95"/>
      <c r="F158" s="256"/>
      <c r="G158" s="108"/>
      <c r="H158" s="105"/>
      <c r="I158" s="272"/>
      <c r="J158" s="272"/>
      <c r="K158" s="99"/>
      <c r="L158" s="99"/>
      <c r="M158" s="99"/>
      <c r="N158" s="100"/>
    </row>
    <row r="159" spans="1:14" s="85" customFormat="1" ht="23.15" customHeight="1">
      <c r="A159" s="106"/>
      <c r="B159" s="257"/>
      <c r="C159" s="95"/>
      <c r="D159" s="95"/>
      <c r="E159" s="95"/>
      <c r="F159" s="256" t="s">
        <v>248</v>
      </c>
      <c r="G159" s="108" t="str">
        <f>+[2]ordinario!G198</f>
        <v>Mejoras Canchas Multiusos de la Urbanización Los Portones, Distrito de San Rafael</v>
      </c>
      <c r="H159" s="105" t="s">
        <v>81</v>
      </c>
      <c r="I159" s="272"/>
      <c r="J159" s="272"/>
      <c r="K159" s="99">
        <f>+I159</f>
        <v>0</v>
      </c>
      <c r="L159" s="99"/>
      <c r="M159" s="99"/>
      <c r="N159" s="100">
        <f>-I159+[2]ordinario!I199</f>
        <v>15000000</v>
      </c>
    </row>
    <row r="160" spans="1:14" s="85" customFormat="1" ht="12.75" customHeight="1">
      <c r="A160" s="106"/>
      <c r="B160" s="257"/>
      <c r="C160" s="95"/>
      <c r="D160" s="95"/>
      <c r="E160" s="95"/>
      <c r="F160" s="256"/>
      <c r="G160" s="108"/>
      <c r="H160" s="105"/>
      <c r="I160" s="272"/>
      <c r="J160" s="272"/>
      <c r="K160" s="99"/>
      <c r="L160" s="99"/>
      <c r="M160" s="99"/>
      <c r="N160" s="100"/>
    </row>
    <row r="161" spans="1:532" s="85" customFormat="1" ht="12.75" customHeight="1">
      <c r="A161" s="106"/>
      <c r="B161" s="257"/>
      <c r="C161" s="95"/>
      <c r="D161" s="95"/>
      <c r="E161" s="95"/>
      <c r="F161" s="256" t="s">
        <v>502</v>
      </c>
      <c r="G161" s="108" t="str">
        <f>+[2]ordinario!G200</f>
        <v>Construcción Cancha Multiuso Residencial Elizabeth</v>
      </c>
      <c r="H161" s="105" t="s">
        <v>78</v>
      </c>
      <c r="I161" s="272"/>
      <c r="J161" s="272"/>
      <c r="K161" s="99">
        <f>+I161</f>
        <v>0</v>
      </c>
      <c r="L161" s="99"/>
      <c r="M161" s="99"/>
      <c r="N161" s="100">
        <f>-I161+[2]ordinario!I201-1765000</f>
        <v>2235000</v>
      </c>
    </row>
    <row r="162" spans="1:532" s="85" customFormat="1" ht="12.75" customHeight="1">
      <c r="A162" s="106"/>
      <c r="B162" s="257"/>
      <c r="C162" s="95"/>
      <c r="D162" s="95"/>
      <c r="E162" s="95"/>
      <c r="F162" s="256"/>
      <c r="G162" s="108"/>
      <c r="H162" s="105" t="s">
        <v>81</v>
      </c>
      <c r="I162" s="272"/>
      <c r="J162" s="272"/>
      <c r="K162" s="99">
        <f>+I162</f>
        <v>0</v>
      </c>
      <c r="L162" s="99"/>
      <c r="M162" s="99"/>
      <c r="N162" s="100">
        <f>-I162+[2]ordinario!I204+1765000</f>
        <v>6765000</v>
      </c>
    </row>
    <row r="163" spans="1:532" s="85" customFormat="1" ht="12.75" customHeight="1">
      <c r="A163" s="106"/>
      <c r="B163" s="257"/>
      <c r="C163" s="95"/>
      <c r="D163" s="95"/>
      <c r="E163" s="95"/>
      <c r="F163" s="256"/>
      <c r="G163" s="108"/>
      <c r="H163" s="105"/>
      <c r="I163" s="272"/>
      <c r="J163" s="272"/>
      <c r="K163" s="99"/>
      <c r="L163" s="99"/>
      <c r="M163" s="99"/>
      <c r="N163" s="100"/>
    </row>
    <row r="164" spans="1:532" s="85" customFormat="1" ht="12.75" customHeight="1">
      <c r="A164" s="106"/>
      <c r="B164" s="257"/>
      <c r="C164" s="95"/>
      <c r="D164" s="95"/>
      <c r="E164" s="95"/>
      <c r="F164" s="256" t="s">
        <v>466</v>
      </c>
      <c r="G164" s="108" t="str">
        <f>+[2]ordinario!G205</f>
        <v>Equipamiento del Salón Comunal de la ADI de San Isidro</v>
      </c>
      <c r="H164" s="105" t="s">
        <v>78</v>
      </c>
      <c r="I164" s="272"/>
      <c r="J164" s="272">
        <f>+I164</f>
        <v>0</v>
      </c>
      <c r="K164" s="99"/>
      <c r="L164" s="99"/>
      <c r="M164" s="99"/>
      <c r="N164" s="100">
        <f>-I164+[2]ordinario!I206</f>
        <v>3750000</v>
      </c>
    </row>
    <row r="165" spans="1:532" s="85" customFormat="1" ht="12.75" customHeight="1">
      <c r="A165" s="106"/>
      <c r="B165" s="257"/>
      <c r="C165" s="95"/>
      <c r="D165" s="95"/>
      <c r="E165" s="95"/>
      <c r="F165" s="256"/>
      <c r="G165" s="108"/>
      <c r="H165" s="105" t="s">
        <v>79</v>
      </c>
      <c r="I165" s="272"/>
      <c r="J165" s="272">
        <f>+I165</f>
        <v>0</v>
      </c>
      <c r="K165" s="99"/>
      <c r="L165" s="99"/>
      <c r="M165" s="99"/>
      <c r="N165" s="100">
        <f>-I165+[2]ordinario!I207</f>
        <v>1000000</v>
      </c>
    </row>
    <row r="166" spans="1:532" s="85" customFormat="1" ht="12.75" customHeight="1">
      <c r="A166" s="106"/>
      <c r="B166" s="257"/>
      <c r="C166" s="95"/>
      <c r="D166" s="95"/>
      <c r="E166" s="95"/>
      <c r="F166" s="256"/>
      <c r="G166" s="108"/>
      <c r="H166" s="105" t="s">
        <v>81</v>
      </c>
      <c r="I166" s="272">
        <v>3758300</v>
      </c>
      <c r="J166" s="272"/>
      <c r="K166" s="99">
        <f>+I166</f>
        <v>3758300</v>
      </c>
      <c r="L166" s="99"/>
      <c r="M166" s="99"/>
      <c r="N166" s="100">
        <f>-I166+[2]ordinario!I208</f>
        <v>11491700</v>
      </c>
    </row>
    <row r="167" spans="1:532" s="85" customFormat="1" ht="12.75" customHeight="1">
      <c r="A167" s="106"/>
      <c r="B167" s="257"/>
      <c r="C167" s="95"/>
      <c r="D167" s="95"/>
      <c r="E167" s="95"/>
      <c r="F167" s="256"/>
      <c r="G167" s="108"/>
      <c r="H167" s="105"/>
      <c r="I167" s="272"/>
      <c r="J167" s="272"/>
      <c r="K167" s="99"/>
      <c r="L167" s="99"/>
      <c r="M167" s="99"/>
      <c r="N167" s="100"/>
    </row>
    <row r="168" spans="1:532" s="85" customFormat="1" ht="12.75" customHeight="1">
      <c r="A168" s="106"/>
      <c r="B168" s="257"/>
      <c r="C168" s="95"/>
      <c r="D168" s="95"/>
      <c r="E168" s="95"/>
      <c r="F168" s="256" t="s">
        <v>239</v>
      </c>
      <c r="G168" s="107"/>
      <c r="H168" s="105"/>
      <c r="I168" s="272"/>
      <c r="J168" s="272"/>
      <c r="K168" s="99"/>
      <c r="L168" s="99"/>
      <c r="M168" s="99"/>
      <c r="N168" s="100">
        <v>0</v>
      </c>
    </row>
    <row r="169" spans="1:532" s="135" customFormat="1" ht="12.75" customHeight="1">
      <c r="A169" s="111"/>
      <c r="B169" s="243"/>
      <c r="C169" s="112"/>
      <c r="D169" s="112"/>
      <c r="E169" s="112"/>
      <c r="F169" s="242"/>
      <c r="G169" s="113"/>
      <c r="H169" s="114"/>
      <c r="I169" s="115"/>
      <c r="J169" s="115"/>
      <c r="K169" s="115"/>
      <c r="L169" s="115"/>
      <c r="M169" s="115"/>
      <c r="N169" s="116"/>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c r="BM169" s="85"/>
      <c r="BN169" s="85"/>
      <c r="BO169" s="85"/>
      <c r="BP169" s="85"/>
      <c r="BQ169" s="85"/>
      <c r="BR169" s="85"/>
      <c r="BS169" s="85"/>
      <c r="BT169" s="85"/>
      <c r="BU169" s="85"/>
      <c r="BV169" s="85"/>
      <c r="BW169" s="85"/>
      <c r="BX169" s="85"/>
      <c r="BY169" s="85"/>
      <c r="BZ169" s="85"/>
      <c r="CA169" s="85"/>
      <c r="CB169" s="85"/>
      <c r="CC169" s="85"/>
      <c r="CD169" s="85"/>
      <c r="CE169" s="85"/>
      <c r="CF169" s="85"/>
      <c r="CG169" s="85"/>
      <c r="CH169" s="85"/>
      <c r="CI169" s="85"/>
      <c r="CJ169" s="85"/>
      <c r="CK169" s="85"/>
      <c r="CL169" s="85"/>
      <c r="CM169" s="85"/>
      <c r="CN169" s="85"/>
      <c r="CO169" s="85"/>
      <c r="CP169" s="85"/>
      <c r="CQ169" s="85"/>
      <c r="CR169" s="85"/>
      <c r="CS169" s="85"/>
      <c r="CT169" s="85"/>
      <c r="CU169" s="85"/>
      <c r="CV169" s="85"/>
      <c r="CW169" s="85"/>
      <c r="CX169" s="85"/>
      <c r="CY169" s="85"/>
      <c r="CZ169" s="85"/>
      <c r="DA169" s="85"/>
      <c r="DB169" s="85"/>
      <c r="DC169" s="85"/>
      <c r="DD169" s="85"/>
      <c r="DE169" s="85"/>
      <c r="DF169" s="85"/>
      <c r="DG169" s="85"/>
      <c r="DH169" s="85"/>
      <c r="DI169" s="85"/>
      <c r="DJ169" s="85"/>
      <c r="DK169" s="85"/>
      <c r="DL169" s="85"/>
      <c r="DM169" s="85"/>
      <c r="DN169" s="85"/>
      <c r="DO169" s="85"/>
      <c r="DP169" s="85"/>
      <c r="DQ169" s="85"/>
      <c r="DR169" s="85"/>
      <c r="DS169" s="85"/>
      <c r="DT169" s="85"/>
      <c r="DU169" s="85"/>
      <c r="DV169" s="85"/>
      <c r="DW169" s="85"/>
      <c r="DX169" s="85"/>
      <c r="DY169" s="85"/>
      <c r="DZ169" s="85"/>
      <c r="EA169" s="85"/>
      <c r="EB169" s="85"/>
      <c r="EC169" s="85"/>
      <c r="ED169" s="85"/>
      <c r="EE169" s="85"/>
      <c r="EF169" s="85"/>
      <c r="EG169" s="85"/>
      <c r="EH169" s="85"/>
      <c r="EI169" s="85"/>
      <c r="EJ169" s="85"/>
      <c r="EK169" s="85"/>
      <c r="EL169" s="85"/>
      <c r="EM169" s="85"/>
      <c r="EN169" s="85"/>
      <c r="EO169" s="85"/>
      <c r="EP169" s="85"/>
      <c r="EQ169" s="85"/>
      <c r="ER169" s="85"/>
      <c r="ES169" s="85"/>
      <c r="ET169" s="85"/>
      <c r="EU169" s="85"/>
      <c r="EV169" s="85"/>
      <c r="EW169" s="85"/>
      <c r="EX169" s="85"/>
      <c r="EY169" s="85"/>
      <c r="EZ169" s="85"/>
      <c r="FA169" s="85"/>
      <c r="FB169" s="85"/>
      <c r="FC169" s="85"/>
      <c r="FD169" s="85"/>
      <c r="FE169" s="85"/>
      <c r="FF169" s="85"/>
      <c r="FG169" s="85"/>
      <c r="FH169" s="85"/>
      <c r="FI169" s="85"/>
      <c r="FJ169" s="85"/>
      <c r="FK169" s="85"/>
      <c r="FL169" s="85"/>
      <c r="FM169" s="85"/>
      <c r="FN169" s="85"/>
      <c r="FO169" s="85"/>
      <c r="FP169" s="85"/>
      <c r="FQ169" s="85"/>
      <c r="FR169" s="85"/>
      <c r="FS169" s="85"/>
      <c r="FT169" s="85"/>
      <c r="FU169" s="85"/>
      <c r="FV169" s="85"/>
      <c r="FW169" s="85"/>
      <c r="FX169" s="85"/>
      <c r="FY169" s="85"/>
      <c r="FZ169" s="85"/>
      <c r="GA169" s="85"/>
      <c r="GB169" s="85"/>
      <c r="GC169" s="85"/>
      <c r="GD169" s="85"/>
      <c r="GE169" s="85"/>
      <c r="GF169" s="85"/>
      <c r="GG169" s="85"/>
      <c r="GH169" s="85"/>
      <c r="GI169" s="85"/>
      <c r="GJ169" s="85"/>
      <c r="GK169" s="85"/>
      <c r="GL169" s="85"/>
      <c r="GM169" s="85"/>
      <c r="GN169" s="85"/>
      <c r="GO169" s="85"/>
      <c r="GP169" s="85"/>
      <c r="GQ169" s="85"/>
      <c r="GR169" s="85"/>
      <c r="GS169" s="85"/>
      <c r="GT169" s="85"/>
      <c r="GU169" s="85"/>
      <c r="GV169" s="85"/>
      <c r="GW169" s="85"/>
      <c r="GX169" s="85"/>
      <c r="GY169" s="85"/>
      <c r="GZ169" s="85"/>
      <c r="HA169" s="85"/>
      <c r="HB169" s="85"/>
      <c r="HC169" s="85"/>
      <c r="HD169" s="85"/>
      <c r="HE169" s="85"/>
      <c r="HF169" s="85"/>
      <c r="HG169" s="85"/>
      <c r="HH169" s="85"/>
      <c r="HI169" s="85"/>
      <c r="HJ169" s="85"/>
      <c r="HK169" s="85"/>
      <c r="HL169" s="85"/>
      <c r="HM169" s="85"/>
      <c r="HN169" s="85"/>
      <c r="HO169" s="85"/>
      <c r="HP169" s="85"/>
      <c r="HQ169" s="85"/>
      <c r="HR169" s="85"/>
      <c r="HS169" s="85"/>
      <c r="HT169" s="85"/>
      <c r="HU169" s="85"/>
      <c r="HV169" s="85"/>
      <c r="HW169" s="85"/>
      <c r="HX169" s="85"/>
      <c r="HY169" s="85"/>
      <c r="HZ169" s="85"/>
      <c r="IA169" s="85"/>
      <c r="IB169" s="85"/>
      <c r="IC169" s="85"/>
      <c r="ID169" s="85"/>
      <c r="IE169" s="85"/>
      <c r="IF169" s="85"/>
      <c r="IG169" s="85"/>
      <c r="IH169" s="85"/>
      <c r="II169" s="85"/>
      <c r="IJ169" s="85"/>
      <c r="IK169" s="85"/>
      <c r="IL169" s="85"/>
      <c r="IM169" s="85"/>
      <c r="IN169" s="85"/>
      <c r="IO169" s="85"/>
      <c r="IP169" s="85"/>
      <c r="IQ169" s="85"/>
      <c r="IR169" s="85"/>
      <c r="IS169" s="85"/>
      <c r="IT169" s="85"/>
      <c r="IU169" s="85"/>
      <c r="IV169" s="85"/>
      <c r="IW169" s="85"/>
      <c r="IX169" s="85"/>
      <c r="IY169" s="85"/>
      <c r="IZ169" s="85"/>
      <c r="JA169" s="85"/>
      <c r="JB169" s="85"/>
      <c r="JC169" s="85"/>
      <c r="JD169" s="85"/>
      <c r="JE169" s="85"/>
      <c r="JF169" s="85"/>
      <c r="JG169" s="85"/>
      <c r="JH169" s="85"/>
      <c r="JI169" s="85"/>
      <c r="JJ169" s="85"/>
      <c r="JK169" s="85"/>
      <c r="JL169" s="85"/>
      <c r="JM169" s="85"/>
      <c r="JN169" s="85"/>
      <c r="JO169" s="85"/>
      <c r="JP169" s="85"/>
      <c r="JQ169" s="85"/>
      <c r="JR169" s="85"/>
      <c r="JS169" s="85"/>
      <c r="JT169" s="85"/>
      <c r="JU169" s="85"/>
      <c r="JV169" s="85"/>
      <c r="JW169" s="85"/>
      <c r="JX169" s="85"/>
      <c r="JY169" s="85"/>
      <c r="JZ169" s="85"/>
      <c r="KA169" s="85"/>
      <c r="KB169" s="85"/>
      <c r="KC169" s="85"/>
      <c r="KD169" s="85"/>
      <c r="KE169" s="85"/>
      <c r="KF169" s="85"/>
      <c r="KG169" s="85"/>
      <c r="KH169" s="85"/>
      <c r="KI169" s="85"/>
      <c r="KJ169" s="85"/>
      <c r="KK169" s="85"/>
      <c r="KL169" s="85"/>
      <c r="KM169" s="85"/>
      <c r="KN169" s="85"/>
      <c r="KO169" s="85"/>
      <c r="KP169" s="85"/>
      <c r="KQ169" s="85"/>
      <c r="KR169" s="85"/>
      <c r="KS169" s="85"/>
      <c r="KT169" s="85"/>
      <c r="KU169" s="85"/>
      <c r="KV169" s="85"/>
      <c r="KW169" s="85"/>
      <c r="KX169" s="85"/>
      <c r="KY169" s="85"/>
      <c r="KZ169" s="85"/>
      <c r="LA169" s="85"/>
      <c r="LB169" s="85"/>
      <c r="LC169" s="85"/>
      <c r="LD169" s="85"/>
      <c r="LE169" s="85"/>
      <c r="LF169" s="85"/>
      <c r="LG169" s="85"/>
      <c r="LH169" s="85"/>
      <c r="LI169" s="85"/>
      <c r="LJ169" s="85"/>
      <c r="LK169" s="85"/>
      <c r="LL169" s="85"/>
      <c r="LM169" s="85"/>
      <c r="LN169" s="85"/>
      <c r="LO169" s="85"/>
      <c r="LP169" s="85"/>
      <c r="LQ169" s="85"/>
      <c r="LR169" s="85"/>
      <c r="LS169" s="85"/>
      <c r="LT169" s="85"/>
      <c r="LU169" s="85"/>
      <c r="LV169" s="85"/>
      <c r="LW169" s="85"/>
      <c r="LX169" s="85"/>
      <c r="LY169" s="85"/>
      <c r="LZ169" s="85"/>
      <c r="MA169" s="85"/>
      <c r="MB169" s="85"/>
      <c r="MC169" s="85"/>
      <c r="MD169" s="85"/>
      <c r="ME169" s="85"/>
      <c r="MF169" s="85"/>
      <c r="MG169" s="85"/>
      <c r="MH169" s="85"/>
      <c r="MI169" s="85"/>
      <c r="MJ169" s="85"/>
      <c r="MK169" s="85"/>
      <c r="ML169" s="85"/>
      <c r="MM169" s="85"/>
      <c r="MN169" s="85"/>
      <c r="MO169" s="85"/>
      <c r="MP169" s="85"/>
      <c r="MQ169" s="85"/>
      <c r="MR169" s="85"/>
      <c r="MS169" s="85"/>
      <c r="MT169" s="85"/>
      <c r="MU169" s="85"/>
      <c r="MV169" s="85"/>
      <c r="MW169" s="85"/>
      <c r="MX169" s="85"/>
      <c r="MY169" s="85"/>
      <c r="MZ169" s="85"/>
      <c r="NA169" s="85"/>
      <c r="NB169" s="85"/>
      <c r="NC169" s="85"/>
      <c r="ND169" s="85"/>
      <c r="NE169" s="85"/>
      <c r="NF169" s="85"/>
      <c r="NG169" s="85"/>
      <c r="NH169" s="85"/>
      <c r="NI169" s="85"/>
      <c r="NJ169" s="85"/>
      <c r="NK169" s="85"/>
      <c r="NL169" s="85"/>
      <c r="NM169" s="85"/>
      <c r="NN169" s="85"/>
      <c r="NO169" s="85"/>
      <c r="NP169" s="85"/>
      <c r="NQ169" s="85"/>
      <c r="NR169" s="85"/>
      <c r="NS169" s="85"/>
      <c r="NT169" s="85"/>
      <c r="NU169" s="85"/>
      <c r="NV169" s="85"/>
      <c r="NW169" s="85"/>
      <c r="NX169" s="85"/>
      <c r="NY169" s="85"/>
      <c r="NZ169" s="85"/>
      <c r="OA169" s="85"/>
      <c r="OB169" s="85"/>
      <c r="OC169" s="85"/>
      <c r="OD169" s="85"/>
      <c r="OE169" s="85"/>
      <c r="OF169" s="85"/>
      <c r="OG169" s="85"/>
      <c r="OH169" s="85"/>
      <c r="OI169" s="85"/>
      <c r="OJ169" s="85"/>
      <c r="OK169" s="85"/>
      <c r="OL169" s="85"/>
      <c r="OM169" s="85"/>
      <c r="ON169" s="85"/>
      <c r="OO169" s="85"/>
      <c r="OP169" s="85"/>
      <c r="OQ169" s="85"/>
      <c r="OR169" s="85"/>
      <c r="OS169" s="85"/>
      <c r="OT169" s="85"/>
      <c r="OU169" s="85"/>
      <c r="OV169" s="85"/>
      <c r="OW169" s="85"/>
      <c r="OX169" s="85"/>
      <c r="OY169" s="85"/>
      <c r="OZ169" s="85"/>
      <c r="PA169" s="85"/>
      <c r="PB169" s="85"/>
      <c r="PC169" s="85"/>
      <c r="PD169" s="85"/>
      <c r="PE169" s="85"/>
      <c r="PF169" s="85"/>
      <c r="PG169" s="85"/>
      <c r="PH169" s="85"/>
      <c r="PI169" s="85"/>
      <c r="PJ169" s="85"/>
      <c r="PK169" s="85"/>
      <c r="PL169" s="85"/>
      <c r="PM169" s="85"/>
      <c r="PN169" s="85"/>
      <c r="PO169" s="85"/>
      <c r="PP169" s="85"/>
      <c r="PQ169" s="85"/>
      <c r="PR169" s="85"/>
      <c r="PS169" s="85"/>
      <c r="PT169" s="85"/>
      <c r="PU169" s="85"/>
      <c r="PV169" s="85"/>
      <c r="PW169" s="85"/>
      <c r="PX169" s="85"/>
      <c r="PY169" s="85"/>
      <c r="PZ169" s="85"/>
      <c r="QA169" s="85"/>
      <c r="QB169" s="85"/>
      <c r="QC169" s="85"/>
      <c r="QD169" s="85"/>
      <c r="QE169" s="85"/>
      <c r="QF169" s="85"/>
      <c r="QG169" s="85"/>
      <c r="QH169" s="85"/>
      <c r="QI169" s="85"/>
      <c r="QJ169" s="85"/>
      <c r="QK169" s="85"/>
      <c r="QL169" s="85"/>
      <c r="QM169" s="85"/>
      <c r="QN169" s="85"/>
      <c r="QO169" s="85"/>
      <c r="QP169" s="85"/>
      <c r="QQ169" s="85"/>
      <c r="QR169" s="85"/>
      <c r="QS169" s="85"/>
      <c r="QT169" s="85"/>
      <c r="QU169" s="85"/>
      <c r="QV169" s="85"/>
      <c r="QW169" s="85"/>
      <c r="QX169" s="85"/>
      <c r="QY169" s="85"/>
      <c r="QZ169" s="85"/>
      <c r="RA169" s="85"/>
      <c r="RB169" s="85"/>
      <c r="RC169" s="85"/>
      <c r="RD169" s="85"/>
      <c r="RE169" s="85"/>
      <c r="RF169" s="85"/>
      <c r="RG169" s="85"/>
      <c r="RH169" s="85"/>
      <c r="RI169" s="85"/>
      <c r="RJ169" s="85"/>
      <c r="RK169" s="85"/>
      <c r="RL169" s="85"/>
      <c r="RM169" s="85"/>
      <c r="RN169" s="85"/>
      <c r="RO169" s="85"/>
      <c r="RP169" s="85"/>
      <c r="RQ169" s="85"/>
      <c r="RR169" s="85"/>
      <c r="RS169" s="85"/>
      <c r="RT169" s="85"/>
      <c r="RU169" s="85"/>
      <c r="RV169" s="85"/>
      <c r="RW169" s="85"/>
      <c r="RX169" s="85"/>
      <c r="RY169" s="85"/>
      <c r="RZ169" s="85"/>
      <c r="SA169" s="85"/>
      <c r="SB169" s="85"/>
      <c r="SC169" s="85"/>
      <c r="SD169" s="85"/>
      <c r="SE169" s="85"/>
      <c r="SF169" s="85"/>
      <c r="SG169" s="85"/>
      <c r="SH169" s="85"/>
      <c r="SI169" s="85"/>
      <c r="SJ169" s="85"/>
      <c r="SK169" s="85"/>
      <c r="SL169" s="85"/>
      <c r="SM169" s="85"/>
      <c r="SN169" s="85"/>
      <c r="SO169" s="85"/>
      <c r="SP169" s="85"/>
      <c r="SQ169" s="85"/>
      <c r="SR169" s="85"/>
      <c r="SS169" s="85"/>
      <c r="ST169" s="85"/>
      <c r="SU169" s="85"/>
      <c r="SV169" s="85"/>
      <c r="SW169" s="85"/>
      <c r="SX169" s="85"/>
      <c r="SY169" s="85"/>
      <c r="SZ169" s="85"/>
      <c r="TA169" s="85"/>
      <c r="TB169" s="85"/>
      <c r="TC169" s="85"/>
      <c r="TD169" s="85"/>
      <c r="TE169" s="85"/>
      <c r="TF169" s="85"/>
      <c r="TG169" s="85"/>
      <c r="TH169" s="85"/>
      <c r="TI169" s="85"/>
      <c r="TJ169" s="85"/>
      <c r="TK169" s="85"/>
      <c r="TL169" s="85"/>
    </row>
    <row r="170" spans="1:532" s="85" customFormat="1" ht="27.65" customHeight="1">
      <c r="A170" s="128" t="s">
        <v>249</v>
      </c>
      <c r="B170" s="271" t="s">
        <v>250</v>
      </c>
      <c r="C170" s="95"/>
      <c r="D170" s="124">
        <f>+[2]ordinario!C211</f>
        <v>100000000</v>
      </c>
      <c r="E170" s="124">
        <v>189933955.00999999</v>
      </c>
      <c r="F170" s="256"/>
      <c r="G170" s="107"/>
      <c r="H170" s="105"/>
      <c r="I170" s="94">
        <f t="shared" ref="I170:N170" si="5">SUM(I171:I172)</f>
        <v>100000000</v>
      </c>
      <c r="J170" s="94">
        <f t="shared" si="5"/>
        <v>100000000</v>
      </c>
      <c r="K170" s="94">
        <f t="shared" si="5"/>
        <v>0</v>
      </c>
      <c r="L170" s="94">
        <f t="shared" si="5"/>
        <v>0</v>
      </c>
      <c r="M170" s="94">
        <f t="shared" si="5"/>
        <v>0</v>
      </c>
      <c r="N170" s="94">
        <f t="shared" si="5"/>
        <v>89933955.00999999</v>
      </c>
    </row>
    <row r="171" spans="1:532" s="85" customFormat="1" ht="12.75" customHeight="1">
      <c r="A171" s="106"/>
      <c r="B171" s="257"/>
      <c r="C171" s="95"/>
      <c r="D171" s="95"/>
      <c r="E171" s="95"/>
      <c r="F171" s="256" t="s">
        <v>178</v>
      </c>
      <c r="G171" s="108" t="s">
        <v>155</v>
      </c>
      <c r="H171" s="105" t="s">
        <v>77</v>
      </c>
      <c r="I171" s="99">
        <v>100000000</v>
      </c>
      <c r="J171" s="99">
        <f>+I171</f>
        <v>100000000</v>
      </c>
      <c r="K171" s="99"/>
      <c r="L171" s="99"/>
      <c r="M171" s="99"/>
      <c r="N171" s="100">
        <f>+[2]ordinario!I213-'3_Detalle Origen y Aplicación'!I171</f>
        <v>0</v>
      </c>
    </row>
    <row r="172" spans="1:532" s="85" customFormat="1" ht="12.75" customHeight="1">
      <c r="A172" s="106"/>
      <c r="B172" s="257"/>
      <c r="C172" s="95"/>
      <c r="D172" s="95"/>
      <c r="E172" s="95"/>
      <c r="F172" s="256" t="s">
        <v>239</v>
      </c>
      <c r="G172" s="107"/>
      <c r="H172" s="105"/>
      <c r="I172" s="99"/>
      <c r="J172" s="99"/>
      <c r="K172" s="99"/>
      <c r="L172" s="99"/>
      <c r="M172" s="99"/>
      <c r="N172" s="100">
        <f>+E170-D170</f>
        <v>89933955.00999999</v>
      </c>
    </row>
    <row r="173" spans="1:532" s="135" customFormat="1" ht="12.75" customHeight="1">
      <c r="A173" s="111"/>
      <c r="B173" s="243"/>
      <c r="C173" s="112"/>
      <c r="D173" s="112"/>
      <c r="E173" s="112"/>
      <c r="F173" s="242"/>
      <c r="G173" s="113"/>
      <c r="H173" s="114"/>
      <c r="I173" s="115"/>
      <c r="J173" s="115"/>
      <c r="K173" s="115"/>
      <c r="L173" s="115"/>
      <c r="M173" s="115"/>
      <c r="N173" s="116"/>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c r="BM173" s="85"/>
      <c r="BN173" s="85"/>
      <c r="BO173" s="85"/>
      <c r="BP173" s="85"/>
      <c r="BQ173" s="85"/>
      <c r="BR173" s="85"/>
      <c r="BS173" s="85"/>
      <c r="BT173" s="85"/>
      <c r="BU173" s="85"/>
      <c r="BV173" s="85"/>
      <c r="BW173" s="85"/>
      <c r="BX173" s="85"/>
      <c r="BY173" s="85"/>
      <c r="BZ173" s="85"/>
      <c r="CA173" s="85"/>
      <c r="CB173" s="85"/>
      <c r="CC173" s="85"/>
      <c r="CD173" s="85"/>
      <c r="CE173" s="85"/>
      <c r="CF173" s="85"/>
      <c r="CG173" s="85"/>
      <c r="CH173" s="85"/>
      <c r="CI173" s="85"/>
      <c r="CJ173" s="85"/>
      <c r="CK173" s="85"/>
      <c r="CL173" s="85"/>
      <c r="CM173" s="85"/>
      <c r="CN173" s="85"/>
      <c r="CO173" s="85"/>
      <c r="CP173" s="85"/>
      <c r="CQ173" s="85"/>
      <c r="CR173" s="85"/>
      <c r="CS173" s="85"/>
      <c r="CT173" s="85"/>
      <c r="CU173" s="85"/>
      <c r="CV173" s="85"/>
      <c r="CW173" s="85"/>
      <c r="CX173" s="85"/>
      <c r="CY173" s="85"/>
      <c r="CZ173" s="85"/>
      <c r="DA173" s="85"/>
      <c r="DB173" s="85"/>
      <c r="DC173" s="85"/>
      <c r="DD173" s="85"/>
      <c r="DE173" s="85"/>
      <c r="DF173" s="85"/>
      <c r="DG173" s="85"/>
      <c r="DH173" s="85"/>
      <c r="DI173" s="85"/>
      <c r="DJ173" s="85"/>
      <c r="DK173" s="85"/>
      <c r="DL173" s="85"/>
      <c r="DM173" s="85"/>
      <c r="DN173" s="85"/>
      <c r="DO173" s="85"/>
      <c r="DP173" s="85"/>
      <c r="DQ173" s="85"/>
      <c r="DR173" s="85"/>
      <c r="DS173" s="85"/>
      <c r="DT173" s="85"/>
      <c r="DU173" s="85"/>
      <c r="DV173" s="85"/>
      <c r="DW173" s="85"/>
      <c r="DX173" s="85"/>
      <c r="DY173" s="85"/>
      <c r="DZ173" s="85"/>
      <c r="EA173" s="85"/>
      <c r="EB173" s="85"/>
      <c r="EC173" s="85"/>
      <c r="ED173" s="85"/>
      <c r="EE173" s="85"/>
      <c r="EF173" s="85"/>
      <c r="EG173" s="85"/>
      <c r="EH173" s="85"/>
      <c r="EI173" s="85"/>
      <c r="EJ173" s="85"/>
      <c r="EK173" s="85"/>
      <c r="EL173" s="85"/>
      <c r="EM173" s="85"/>
      <c r="EN173" s="85"/>
      <c r="EO173" s="85"/>
      <c r="EP173" s="85"/>
      <c r="EQ173" s="85"/>
      <c r="ER173" s="85"/>
      <c r="ES173" s="85"/>
      <c r="ET173" s="85"/>
      <c r="EU173" s="85"/>
      <c r="EV173" s="85"/>
      <c r="EW173" s="85"/>
      <c r="EX173" s="85"/>
      <c r="EY173" s="85"/>
      <c r="EZ173" s="85"/>
      <c r="FA173" s="85"/>
      <c r="FB173" s="85"/>
      <c r="FC173" s="85"/>
      <c r="FD173" s="85"/>
      <c r="FE173" s="85"/>
      <c r="FF173" s="85"/>
      <c r="FG173" s="85"/>
      <c r="FH173" s="85"/>
      <c r="FI173" s="85"/>
      <c r="FJ173" s="85"/>
      <c r="FK173" s="85"/>
      <c r="FL173" s="85"/>
      <c r="FM173" s="85"/>
      <c r="FN173" s="85"/>
      <c r="FO173" s="85"/>
      <c r="FP173" s="85"/>
      <c r="FQ173" s="85"/>
      <c r="FR173" s="85"/>
      <c r="FS173" s="85"/>
      <c r="FT173" s="85"/>
      <c r="FU173" s="85"/>
      <c r="FV173" s="85"/>
      <c r="FW173" s="85"/>
      <c r="FX173" s="85"/>
      <c r="FY173" s="85"/>
      <c r="FZ173" s="85"/>
      <c r="GA173" s="85"/>
      <c r="GB173" s="85"/>
      <c r="GC173" s="85"/>
      <c r="GD173" s="85"/>
      <c r="GE173" s="85"/>
      <c r="GF173" s="85"/>
      <c r="GG173" s="85"/>
      <c r="GH173" s="85"/>
      <c r="GI173" s="85"/>
      <c r="GJ173" s="85"/>
      <c r="GK173" s="85"/>
      <c r="GL173" s="85"/>
      <c r="GM173" s="85"/>
      <c r="GN173" s="85"/>
      <c r="GO173" s="85"/>
      <c r="GP173" s="85"/>
      <c r="GQ173" s="85"/>
      <c r="GR173" s="85"/>
      <c r="GS173" s="85"/>
      <c r="GT173" s="85"/>
      <c r="GU173" s="85"/>
      <c r="GV173" s="85"/>
      <c r="GW173" s="85"/>
      <c r="GX173" s="85"/>
      <c r="GY173" s="85"/>
      <c r="GZ173" s="85"/>
      <c r="HA173" s="85"/>
      <c r="HB173" s="85"/>
      <c r="HC173" s="85"/>
      <c r="HD173" s="85"/>
      <c r="HE173" s="85"/>
      <c r="HF173" s="85"/>
      <c r="HG173" s="85"/>
      <c r="HH173" s="85"/>
      <c r="HI173" s="85"/>
      <c r="HJ173" s="85"/>
      <c r="HK173" s="85"/>
      <c r="HL173" s="85"/>
      <c r="HM173" s="85"/>
      <c r="HN173" s="85"/>
      <c r="HO173" s="85"/>
      <c r="HP173" s="85"/>
      <c r="HQ173" s="85"/>
      <c r="HR173" s="85"/>
      <c r="HS173" s="85"/>
      <c r="HT173" s="85"/>
      <c r="HU173" s="85"/>
      <c r="HV173" s="85"/>
      <c r="HW173" s="85"/>
      <c r="HX173" s="85"/>
      <c r="HY173" s="85"/>
      <c r="HZ173" s="85"/>
      <c r="IA173" s="85"/>
      <c r="IB173" s="85"/>
      <c r="IC173" s="85"/>
      <c r="ID173" s="85"/>
      <c r="IE173" s="85"/>
      <c r="IF173" s="85"/>
      <c r="IG173" s="85"/>
      <c r="IH173" s="85"/>
      <c r="II173" s="85"/>
      <c r="IJ173" s="85"/>
      <c r="IK173" s="85"/>
      <c r="IL173" s="85"/>
      <c r="IM173" s="85"/>
      <c r="IN173" s="85"/>
      <c r="IO173" s="85"/>
      <c r="IP173" s="85"/>
      <c r="IQ173" s="85"/>
      <c r="IR173" s="85"/>
      <c r="IS173" s="85"/>
      <c r="IT173" s="85"/>
      <c r="IU173" s="85"/>
      <c r="IV173" s="85"/>
      <c r="IW173" s="85"/>
      <c r="IX173" s="85"/>
      <c r="IY173" s="85"/>
      <c r="IZ173" s="85"/>
      <c r="JA173" s="85"/>
      <c r="JB173" s="85"/>
      <c r="JC173" s="85"/>
      <c r="JD173" s="85"/>
      <c r="JE173" s="85"/>
      <c r="JF173" s="85"/>
      <c r="JG173" s="85"/>
      <c r="JH173" s="85"/>
      <c r="JI173" s="85"/>
      <c r="JJ173" s="85"/>
      <c r="JK173" s="85"/>
      <c r="JL173" s="85"/>
      <c r="JM173" s="85"/>
      <c r="JN173" s="85"/>
      <c r="JO173" s="85"/>
      <c r="JP173" s="85"/>
      <c r="JQ173" s="85"/>
      <c r="JR173" s="85"/>
      <c r="JS173" s="85"/>
      <c r="JT173" s="85"/>
      <c r="JU173" s="85"/>
      <c r="JV173" s="85"/>
      <c r="JW173" s="85"/>
      <c r="JX173" s="85"/>
      <c r="JY173" s="85"/>
      <c r="JZ173" s="85"/>
      <c r="KA173" s="85"/>
      <c r="KB173" s="85"/>
      <c r="KC173" s="85"/>
      <c r="KD173" s="85"/>
      <c r="KE173" s="85"/>
      <c r="KF173" s="85"/>
      <c r="KG173" s="85"/>
      <c r="KH173" s="85"/>
      <c r="KI173" s="85"/>
      <c r="KJ173" s="85"/>
      <c r="KK173" s="85"/>
      <c r="KL173" s="85"/>
      <c r="KM173" s="85"/>
      <c r="KN173" s="85"/>
      <c r="KO173" s="85"/>
      <c r="KP173" s="85"/>
      <c r="KQ173" s="85"/>
      <c r="KR173" s="85"/>
      <c r="KS173" s="85"/>
      <c r="KT173" s="85"/>
      <c r="KU173" s="85"/>
      <c r="KV173" s="85"/>
      <c r="KW173" s="85"/>
      <c r="KX173" s="85"/>
      <c r="KY173" s="85"/>
      <c r="KZ173" s="85"/>
      <c r="LA173" s="85"/>
      <c r="LB173" s="85"/>
      <c r="LC173" s="85"/>
      <c r="LD173" s="85"/>
      <c r="LE173" s="85"/>
      <c r="LF173" s="85"/>
      <c r="LG173" s="85"/>
      <c r="LH173" s="85"/>
      <c r="LI173" s="85"/>
      <c r="LJ173" s="85"/>
      <c r="LK173" s="85"/>
      <c r="LL173" s="85"/>
      <c r="LM173" s="85"/>
      <c r="LN173" s="85"/>
      <c r="LO173" s="85"/>
      <c r="LP173" s="85"/>
      <c r="LQ173" s="85"/>
      <c r="LR173" s="85"/>
      <c r="LS173" s="85"/>
      <c r="LT173" s="85"/>
      <c r="LU173" s="85"/>
      <c r="LV173" s="85"/>
      <c r="LW173" s="85"/>
      <c r="LX173" s="85"/>
      <c r="LY173" s="85"/>
      <c r="LZ173" s="85"/>
      <c r="MA173" s="85"/>
      <c r="MB173" s="85"/>
      <c r="MC173" s="85"/>
      <c r="MD173" s="85"/>
      <c r="ME173" s="85"/>
      <c r="MF173" s="85"/>
      <c r="MG173" s="85"/>
      <c r="MH173" s="85"/>
      <c r="MI173" s="85"/>
      <c r="MJ173" s="85"/>
      <c r="MK173" s="85"/>
      <c r="ML173" s="85"/>
      <c r="MM173" s="85"/>
      <c r="MN173" s="85"/>
      <c r="MO173" s="85"/>
      <c r="MP173" s="85"/>
      <c r="MQ173" s="85"/>
      <c r="MR173" s="85"/>
      <c r="MS173" s="85"/>
      <c r="MT173" s="85"/>
      <c r="MU173" s="85"/>
      <c r="MV173" s="85"/>
      <c r="MW173" s="85"/>
      <c r="MX173" s="85"/>
      <c r="MY173" s="85"/>
      <c r="MZ173" s="85"/>
      <c r="NA173" s="85"/>
      <c r="NB173" s="85"/>
      <c r="NC173" s="85"/>
      <c r="ND173" s="85"/>
      <c r="NE173" s="85"/>
      <c r="NF173" s="85"/>
      <c r="NG173" s="85"/>
      <c r="NH173" s="85"/>
      <c r="NI173" s="85"/>
      <c r="NJ173" s="85"/>
      <c r="NK173" s="85"/>
      <c r="NL173" s="85"/>
      <c r="NM173" s="85"/>
      <c r="NN173" s="85"/>
      <c r="NO173" s="85"/>
      <c r="NP173" s="85"/>
      <c r="NQ173" s="85"/>
      <c r="NR173" s="85"/>
      <c r="NS173" s="85"/>
      <c r="NT173" s="85"/>
      <c r="NU173" s="85"/>
      <c r="NV173" s="85"/>
      <c r="NW173" s="85"/>
      <c r="NX173" s="85"/>
      <c r="NY173" s="85"/>
      <c r="NZ173" s="85"/>
      <c r="OA173" s="85"/>
      <c r="OB173" s="85"/>
      <c r="OC173" s="85"/>
      <c r="OD173" s="85"/>
      <c r="OE173" s="85"/>
      <c r="OF173" s="85"/>
      <c r="OG173" s="85"/>
      <c r="OH173" s="85"/>
      <c r="OI173" s="85"/>
      <c r="OJ173" s="85"/>
      <c r="OK173" s="85"/>
      <c r="OL173" s="85"/>
      <c r="OM173" s="85"/>
      <c r="ON173" s="85"/>
      <c r="OO173" s="85"/>
      <c r="OP173" s="85"/>
      <c r="OQ173" s="85"/>
      <c r="OR173" s="85"/>
      <c r="OS173" s="85"/>
      <c r="OT173" s="85"/>
      <c r="OU173" s="85"/>
      <c r="OV173" s="85"/>
      <c r="OW173" s="85"/>
      <c r="OX173" s="85"/>
      <c r="OY173" s="85"/>
      <c r="OZ173" s="85"/>
      <c r="PA173" s="85"/>
      <c r="PB173" s="85"/>
      <c r="PC173" s="85"/>
      <c r="PD173" s="85"/>
      <c r="PE173" s="85"/>
      <c r="PF173" s="85"/>
      <c r="PG173" s="85"/>
      <c r="PH173" s="85"/>
      <c r="PI173" s="85"/>
      <c r="PJ173" s="85"/>
      <c r="PK173" s="85"/>
      <c r="PL173" s="85"/>
      <c r="PM173" s="85"/>
      <c r="PN173" s="85"/>
      <c r="PO173" s="85"/>
      <c r="PP173" s="85"/>
      <c r="PQ173" s="85"/>
      <c r="PR173" s="85"/>
      <c r="PS173" s="85"/>
      <c r="PT173" s="85"/>
      <c r="PU173" s="85"/>
      <c r="PV173" s="85"/>
      <c r="PW173" s="85"/>
      <c r="PX173" s="85"/>
      <c r="PY173" s="85"/>
      <c r="PZ173" s="85"/>
      <c r="QA173" s="85"/>
      <c r="QB173" s="85"/>
      <c r="QC173" s="85"/>
      <c r="QD173" s="85"/>
      <c r="QE173" s="85"/>
      <c r="QF173" s="85"/>
      <c r="QG173" s="85"/>
      <c r="QH173" s="85"/>
      <c r="QI173" s="85"/>
      <c r="QJ173" s="85"/>
      <c r="QK173" s="85"/>
      <c r="QL173" s="85"/>
      <c r="QM173" s="85"/>
      <c r="QN173" s="85"/>
      <c r="QO173" s="85"/>
      <c r="QP173" s="85"/>
      <c r="QQ173" s="85"/>
      <c r="QR173" s="85"/>
      <c r="QS173" s="85"/>
      <c r="QT173" s="85"/>
      <c r="QU173" s="85"/>
      <c r="QV173" s="85"/>
      <c r="QW173" s="85"/>
      <c r="QX173" s="85"/>
      <c r="QY173" s="85"/>
      <c r="QZ173" s="85"/>
      <c r="RA173" s="85"/>
      <c r="RB173" s="85"/>
      <c r="RC173" s="85"/>
      <c r="RD173" s="85"/>
      <c r="RE173" s="85"/>
      <c r="RF173" s="85"/>
      <c r="RG173" s="85"/>
      <c r="RH173" s="85"/>
      <c r="RI173" s="85"/>
      <c r="RJ173" s="85"/>
      <c r="RK173" s="85"/>
      <c r="RL173" s="85"/>
      <c r="RM173" s="85"/>
      <c r="RN173" s="85"/>
      <c r="RO173" s="85"/>
      <c r="RP173" s="85"/>
      <c r="RQ173" s="85"/>
      <c r="RR173" s="85"/>
      <c r="RS173" s="85"/>
      <c r="RT173" s="85"/>
      <c r="RU173" s="85"/>
      <c r="RV173" s="85"/>
      <c r="RW173" s="85"/>
      <c r="RX173" s="85"/>
      <c r="RY173" s="85"/>
      <c r="RZ173" s="85"/>
      <c r="SA173" s="85"/>
      <c r="SB173" s="85"/>
      <c r="SC173" s="85"/>
      <c r="SD173" s="85"/>
      <c r="SE173" s="85"/>
      <c r="SF173" s="85"/>
      <c r="SG173" s="85"/>
      <c r="SH173" s="85"/>
      <c r="SI173" s="85"/>
      <c r="SJ173" s="85"/>
      <c r="SK173" s="85"/>
      <c r="SL173" s="85"/>
      <c r="SM173" s="85"/>
      <c r="SN173" s="85"/>
      <c r="SO173" s="85"/>
      <c r="SP173" s="85"/>
      <c r="SQ173" s="85"/>
      <c r="SR173" s="85"/>
      <c r="SS173" s="85"/>
      <c r="ST173" s="85"/>
      <c r="SU173" s="85"/>
      <c r="SV173" s="85"/>
      <c r="SW173" s="85"/>
      <c r="SX173" s="85"/>
      <c r="SY173" s="85"/>
      <c r="SZ173" s="85"/>
      <c r="TA173" s="85"/>
      <c r="TB173" s="85"/>
      <c r="TC173" s="85"/>
      <c r="TD173" s="85"/>
      <c r="TE173" s="85"/>
      <c r="TF173" s="85"/>
      <c r="TG173" s="85"/>
      <c r="TH173" s="85"/>
      <c r="TI173" s="85"/>
      <c r="TJ173" s="85"/>
      <c r="TK173" s="85"/>
      <c r="TL173" s="85"/>
    </row>
    <row r="174" spans="1:532" s="85" customFormat="1" ht="12.75" customHeight="1">
      <c r="A174" s="128" t="s">
        <v>251</v>
      </c>
      <c r="B174" s="271" t="s">
        <v>252</v>
      </c>
      <c r="C174" s="95"/>
      <c r="D174" s="124">
        <f>+[2]ordinario!C221</f>
        <v>1000000</v>
      </c>
      <c r="E174" s="124">
        <v>1128783</v>
      </c>
      <c r="F174" s="256"/>
      <c r="G174" s="107"/>
      <c r="H174" s="105"/>
      <c r="I174" s="94">
        <f t="shared" ref="I174:N174" si="6">SUM(I175:I176)</f>
        <v>1000000</v>
      </c>
      <c r="J174" s="94">
        <f t="shared" si="6"/>
        <v>1000000</v>
      </c>
      <c r="K174" s="94">
        <f t="shared" si="6"/>
        <v>0</v>
      </c>
      <c r="L174" s="94">
        <f t="shared" si="6"/>
        <v>0</v>
      </c>
      <c r="M174" s="94">
        <f t="shared" si="6"/>
        <v>0</v>
      </c>
      <c r="N174" s="94">
        <f t="shared" si="6"/>
        <v>128783</v>
      </c>
    </row>
    <row r="175" spans="1:532" s="85" customFormat="1" ht="12.75" customHeight="1">
      <c r="A175" s="106"/>
      <c r="B175" s="257"/>
      <c r="C175" s="95"/>
      <c r="D175" s="95"/>
      <c r="E175" s="95"/>
      <c r="F175" s="256" t="s">
        <v>178</v>
      </c>
      <c r="G175" s="108" t="s">
        <v>155</v>
      </c>
      <c r="H175" s="105" t="s">
        <v>77</v>
      </c>
      <c r="I175" s="99">
        <v>1000000</v>
      </c>
      <c r="J175" s="99">
        <f>+I175</f>
        <v>1000000</v>
      </c>
      <c r="K175" s="99"/>
      <c r="L175" s="99"/>
      <c r="M175" s="99"/>
      <c r="N175" s="100">
        <f>-I175+[2]ordinario!I223</f>
        <v>0</v>
      </c>
    </row>
    <row r="176" spans="1:532" s="85" customFormat="1" ht="12.75" customHeight="1">
      <c r="A176" s="106"/>
      <c r="B176" s="257"/>
      <c r="C176" s="95"/>
      <c r="D176" s="95"/>
      <c r="E176" s="95"/>
      <c r="F176" s="256" t="s">
        <v>239</v>
      </c>
      <c r="G176" s="107"/>
      <c r="H176" s="105"/>
      <c r="I176" s="99"/>
      <c r="J176" s="99"/>
      <c r="K176" s="99"/>
      <c r="L176" s="99"/>
      <c r="M176" s="99"/>
      <c r="N176" s="100">
        <f>+E174-D174</f>
        <v>128783</v>
      </c>
    </row>
    <row r="177" spans="1:532" s="135" customFormat="1" ht="12.75" customHeight="1">
      <c r="A177" s="111"/>
      <c r="B177" s="243"/>
      <c r="C177" s="112"/>
      <c r="D177" s="112"/>
      <c r="E177" s="112"/>
      <c r="F177" s="242"/>
      <c r="G177" s="113"/>
      <c r="H177" s="114"/>
      <c r="I177" s="115"/>
      <c r="J177" s="115"/>
      <c r="K177" s="115"/>
      <c r="L177" s="115"/>
      <c r="M177" s="115"/>
      <c r="N177" s="116"/>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5"/>
      <c r="CD177" s="85"/>
      <c r="CE177" s="85"/>
      <c r="CF177" s="85"/>
      <c r="CG177" s="85"/>
      <c r="CH177" s="85"/>
      <c r="CI177" s="85"/>
      <c r="CJ177" s="85"/>
      <c r="CK177" s="85"/>
      <c r="CL177" s="85"/>
      <c r="CM177" s="85"/>
      <c r="CN177" s="85"/>
      <c r="CO177" s="85"/>
      <c r="CP177" s="85"/>
      <c r="CQ177" s="85"/>
      <c r="CR177" s="85"/>
      <c r="CS177" s="85"/>
      <c r="CT177" s="85"/>
      <c r="CU177" s="85"/>
      <c r="CV177" s="85"/>
      <c r="CW177" s="85"/>
      <c r="CX177" s="85"/>
      <c r="CY177" s="85"/>
      <c r="CZ177" s="85"/>
      <c r="DA177" s="85"/>
      <c r="DB177" s="85"/>
      <c r="DC177" s="85"/>
      <c r="DD177" s="85"/>
      <c r="DE177" s="85"/>
      <c r="DF177" s="85"/>
      <c r="DG177" s="85"/>
      <c r="DH177" s="85"/>
      <c r="DI177" s="85"/>
      <c r="DJ177" s="85"/>
      <c r="DK177" s="85"/>
      <c r="DL177" s="85"/>
      <c r="DM177" s="85"/>
      <c r="DN177" s="85"/>
      <c r="DO177" s="85"/>
      <c r="DP177" s="85"/>
      <c r="DQ177" s="85"/>
      <c r="DR177" s="85"/>
      <c r="DS177" s="85"/>
      <c r="DT177" s="85"/>
      <c r="DU177" s="85"/>
      <c r="DV177" s="85"/>
      <c r="DW177" s="85"/>
      <c r="DX177" s="85"/>
      <c r="DY177" s="85"/>
      <c r="DZ177" s="85"/>
      <c r="EA177" s="85"/>
      <c r="EB177" s="85"/>
      <c r="EC177" s="85"/>
      <c r="ED177" s="85"/>
      <c r="EE177" s="85"/>
      <c r="EF177" s="85"/>
      <c r="EG177" s="85"/>
      <c r="EH177" s="85"/>
      <c r="EI177" s="85"/>
      <c r="EJ177" s="85"/>
      <c r="EK177" s="85"/>
      <c r="EL177" s="85"/>
      <c r="EM177" s="85"/>
      <c r="EN177" s="85"/>
      <c r="EO177" s="85"/>
      <c r="EP177" s="85"/>
      <c r="EQ177" s="85"/>
      <c r="ER177" s="85"/>
      <c r="ES177" s="85"/>
      <c r="ET177" s="85"/>
      <c r="EU177" s="85"/>
      <c r="EV177" s="85"/>
      <c r="EW177" s="85"/>
      <c r="EX177" s="85"/>
      <c r="EY177" s="85"/>
      <c r="EZ177" s="85"/>
      <c r="FA177" s="85"/>
      <c r="FB177" s="85"/>
      <c r="FC177" s="85"/>
      <c r="FD177" s="85"/>
      <c r="FE177" s="85"/>
      <c r="FF177" s="85"/>
      <c r="FG177" s="85"/>
      <c r="FH177" s="85"/>
      <c r="FI177" s="85"/>
      <c r="FJ177" s="85"/>
      <c r="FK177" s="85"/>
      <c r="FL177" s="85"/>
      <c r="FM177" s="85"/>
      <c r="FN177" s="85"/>
      <c r="FO177" s="85"/>
      <c r="FP177" s="85"/>
      <c r="FQ177" s="85"/>
      <c r="FR177" s="85"/>
      <c r="FS177" s="85"/>
      <c r="FT177" s="85"/>
      <c r="FU177" s="85"/>
      <c r="FV177" s="85"/>
      <c r="FW177" s="85"/>
      <c r="FX177" s="85"/>
      <c r="FY177" s="85"/>
      <c r="FZ177" s="85"/>
      <c r="GA177" s="85"/>
      <c r="GB177" s="85"/>
      <c r="GC177" s="85"/>
      <c r="GD177" s="85"/>
      <c r="GE177" s="85"/>
      <c r="GF177" s="85"/>
      <c r="GG177" s="85"/>
      <c r="GH177" s="85"/>
      <c r="GI177" s="85"/>
      <c r="GJ177" s="85"/>
      <c r="GK177" s="85"/>
      <c r="GL177" s="85"/>
      <c r="GM177" s="85"/>
      <c r="GN177" s="85"/>
      <c r="GO177" s="85"/>
      <c r="GP177" s="85"/>
      <c r="GQ177" s="85"/>
      <c r="GR177" s="85"/>
      <c r="GS177" s="85"/>
      <c r="GT177" s="85"/>
      <c r="GU177" s="85"/>
      <c r="GV177" s="85"/>
      <c r="GW177" s="85"/>
      <c r="GX177" s="85"/>
      <c r="GY177" s="85"/>
      <c r="GZ177" s="85"/>
      <c r="HA177" s="85"/>
      <c r="HB177" s="85"/>
      <c r="HC177" s="85"/>
      <c r="HD177" s="85"/>
      <c r="HE177" s="85"/>
      <c r="HF177" s="85"/>
      <c r="HG177" s="85"/>
      <c r="HH177" s="85"/>
      <c r="HI177" s="85"/>
      <c r="HJ177" s="85"/>
      <c r="HK177" s="85"/>
      <c r="HL177" s="85"/>
      <c r="HM177" s="85"/>
      <c r="HN177" s="85"/>
      <c r="HO177" s="85"/>
      <c r="HP177" s="85"/>
      <c r="HQ177" s="85"/>
      <c r="HR177" s="85"/>
      <c r="HS177" s="85"/>
      <c r="HT177" s="85"/>
      <c r="HU177" s="85"/>
      <c r="HV177" s="85"/>
      <c r="HW177" s="85"/>
      <c r="HX177" s="85"/>
      <c r="HY177" s="85"/>
      <c r="HZ177" s="85"/>
      <c r="IA177" s="85"/>
      <c r="IB177" s="85"/>
      <c r="IC177" s="85"/>
      <c r="ID177" s="85"/>
      <c r="IE177" s="85"/>
      <c r="IF177" s="85"/>
      <c r="IG177" s="85"/>
      <c r="IH177" s="85"/>
      <c r="II177" s="85"/>
      <c r="IJ177" s="85"/>
      <c r="IK177" s="85"/>
      <c r="IL177" s="85"/>
      <c r="IM177" s="85"/>
      <c r="IN177" s="85"/>
      <c r="IO177" s="85"/>
      <c r="IP177" s="85"/>
      <c r="IQ177" s="85"/>
      <c r="IR177" s="85"/>
      <c r="IS177" s="85"/>
      <c r="IT177" s="85"/>
      <c r="IU177" s="85"/>
      <c r="IV177" s="85"/>
      <c r="IW177" s="85"/>
      <c r="IX177" s="85"/>
      <c r="IY177" s="85"/>
      <c r="IZ177" s="85"/>
      <c r="JA177" s="85"/>
      <c r="JB177" s="85"/>
      <c r="JC177" s="85"/>
      <c r="JD177" s="85"/>
      <c r="JE177" s="85"/>
      <c r="JF177" s="85"/>
      <c r="JG177" s="85"/>
      <c r="JH177" s="85"/>
      <c r="JI177" s="85"/>
      <c r="JJ177" s="85"/>
      <c r="JK177" s="85"/>
      <c r="JL177" s="85"/>
      <c r="JM177" s="85"/>
      <c r="JN177" s="85"/>
      <c r="JO177" s="85"/>
      <c r="JP177" s="85"/>
      <c r="JQ177" s="85"/>
      <c r="JR177" s="85"/>
      <c r="JS177" s="85"/>
      <c r="JT177" s="85"/>
      <c r="JU177" s="85"/>
      <c r="JV177" s="85"/>
      <c r="JW177" s="85"/>
      <c r="JX177" s="85"/>
      <c r="JY177" s="85"/>
      <c r="JZ177" s="85"/>
      <c r="KA177" s="85"/>
      <c r="KB177" s="85"/>
      <c r="KC177" s="85"/>
      <c r="KD177" s="85"/>
      <c r="KE177" s="85"/>
      <c r="KF177" s="85"/>
      <c r="KG177" s="85"/>
      <c r="KH177" s="85"/>
      <c r="KI177" s="85"/>
      <c r="KJ177" s="85"/>
      <c r="KK177" s="85"/>
      <c r="KL177" s="85"/>
      <c r="KM177" s="85"/>
      <c r="KN177" s="85"/>
      <c r="KO177" s="85"/>
      <c r="KP177" s="85"/>
      <c r="KQ177" s="85"/>
      <c r="KR177" s="85"/>
      <c r="KS177" s="85"/>
      <c r="KT177" s="85"/>
      <c r="KU177" s="85"/>
      <c r="KV177" s="85"/>
      <c r="KW177" s="85"/>
      <c r="KX177" s="85"/>
      <c r="KY177" s="85"/>
      <c r="KZ177" s="85"/>
      <c r="LA177" s="85"/>
      <c r="LB177" s="85"/>
      <c r="LC177" s="85"/>
      <c r="LD177" s="85"/>
      <c r="LE177" s="85"/>
      <c r="LF177" s="85"/>
      <c r="LG177" s="85"/>
      <c r="LH177" s="85"/>
      <c r="LI177" s="85"/>
      <c r="LJ177" s="85"/>
      <c r="LK177" s="85"/>
      <c r="LL177" s="85"/>
      <c r="LM177" s="85"/>
      <c r="LN177" s="85"/>
      <c r="LO177" s="85"/>
      <c r="LP177" s="85"/>
      <c r="LQ177" s="85"/>
      <c r="LR177" s="85"/>
      <c r="LS177" s="85"/>
      <c r="LT177" s="85"/>
      <c r="LU177" s="85"/>
      <c r="LV177" s="85"/>
      <c r="LW177" s="85"/>
      <c r="LX177" s="85"/>
      <c r="LY177" s="85"/>
      <c r="LZ177" s="85"/>
      <c r="MA177" s="85"/>
      <c r="MB177" s="85"/>
      <c r="MC177" s="85"/>
      <c r="MD177" s="85"/>
      <c r="ME177" s="85"/>
      <c r="MF177" s="85"/>
      <c r="MG177" s="85"/>
      <c r="MH177" s="85"/>
      <c r="MI177" s="85"/>
      <c r="MJ177" s="85"/>
      <c r="MK177" s="85"/>
      <c r="ML177" s="85"/>
      <c r="MM177" s="85"/>
      <c r="MN177" s="85"/>
      <c r="MO177" s="85"/>
      <c r="MP177" s="85"/>
      <c r="MQ177" s="85"/>
      <c r="MR177" s="85"/>
      <c r="MS177" s="85"/>
      <c r="MT177" s="85"/>
      <c r="MU177" s="85"/>
      <c r="MV177" s="85"/>
      <c r="MW177" s="85"/>
      <c r="MX177" s="85"/>
      <c r="MY177" s="85"/>
      <c r="MZ177" s="85"/>
      <c r="NA177" s="85"/>
      <c r="NB177" s="85"/>
      <c r="NC177" s="85"/>
      <c r="ND177" s="85"/>
      <c r="NE177" s="85"/>
      <c r="NF177" s="85"/>
      <c r="NG177" s="85"/>
      <c r="NH177" s="85"/>
      <c r="NI177" s="85"/>
      <c r="NJ177" s="85"/>
      <c r="NK177" s="85"/>
      <c r="NL177" s="85"/>
      <c r="NM177" s="85"/>
      <c r="NN177" s="85"/>
      <c r="NO177" s="85"/>
      <c r="NP177" s="85"/>
      <c r="NQ177" s="85"/>
      <c r="NR177" s="85"/>
      <c r="NS177" s="85"/>
      <c r="NT177" s="85"/>
      <c r="NU177" s="85"/>
      <c r="NV177" s="85"/>
      <c r="NW177" s="85"/>
      <c r="NX177" s="85"/>
      <c r="NY177" s="85"/>
      <c r="NZ177" s="85"/>
      <c r="OA177" s="85"/>
      <c r="OB177" s="85"/>
      <c r="OC177" s="85"/>
      <c r="OD177" s="85"/>
      <c r="OE177" s="85"/>
      <c r="OF177" s="85"/>
      <c r="OG177" s="85"/>
      <c r="OH177" s="85"/>
      <c r="OI177" s="85"/>
      <c r="OJ177" s="85"/>
      <c r="OK177" s="85"/>
      <c r="OL177" s="85"/>
      <c r="OM177" s="85"/>
      <c r="ON177" s="85"/>
      <c r="OO177" s="85"/>
      <c r="OP177" s="85"/>
      <c r="OQ177" s="85"/>
      <c r="OR177" s="85"/>
      <c r="OS177" s="85"/>
      <c r="OT177" s="85"/>
      <c r="OU177" s="85"/>
      <c r="OV177" s="85"/>
      <c r="OW177" s="85"/>
      <c r="OX177" s="85"/>
      <c r="OY177" s="85"/>
      <c r="OZ177" s="85"/>
      <c r="PA177" s="85"/>
      <c r="PB177" s="85"/>
      <c r="PC177" s="85"/>
      <c r="PD177" s="85"/>
      <c r="PE177" s="85"/>
      <c r="PF177" s="85"/>
      <c r="PG177" s="85"/>
      <c r="PH177" s="85"/>
      <c r="PI177" s="85"/>
      <c r="PJ177" s="85"/>
      <c r="PK177" s="85"/>
      <c r="PL177" s="85"/>
      <c r="PM177" s="85"/>
      <c r="PN177" s="85"/>
      <c r="PO177" s="85"/>
      <c r="PP177" s="85"/>
      <c r="PQ177" s="85"/>
      <c r="PR177" s="85"/>
      <c r="PS177" s="85"/>
      <c r="PT177" s="85"/>
      <c r="PU177" s="85"/>
      <c r="PV177" s="85"/>
      <c r="PW177" s="85"/>
      <c r="PX177" s="85"/>
      <c r="PY177" s="85"/>
      <c r="PZ177" s="85"/>
      <c r="QA177" s="85"/>
      <c r="QB177" s="85"/>
      <c r="QC177" s="85"/>
      <c r="QD177" s="85"/>
      <c r="QE177" s="85"/>
      <c r="QF177" s="85"/>
      <c r="QG177" s="85"/>
      <c r="QH177" s="85"/>
      <c r="QI177" s="85"/>
      <c r="QJ177" s="85"/>
      <c r="QK177" s="85"/>
      <c r="QL177" s="85"/>
      <c r="QM177" s="85"/>
      <c r="QN177" s="85"/>
      <c r="QO177" s="85"/>
      <c r="QP177" s="85"/>
      <c r="QQ177" s="85"/>
      <c r="QR177" s="85"/>
      <c r="QS177" s="85"/>
      <c r="QT177" s="85"/>
      <c r="QU177" s="85"/>
      <c r="QV177" s="85"/>
      <c r="QW177" s="85"/>
      <c r="QX177" s="85"/>
      <c r="QY177" s="85"/>
      <c r="QZ177" s="85"/>
      <c r="RA177" s="85"/>
      <c r="RB177" s="85"/>
      <c r="RC177" s="85"/>
      <c r="RD177" s="85"/>
      <c r="RE177" s="85"/>
      <c r="RF177" s="85"/>
      <c r="RG177" s="85"/>
      <c r="RH177" s="85"/>
      <c r="RI177" s="85"/>
      <c r="RJ177" s="85"/>
      <c r="RK177" s="85"/>
      <c r="RL177" s="85"/>
      <c r="RM177" s="85"/>
      <c r="RN177" s="85"/>
      <c r="RO177" s="85"/>
      <c r="RP177" s="85"/>
      <c r="RQ177" s="85"/>
      <c r="RR177" s="85"/>
      <c r="RS177" s="85"/>
      <c r="RT177" s="85"/>
      <c r="RU177" s="85"/>
      <c r="RV177" s="85"/>
      <c r="RW177" s="85"/>
      <c r="RX177" s="85"/>
      <c r="RY177" s="85"/>
      <c r="RZ177" s="85"/>
      <c r="SA177" s="85"/>
      <c r="SB177" s="85"/>
      <c r="SC177" s="85"/>
      <c r="SD177" s="85"/>
      <c r="SE177" s="85"/>
      <c r="SF177" s="85"/>
      <c r="SG177" s="85"/>
      <c r="SH177" s="85"/>
      <c r="SI177" s="85"/>
      <c r="SJ177" s="85"/>
      <c r="SK177" s="85"/>
      <c r="SL177" s="85"/>
      <c r="SM177" s="85"/>
      <c r="SN177" s="85"/>
      <c r="SO177" s="85"/>
      <c r="SP177" s="85"/>
      <c r="SQ177" s="85"/>
      <c r="SR177" s="85"/>
      <c r="SS177" s="85"/>
      <c r="ST177" s="85"/>
      <c r="SU177" s="85"/>
      <c r="SV177" s="85"/>
      <c r="SW177" s="85"/>
      <c r="SX177" s="85"/>
      <c r="SY177" s="85"/>
      <c r="SZ177" s="85"/>
      <c r="TA177" s="85"/>
      <c r="TB177" s="85"/>
      <c r="TC177" s="85"/>
      <c r="TD177" s="85"/>
      <c r="TE177" s="85"/>
      <c r="TF177" s="85"/>
      <c r="TG177" s="85"/>
      <c r="TH177" s="85"/>
      <c r="TI177" s="85"/>
      <c r="TJ177" s="85"/>
      <c r="TK177" s="85"/>
      <c r="TL177" s="85"/>
    </row>
    <row r="178" spans="1:532" s="85" customFormat="1" ht="12.75" customHeight="1">
      <c r="A178" s="106" t="s">
        <v>253</v>
      </c>
      <c r="B178" s="257" t="s">
        <v>34</v>
      </c>
      <c r="C178" s="95"/>
      <c r="D178" s="124">
        <f>+[2]ordinario!C228</f>
        <v>5245000000</v>
      </c>
      <c r="E178" s="124">
        <v>8116454658.5200005</v>
      </c>
      <c r="F178" s="256"/>
      <c r="G178" s="107"/>
      <c r="H178" s="137"/>
      <c r="I178" s="94">
        <f t="shared" ref="I178:N178" si="7">SUM(I179:I218)</f>
        <v>4101447204.48</v>
      </c>
      <c r="J178" s="94">
        <f t="shared" si="7"/>
        <v>3833560446.1599998</v>
      </c>
      <c r="K178" s="94">
        <f t="shared" si="7"/>
        <v>267886758.31999999</v>
      </c>
      <c r="L178" s="94">
        <f t="shared" si="7"/>
        <v>0</v>
      </c>
      <c r="M178" s="94">
        <f t="shared" si="7"/>
        <v>0</v>
      </c>
      <c r="N178" s="94">
        <f t="shared" si="7"/>
        <v>4015007454.0356727</v>
      </c>
    </row>
    <row r="179" spans="1:532" s="85" customFormat="1" ht="12.75" customHeight="1">
      <c r="A179" s="106"/>
      <c r="B179" s="257"/>
      <c r="C179" s="95"/>
      <c r="D179" s="95"/>
      <c r="E179" s="95"/>
      <c r="F179" s="256" t="s">
        <v>178</v>
      </c>
      <c r="G179" s="108" t="s">
        <v>155</v>
      </c>
      <c r="H179" s="105" t="s">
        <v>77</v>
      </c>
      <c r="I179" s="99">
        <v>1790824203.45</v>
      </c>
      <c r="J179" s="99">
        <f>+I179</f>
        <v>1790824203.45</v>
      </c>
      <c r="K179" s="99"/>
      <c r="L179" s="99"/>
      <c r="M179" s="99"/>
      <c r="N179" s="100">
        <f>-I179+[2]ordinario!I230+24645542.51-16300000-18000000-12000000+2640066-5000000-6000000-15000000</f>
        <v>4.317060112953186E-3</v>
      </c>
    </row>
    <row r="180" spans="1:532" s="85" customFormat="1" ht="12.75" customHeight="1">
      <c r="A180" s="106"/>
      <c r="B180" s="257"/>
      <c r="C180" s="95"/>
      <c r="D180" s="95"/>
      <c r="E180" s="95"/>
      <c r="F180" s="256"/>
      <c r="G180" s="108"/>
      <c r="H180" s="105" t="s">
        <v>78</v>
      </c>
      <c r="I180" s="99">
        <f>1845321419.24-I509-I136</f>
        <v>1583796312.8800001</v>
      </c>
      <c r="J180" s="99">
        <f>+I180</f>
        <v>1583796312.8800001</v>
      </c>
      <c r="K180" s="99"/>
      <c r="L180" s="99"/>
      <c r="M180" s="99"/>
      <c r="N180" s="100">
        <f>-I180+[2]ordinario!I231-650000+12000000+500000-8600000+23500000-6492000+1900000+12000000-4295000-3500000</f>
        <v>378018217.4217999</v>
      </c>
    </row>
    <row r="181" spans="1:532" s="85" customFormat="1" ht="12.75" customHeight="1">
      <c r="A181" s="106"/>
      <c r="B181" s="257"/>
      <c r="C181" s="95"/>
      <c r="D181" s="95"/>
      <c r="E181" s="95"/>
      <c r="F181" s="256"/>
      <c r="G181" s="108"/>
      <c r="H181" s="105" t="s">
        <v>79</v>
      </c>
      <c r="I181" s="99">
        <f>65775227.01-I394-I510</f>
        <v>51205041.259999998</v>
      </c>
      <c r="J181" s="99">
        <f>+I181</f>
        <v>51205041.259999998</v>
      </c>
      <c r="K181" s="99"/>
      <c r="L181" s="99"/>
      <c r="M181" s="99"/>
      <c r="N181" s="100">
        <f>-I181+[2]ordinario!I232+500000-500000-29500000-1900000-12000000+4295000+3500000</f>
        <v>84858258.74000001</v>
      </c>
    </row>
    <row r="182" spans="1:532" s="85" customFormat="1" ht="12.75" customHeight="1">
      <c r="A182" s="106"/>
      <c r="B182" s="257"/>
      <c r="C182" s="95"/>
      <c r="D182" s="95"/>
      <c r="E182" s="95"/>
      <c r="F182" s="256"/>
      <c r="G182" s="108"/>
      <c r="H182" s="105" t="s">
        <v>82</v>
      </c>
      <c r="I182" s="99">
        <v>139807129.18000001</v>
      </c>
      <c r="J182" s="99">
        <f>+I182</f>
        <v>139807129.18000001</v>
      </c>
      <c r="K182" s="99"/>
      <c r="L182" s="99"/>
      <c r="M182" s="99"/>
      <c r="N182" s="100">
        <f>-I182+[2]ordinario!I233-320000-0.03+150000-11950297</f>
        <v>333997642.35955524</v>
      </c>
    </row>
    <row r="183" spans="1:532" s="85" customFormat="1" ht="12.75" customHeight="1">
      <c r="A183" s="106"/>
      <c r="B183" s="257"/>
      <c r="C183" s="95"/>
      <c r="D183" s="95"/>
      <c r="E183" s="95"/>
      <c r="F183" s="256"/>
      <c r="G183" s="108"/>
      <c r="H183" s="105"/>
      <c r="I183" s="99"/>
      <c r="J183" s="99"/>
      <c r="K183" s="99"/>
      <c r="L183" s="99"/>
      <c r="M183" s="99"/>
      <c r="N183" s="100"/>
    </row>
    <row r="184" spans="1:532" s="85" customFormat="1" ht="12.75" customHeight="1">
      <c r="A184" s="106"/>
      <c r="B184" s="257"/>
      <c r="C184" s="95"/>
      <c r="D184" s="95"/>
      <c r="E184" s="95"/>
      <c r="F184" s="256" t="s">
        <v>254</v>
      </c>
      <c r="G184" s="108" t="s">
        <v>255</v>
      </c>
      <c r="H184" s="105" t="s">
        <v>81</v>
      </c>
      <c r="I184" s="99">
        <f>333528581.4-I516</f>
        <v>267886758.31999999</v>
      </c>
      <c r="J184" s="99">
        <v>0</v>
      </c>
      <c r="K184" s="99">
        <f>+I184</f>
        <v>267886758.31999999</v>
      </c>
      <c r="L184" s="99"/>
      <c r="M184" s="99"/>
      <c r="N184" s="100">
        <f>-I184+[2]ordinario!I236+38100000-23500000+6492000+5000000</f>
        <v>113360541.68000001</v>
      </c>
    </row>
    <row r="185" spans="1:532" s="85" customFormat="1" ht="12.75" customHeight="1">
      <c r="A185" s="106"/>
      <c r="B185" s="257"/>
      <c r="C185" s="95"/>
      <c r="D185" s="95"/>
      <c r="E185" s="95"/>
      <c r="F185" s="256"/>
      <c r="G185" s="108"/>
      <c r="H185" s="105"/>
      <c r="I185" s="99"/>
      <c r="J185" s="99"/>
      <c r="K185" s="99"/>
      <c r="L185" s="99"/>
      <c r="M185" s="99"/>
      <c r="N185" s="100"/>
    </row>
    <row r="186" spans="1:532" s="85" customFormat="1" ht="12" customHeight="1">
      <c r="A186" s="106"/>
      <c r="B186" s="257"/>
      <c r="C186" s="95"/>
      <c r="D186" s="95"/>
      <c r="E186" s="95"/>
      <c r="F186" s="256" t="s">
        <v>171</v>
      </c>
      <c r="G186" s="108" t="s">
        <v>711</v>
      </c>
      <c r="H186" s="105" t="s">
        <v>85</v>
      </c>
      <c r="I186" s="99"/>
      <c r="J186" s="99">
        <f>+I186</f>
        <v>0</v>
      </c>
      <c r="K186" s="99"/>
      <c r="L186" s="99"/>
      <c r="M186" s="99"/>
      <c r="N186" s="100">
        <f>-I185+[2]ordinario!I253-34645542.51</f>
        <v>0</v>
      </c>
    </row>
    <row r="187" spans="1:532" s="85" customFormat="1" ht="12" customHeight="1">
      <c r="A187" s="106"/>
      <c r="B187" s="257"/>
      <c r="C187" s="95"/>
      <c r="D187" s="95" t="s">
        <v>710</v>
      </c>
      <c r="E187" s="95"/>
      <c r="F187" s="256"/>
      <c r="G187" s="108"/>
      <c r="H187" s="105"/>
      <c r="I187" s="99"/>
      <c r="J187" s="99"/>
      <c r="K187" s="99"/>
      <c r="L187" s="99"/>
      <c r="M187" s="99"/>
      <c r="N187" s="100"/>
    </row>
    <row r="188" spans="1:532" s="85" customFormat="1" ht="12" customHeight="1">
      <c r="A188" s="106"/>
      <c r="B188" s="257"/>
      <c r="C188" s="95"/>
      <c r="D188" s="95"/>
      <c r="E188" s="95"/>
      <c r="F188" s="256" t="s">
        <v>156</v>
      </c>
      <c r="G188" s="108" t="s">
        <v>694</v>
      </c>
      <c r="H188" s="105" t="s">
        <v>82</v>
      </c>
      <c r="I188" s="99">
        <v>0</v>
      </c>
      <c r="J188" s="99">
        <f>+I188</f>
        <v>0</v>
      </c>
      <c r="K188" s="99"/>
      <c r="L188" s="99"/>
      <c r="M188" s="99"/>
      <c r="N188" s="100">
        <f>-I188+320000</f>
        <v>320000</v>
      </c>
    </row>
    <row r="189" spans="1:532" s="85" customFormat="1" ht="12" customHeight="1">
      <c r="A189" s="106"/>
      <c r="B189" s="257"/>
      <c r="C189" s="95"/>
      <c r="D189" s="95"/>
      <c r="E189" s="95"/>
      <c r="F189" s="256"/>
      <c r="G189" s="108"/>
      <c r="H189" s="105"/>
      <c r="I189" s="99"/>
      <c r="J189" s="99"/>
      <c r="K189" s="99"/>
      <c r="L189" s="99"/>
      <c r="M189" s="99"/>
      <c r="N189" s="100"/>
    </row>
    <row r="190" spans="1:532" s="85" customFormat="1" ht="12" customHeight="1">
      <c r="A190" s="106"/>
      <c r="B190" s="257"/>
      <c r="C190" s="95"/>
      <c r="D190" s="95"/>
      <c r="E190" s="95"/>
      <c r="F190" s="256" t="s">
        <v>162</v>
      </c>
      <c r="G190" s="108" t="s">
        <v>709</v>
      </c>
      <c r="H190" s="105" t="s">
        <v>78</v>
      </c>
      <c r="I190" s="99">
        <v>0</v>
      </c>
      <c r="J190" s="99">
        <f>+I190</f>
        <v>0</v>
      </c>
      <c r="K190" s="99"/>
      <c r="L190" s="99"/>
      <c r="M190" s="99"/>
      <c r="N190" s="100">
        <f>2500000-I190</f>
        <v>2500000</v>
      </c>
    </row>
    <row r="191" spans="1:532" s="85" customFormat="1" ht="12" customHeight="1">
      <c r="A191" s="106"/>
      <c r="B191" s="257"/>
      <c r="C191" s="95"/>
      <c r="D191" s="95"/>
      <c r="E191" s="95"/>
      <c r="F191" s="256"/>
      <c r="G191" s="108"/>
      <c r="H191" s="105" t="s">
        <v>79</v>
      </c>
      <c r="I191" s="99"/>
      <c r="J191" s="99">
        <f>+I191</f>
        <v>0</v>
      </c>
      <c r="K191" s="99"/>
      <c r="L191" s="99"/>
      <c r="M191" s="99"/>
      <c r="N191" s="100">
        <f>3500000-I191</f>
        <v>3500000</v>
      </c>
    </row>
    <row r="192" spans="1:532" s="85" customFormat="1" ht="12" customHeight="1">
      <c r="A192" s="106"/>
      <c r="B192" s="257"/>
      <c r="C192" s="95"/>
      <c r="D192" s="95"/>
      <c r="E192" s="95"/>
      <c r="F192" s="256"/>
      <c r="G192" s="108"/>
      <c r="H192" s="105"/>
      <c r="I192" s="99"/>
      <c r="J192" s="99"/>
      <c r="K192" s="99"/>
      <c r="L192" s="99"/>
      <c r="M192" s="99"/>
      <c r="N192" s="100"/>
    </row>
    <row r="193" spans="1:14" s="85" customFormat="1" ht="12" customHeight="1">
      <c r="A193" s="106"/>
      <c r="B193" s="257"/>
      <c r="C193" s="95"/>
      <c r="D193" s="95"/>
      <c r="E193" s="95"/>
      <c r="F193" s="256" t="s">
        <v>165</v>
      </c>
      <c r="G193" s="108" t="s">
        <v>140</v>
      </c>
      <c r="H193" s="105" t="s">
        <v>78</v>
      </c>
      <c r="I193" s="99">
        <v>30000000</v>
      </c>
      <c r="J193" s="99">
        <f>+I193</f>
        <v>30000000</v>
      </c>
      <c r="K193" s="99"/>
      <c r="L193" s="99"/>
      <c r="M193" s="99"/>
      <c r="N193" s="100">
        <f>-I193+30000000</f>
        <v>0</v>
      </c>
    </row>
    <row r="194" spans="1:14" s="85" customFormat="1" ht="12" customHeight="1">
      <c r="A194" s="106"/>
      <c r="B194" s="257"/>
      <c r="C194" s="95"/>
      <c r="D194" s="95"/>
      <c r="E194" s="95"/>
      <c r="F194" s="256"/>
      <c r="G194" s="108"/>
      <c r="H194" s="105"/>
      <c r="I194" s="99"/>
      <c r="J194" s="99"/>
      <c r="K194" s="99"/>
      <c r="L194" s="99"/>
      <c r="M194" s="99"/>
      <c r="N194" s="100"/>
    </row>
    <row r="195" spans="1:14" s="85" customFormat="1" ht="12" customHeight="1">
      <c r="A195" s="106"/>
      <c r="B195" s="257"/>
      <c r="C195" s="95"/>
      <c r="D195" s="95"/>
      <c r="E195" s="95"/>
      <c r="F195" s="256" t="s">
        <v>177</v>
      </c>
      <c r="G195" s="108" t="s">
        <v>201</v>
      </c>
      <c r="H195" s="105" t="s">
        <v>77</v>
      </c>
      <c r="I195" s="99"/>
      <c r="J195" s="99">
        <f>+I195</f>
        <v>0</v>
      </c>
      <c r="K195" s="99"/>
      <c r="L195" s="99"/>
      <c r="M195" s="99"/>
      <c r="N195" s="100">
        <f>-I195+10000000+6650165</f>
        <v>16650165</v>
      </c>
    </row>
    <row r="196" spans="1:14" s="85" customFormat="1" ht="12" customHeight="1">
      <c r="A196" s="106"/>
      <c r="B196" s="257"/>
      <c r="C196" s="95"/>
      <c r="D196" s="95"/>
      <c r="E196" s="95"/>
      <c r="F196" s="256"/>
      <c r="G196" s="108"/>
      <c r="H196" s="105" t="s">
        <v>82</v>
      </c>
      <c r="I196" s="99"/>
      <c r="J196" s="99">
        <f>+I196</f>
        <v>0</v>
      </c>
      <c r="K196" s="99"/>
      <c r="L196" s="99"/>
      <c r="M196" s="99"/>
      <c r="N196" s="100">
        <f>6000000-I196</f>
        <v>6000000</v>
      </c>
    </row>
    <row r="197" spans="1:14" s="85" customFormat="1" ht="12" customHeight="1">
      <c r="A197" s="106"/>
      <c r="B197" s="257"/>
      <c r="C197" s="95"/>
      <c r="D197" s="95"/>
      <c r="E197" s="95"/>
      <c r="F197" s="256"/>
      <c r="G197" s="108"/>
      <c r="H197" s="105"/>
      <c r="I197" s="99"/>
      <c r="J197" s="99"/>
      <c r="K197" s="99"/>
      <c r="L197" s="99"/>
      <c r="M197" s="99"/>
      <c r="N197" s="100"/>
    </row>
    <row r="198" spans="1:14" s="85" customFormat="1" ht="12" customHeight="1">
      <c r="A198" s="106"/>
      <c r="B198" s="257"/>
      <c r="C198" s="95"/>
      <c r="D198" s="95"/>
      <c r="E198" s="95"/>
      <c r="F198" s="256" t="s">
        <v>180</v>
      </c>
      <c r="G198" s="108" t="s">
        <v>708</v>
      </c>
      <c r="H198" s="105" t="s">
        <v>77</v>
      </c>
      <c r="I198" s="99"/>
      <c r="J198" s="99">
        <f>+I198</f>
        <v>0</v>
      </c>
      <c r="K198" s="99"/>
      <c r="L198" s="99"/>
      <c r="M198" s="99"/>
      <c r="N198" s="100">
        <f>-I198+5000000+5000000+2660066</f>
        <v>12660066</v>
      </c>
    </row>
    <row r="199" spans="1:14" s="85" customFormat="1" ht="12" customHeight="1">
      <c r="A199" s="106"/>
      <c r="B199" s="257"/>
      <c r="C199" s="95"/>
      <c r="D199" s="95"/>
      <c r="E199" s="95"/>
      <c r="F199" s="256"/>
      <c r="G199" s="108"/>
      <c r="H199" s="105" t="s">
        <v>82</v>
      </c>
      <c r="I199" s="99"/>
      <c r="J199" s="99">
        <f>+I199</f>
        <v>0</v>
      </c>
      <c r="K199" s="99"/>
      <c r="L199" s="99"/>
      <c r="M199" s="99"/>
      <c r="N199" s="100">
        <f>3500000-I199</f>
        <v>3500000</v>
      </c>
    </row>
    <row r="200" spans="1:14" s="85" customFormat="1" ht="12" customHeight="1">
      <c r="A200" s="106"/>
      <c r="B200" s="257"/>
      <c r="C200" s="95"/>
      <c r="D200" s="95"/>
      <c r="E200" s="95"/>
      <c r="F200" s="256"/>
      <c r="G200" s="108"/>
      <c r="H200" s="105"/>
      <c r="I200" s="99"/>
      <c r="J200" s="99"/>
      <c r="K200" s="99"/>
      <c r="L200" s="99"/>
      <c r="M200" s="99"/>
      <c r="N200" s="100"/>
    </row>
    <row r="201" spans="1:14" s="85" customFormat="1" ht="12" customHeight="1">
      <c r="A201" s="106"/>
      <c r="B201" s="257"/>
      <c r="C201" s="95"/>
      <c r="D201" s="95"/>
      <c r="E201" s="95"/>
      <c r="F201" s="256" t="s">
        <v>181</v>
      </c>
      <c r="G201" s="108" t="s">
        <v>205</v>
      </c>
      <c r="H201" s="105" t="s">
        <v>77</v>
      </c>
      <c r="I201" s="99"/>
      <c r="J201" s="99">
        <f>+I201</f>
        <v>0</v>
      </c>
      <c r="K201" s="99"/>
      <c r="L201" s="99"/>
      <c r="M201" s="99"/>
      <c r="N201" s="100">
        <f>-I201+1300000</f>
        <v>1300000</v>
      </c>
    </row>
    <row r="202" spans="1:14" s="85" customFormat="1" ht="12" customHeight="1">
      <c r="A202" s="106"/>
      <c r="B202" s="257"/>
      <c r="C202" s="95"/>
      <c r="D202" s="95"/>
      <c r="E202" s="95"/>
      <c r="F202" s="256"/>
      <c r="G202" s="108"/>
      <c r="H202" s="105"/>
      <c r="I202" s="99"/>
      <c r="J202" s="99"/>
      <c r="K202" s="99"/>
      <c r="L202" s="99"/>
      <c r="M202" s="99"/>
      <c r="N202" s="100"/>
    </row>
    <row r="203" spans="1:14" s="85" customFormat="1" ht="12" customHeight="1">
      <c r="A203" s="106"/>
      <c r="B203" s="257"/>
      <c r="C203" s="95"/>
      <c r="D203" s="95"/>
      <c r="E203" s="95"/>
      <c r="F203" s="256" t="s">
        <v>359</v>
      </c>
      <c r="G203" s="108" t="s">
        <v>386</v>
      </c>
      <c r="H203" s="105" t="s">
        <v>82</v>
      </c>
      <c r="I203" s="99"/>
      <c r="J203" s="99">
        <f>+I203</f>
        <v>0</v>
      </c>
      <c r="K203" s="99"/>
      <c r="L203" s="99"/>
      <c r="M203" s="99"/>
      <c r="N203" s="100">
        <f>8500000-I203</f>
        <v>8500000</v>
      </c>
    </row>
    <row r="204" spans="1:14" s="85" customFormat="1" ht="12" customHeight="1">
      <c r="A204" s="106"/>
      <c r="B204" s="257"/>
      <c r="C204" s="95"/>
      <c r="D204" s="95"/>
      <c r="E204" s="95"/>
      <c r="F204" s="256"/>
      <c r="G204" s="108"/>
      <c r="H204" s="105"/>
      <c r="I204" s="99"/>
      <c r="J204" s="99"/>
      <c r="K204" s="99"/>
      <c r="L204" s="99"/>
      <c r="M204" s="99"/>
      <c r="N204" s="100"/>
    </row>
    <row r="205" spans="1:14" s="85" customFormat="1" ht="12.75" customHeight="1">
      <c r="A205" s="106"/>
      <c r="B205" s="257"/>
      <c r="C205" s="95"/>
      <c r="D205" s="95"/>
      <c r="E205" s="95"/>
      <c r="F205" s="256" t="s">
        <v>439</v>
      </c>
      <c r="G205" s="108" t="s">
        <v>707</v>
      </c>
      <c r="H205" s="105" t="s">
        <v>81</v>
      </c>
      <c r="I205" s="99"/>
      <c r="J205" s="99"/>
      <c r="K205" s="99">
        <f>+I205</f>
        <v>0</v>
      </c>
      <c r="L205" s="99"/>
      <c r="M205" s="99"/>
      <c r="N205" s="100">
        <f>-I205+[2]ordinario!I255</f>
        <v>15000000</v>
      </c>
    </row>
    <row r="206" spans="1:14" s="85" customFormat="1" ht="12.75" customHeight="1">
      <c r="A206" s="106"/>
      <c r="B206" s="257"/>
      <c r="C206" s="95"/>
      <c r="D206" s="95"/>
      <c r="E206" s="95"/>
      <c r="F206" s="256"/>
      <c r="G206" s="108"/>
      <c r="H206" s="105"/>
      <c r="I206" s="99"/>
      <c r="J206" s="99"/>
      <c r="K206" s="99"/>
      <c r="L206" s="99"/>
      <c r="M206" s="99"/>
      <c r="N206" s="100"/>
    </row>
    <row r="207" spans="1:14" s="85" customFormat="1" ht="12.75" customHeight="1">
      <c r="A207" s="106"/>
      <c r="B207" s="257"/>
      <c r="C207" s="95"/>
      <c r="D207" s="95"/>
      <c r="E207" s="95"/>
      <c r="F207" s="256" t="s">
        <v>561</v>
      </c>
      <c r="G207" s="108" t="s">
        <v>706</v>
      </c>
      <c r="H207" s="105" t="s">
        <v>79</v>
      </c>
      <c r="I207" s="99"/>
      <c r="J207" s="99">
        <f>+I207</f>
        <v>0</v>
      </c>
      <c r="K207" s="99"/>
      <c r="L207" s="99"/>
      <c r="M207" s="99"/>
      <c r="N207" s="100">
        <f>-I207+[2]ordinario!I257-100000000</f>
        <v>0</v>
      </c>
    </row>
    <row r="208" spans="1:14" s="85" customFormat="1" ht="12.75" customHeight="1">
      <c r="A208" s="106"/>
      <c r="B208" s="257"/>
      <c r="C208" s="95"/>
      <c r="D208" s="95"/>
      <c r="E208" s="95"/>
      <c r="F208" s="256"/>
      <c r="G208" s="108"/>
      <c r="H208" s="105"/>
      <c r="I208" s="99"/>
      <c r="J208" s="99"/>
      <c r="K208" s="99"/>
      <c r="L208" s="99"/>
      <c r="M208" s="99"/>
      <c r="N208" s="100"/>
    </row>
    <row r="209" spans="1:532" s="85" customFormat="1" ht="12.75" customHeight="1">
      <c r="A209" s="106"/>
      <c r="B209" s="257"/>
      <c r="C209" s="95"/>
      <c r="D209" s="95"/>
      <c r="E209" s="95"/>
      <c r="F209" s="256" t="s">
        <v>219</v>
      </c>
      <c r="G209" s="108" t="s">
        <v>464</v>
      </c>
      <c r="H209" s="105" t="s">
        <v>78</v>
      </c>
      <c r="I209" s="99"/>
      <c r="J209" s="99">
        <f>+I209</f>
        <v>0</v>
      </c>
      <c r="K209" s="99"/>
      <c r="L209" s="99"/>
      <c r="M209" s="99"/>
      <c r="N209" s="100">
        <f>-I209+10000000</f>
        <v>10000000</v>
      </c>
    </row>
    <row r="210" spans="1:532" s="85" customFormat="1" ht="12.75" customHeight="1">
      <c r="A210" s="106"/>
      <c r="B210" s="257"/>
      <c r="C210" s="95"/>
      <c r="D210" s="95"/>
      <c r="E210" s="95"/>
      <c r="F210" s="256"/>
      <c r="G210" s="108"/>
      <c r="H210" s="105" t="s">
        <v>82</v>
      </c>
      <c r="I210" s="99">
        <v>16315663.699999999</v>
      </c>
      <c r="J210" s="99">
        <f>+I210</f>
        <v>16315663.699999999</v>
      </c>
      <c r="K210" s="99"/>
      <c r="L210" s="99"/>
      <c r="M210" s="99"/>
      <c r="N210" s="100">
        <f>-I210+[2]ordinario!I259</f>
        <v>0</v>
      </c>
    </row>
    <row r="211" spans="1:532" s="85" customFormat="1" ht="12.75" customHeight="1">
      <c r="A211" s="106"/>
      <c r="B211" s="257"/>
      <c r="C211" s="95"/>
      <c r="D211" s="95"/>
      <c r="E211" s="95"/>
      <c r="F211" s="256"/>
      <c r="G211" s="108"/>
      <c r="H211" s="105"/>
      <c r="I211" s="99"/>
      <c r="J211" s="99"/>
      <c r="K211" s="99"/>
      <c r="L211" s="99"/>
      <c r="M211" s="99"/>
      <c r="N211" s="100"/>
    </row>
    <row r="212" spans="1:532" s="85" customFormat="1" ht="13">
      <c r="A212" s="106"/>
      <c r="B212" s="257"/>
      <c r="C212" s="95"/>
      <c r="D212" s="95"/>
      <c r="E212" s="95"/>
      <c r="F212" s="256" t="s">
        <v>247</v>
      </c>
      <c r="G212" s="108" t="s">
        <v>318</v>
      </c>
      <c r="H212" s="105" t="s">
        <v>78</v>
      </c>
      <c r="I212" s="99">
        <f>260000000-I747</f>
        <v>221612095.69</v>
      </c>
      <c r="J212" s="99">
        <f>+I212</f>
        <v>221612095.69</v>
      </c>
      <c r="K212" s="99"/>
      <c r="L212" s="99"/>
      <c r="M212" s="99"/>
      <c r="N212" s="100">
        <f>-I212+[2]ordinario!I261-30000000-5000000</f>
        <v>38387904.310000002</v>
      </c>
    </row>
    <row r="213" spans="1:532" s="85" customFormat="1" ht="13">
      <c r="A213" s="106"/>
      <c r="B213" s="257"/>
      <c r="C213" s="95"/>
      <c r="D213" s="95"/>
      <c r="E213" s="95"/>
      <c r="F213" s="256"/>
      <c r="G213" s="108"/>
      <c r="H213" s="105"/>
      <c r="I213" s="99"/>
      <c r="J213" s="99"/>
      <c r="K213" s="99"/>
      <c r="L213" s="99"/>
      <c r="M213" s="99"/>
      <c r="N213" s="100"/>
    </row>
    <row r="214" spans="1:532" s="85" customFormat="1" ht="13">
      <c r="A214" s="106"/>
      <c r="B214" s="257"/>
      <c r="C214" s="95"/>
      <c r="D214" s="95"/>
      <c r="E214" s="95"/>
      <c r="F214" s="256" t="s">
        <v>397</v>
      </c>
      <c r="G214" s="108" t="s">
        <v>266</v>
      </c>
      <c r="H214" s="105" t="s">
        <v>81</v>
      </c>
      <c r="I214" s="99"/>
      <c r="J214" s="99"/>
      <c r="K214" s="99">
        <f>+I214</f>
        <v>0</v>
      </c>
      <c r="L214" s="99"/>
      <c r="M214" s="99"/>
      <c r="N214" s="100">
        <f>15000000-I214</f>
        <v>15000000</v>
      </c>
    </row>
    <row r="215" spans="1:532" s="85" customFormat="1" ht="13">
      <c r="A215" s="106"/>
      <c r="B215" s="257"/>
      <c r="C215" s="95"/>
      <c r="D215" s="95"/>
      <c r="E215" s="95"/>
      <c r="F215" s="256"/>
      <c r="G215" s="108"/>
      <c r="H215" s="105"/>
      <c r="I215" s="99"/>
      <c r="J215" s="99"/>
      <c r="K215" s="99"/>
      <c r="L215" s="99"/>
      <c r="M215" s="99"/>
      <c r="N215" s="100"/>
    </row>
    <row r="216" spans="1:532" s="85" customFormat="1" ht="13">
      <c r="A216" s="106"/>
      <c r="B216" s="257"/>
      <c r="C216" s="95"/>
      <c r="D216" s="95"/>
      <c r="E216" s="95" t="s">
        <v>705</v>
      </c>
      <c r="F216" s="256" t="s">
        <v>704</v>
      </c>
      <c r="G216" s="108" t="s">
        <v>703</v>
      </c>
      <c r="H216" s="105" t="s">
        <v>78</v>
      </c>
      <c r="I216" s="99"/>
      <c r="J216" s="99"/>
      <c r="K216" s="99"/>
      <c r="L216" s="99"/>
      <c r="M216" s="99"/>
      <c r="N216" s="100">
        <f>100000000-I216</f>
        <v>100000000</v>
      </c>
    </row>
    <row r="217" spans="1:532" s="85" customFormat="1" ht="13">
      <c r="A217" s="106"/>
      <c r="B217" s="257"/>
      <c r="C217" s="95"/>
      <c r="D217" s="95"/>
      <c r="E217" s="95"/>
      <c r="F217" s="256"/>
      <c r="G217" s="108"/>
      <c r="H217" s="105"/>
      <c r="I217" s="99"/>
      <c r="J217" s="99"/>
      <c r="K217" s="99"/>
      <c r="L217" s="99"/>
      <c r="M217" s="99"/>
      <c r="N217" s="100"/>
    </row>
    <row r="218" spans="1:532" s="85" customFormat="1" ht="12.75" customHeight="1">
      <c r="A218" s="106"/>
      <c r="B218" s="257"/>
      <c r="C218" s="95"/>
      <c r="D218" s="95"/>
      <c r="E218" s="95"/>
      <c r="F218" s="256" t="s">
        <v>239</v>
      </c>
      <c r="G218" s="107"/>
      <c r="H218" s="105"/>
      <c r="I218" s="99"/>
      <c r="J218" s="99"/>
      <c r="K218" s="99"/>
      <c r="L218" s="99"/>
      <c r="M218" s="99"/>
      <c r="N218" s="100">
        <f>+E178-D178</f>
        <v>2871454658.5200005</v>
      </c>
    </row>
    <row r="219" spans="1:532" s="135" customFormat="1" ht="12.75" customHeight="1">
      <c r="A219" s="111"/>
      <c r="B219" s="243"/>
      <c r="C219" s="112"/>
      <c r="D219" s="112"/>
      <c r="E219" s="112"/>
      <c r="F219" s="242"/>
      <c r="G219" s="113"/>
      <c r="H219" s="114"/>
      <c r="I219" s="115"/>
      <c r="J219" s="115"/>
      <c r="K219" s="115"/>
      <c r="L219" s="115"/>
      <c r="M219" s="115"/>
      <c r="N219" s="116"/>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c r="DL219" s="85"/>
      <c r="DM219" s="85"/>
      <c r="DN219" s="85"/>
      <c r="DO219" s="85"/>
      <c r="DP219" s="85"/>
      <c r="DQ219" s="85"/>
      <c r="DR219" s="85"/>
      <c r="DS219" s="85"/>
      <c r="DT219" s="85"/>
      <c r="DU219" s="85"/>
      <c r="DV219" s="85"/>
      <c r="DW219" s="85"/>
      <c r="DX219" s="85"/>
      <c r="DY219" s="85"/>
      <c r="DZ219" s="85"/>
      <c r="EA219" s="85"/>
      <c r="EB219" s="85"/>
      <c r="EC219" s="85"/>
      <c r="ED219" s="85"/>
      <c r="EE219" s="85"/>
      <c r="EF219" s="85"/>
      <c r="EG219" s="85"/>
      <c r="EH219" s="85"/>
      <c r="EI219" s="85"/>
      <c r="EJ219" s="85"/>
      <c r="EK219" s="85"/>
      <c r="EL219" s="85"/>
      <c r="EM219" s="85"/>
      <c r="EN219" s="85"/>
      <c r="EO219" s="85"/>
      <c r="EP219" s="85"/>
      <c r="EQ219" s="85"/>
      <c r="ER219" s="85"/>
      <c r="ES219" s="85"/>
      <c r="ET219" s="85"/>
      <c r="EU219" s="85"/>
      <c r="EV219" s="85"/>
      <c r="EW219" s="85"/>
      <c r="EX219" s="85"/>
      <c r="EY219" s="85"/>
      <c r="EZ219" s="85"/>
      <c r="FA219" s="85"/>
      <c r="FB219" s="85"/>
      <c r="FC219" s="85"/>
      <c r="FD219" s="85"/>
      <c r="FE219" s="85"/>
      <c r="FF219" s="85"/>
      <c r="FG219" s="85"/>
      <c r="FH219" s="85"/>
      <c r="FI219" s="85"/>
      <c r="FJ219" s="85"/>
      <c r="FK219" s="85"/>
      <c r="FL219" s="85"/>
      <c r="FM219" s="85"/>
      <c r="FN219" s="85"/>
      <c r="FO219" s="85"/>
      <c r="FP219" s="85"/>
      <c r="FQ219" s="85"/>
      <c r="FR219" s="85"/>
      <c r="FS219" s="85"/>
      <c r="FT219" s="85"/>
      <c r="FU219" s="85"/>
      <c r="FV219" s="85"/>
      <c r="FW219" s="85"/>
      <c r="FX219" s="85"/>
      <c r="FY219" s="85"/>
      <c r="FZ219" s="85"/>
      <c r="GA219" s="85"/>
      <c r="GB219" s="85"/>
      <c r="GC219" s="85"/>
      <c r="GD219" s="85"/>
      <c r="GE219" s="85"/>
      <c r="GF219" s="85"/>
      <c r="GG219" s="85"/>
      <c r="GH219" s="85"/>
      <c r="GI219" s="85"/>
      <c r="GJ219" s="85"/>
      <c r="GK219" s="85"/>
      <c r="GL219" s="85"/>
      <c r="GM219" s="85"/>
      <c r="GN219" s="85"/>
      <c r="GO219" s="85"/>
      <c r="GP219" s="85"/>
      <c r="GQ219" s="85"/>
      <c r="GR219" s="85"/>
      <c r="GS219" s="85"/>
      <c r="GT219" s="85"/>
      <c r="GU219" s="85"/>
      <c r="GV219" s="85"/>
      <c r="GW219" s="85"/>
      <c r="GX219" s="85"/>
      <c r="GY219" s="85"/>
      <c r="GZ219" s="85"/>
      <c r="HA219" s="85"/>
      <c r="HB219" s="85"/>
      <c r="HC219" s="85"/>
      <c r="HD219" s="85"/>
      <c r="HE219" s="85"/>
      <c r="HF219" s="85"/>
      <c r="HG219" s="85"/>
      <c r="HH219" s="85"/>
      <c r="HI219" s="85"/>
      <c r="HJ219" s="85"/>
      <c r="HK219" s="85"/>
      <c r="HL219" s="85"/>
      <c r="HM219" s="85"/>
      <c r="HN219" s="85"/>
      <c r="HO219" s="85"/>
      <c r="HP219" s="85"/>
      <c r="HQ219" s="85"/>
      <c r="HR219" s="85"/>
      <c r="HS219" s="85"/>
      <c r="HT219" s="85"/>
      <c r="HU219" s="85"/>
      <c r="HV219" s="85"/>
      <c r="HW219" s="85"/>
      <c r="HX219" s="85"/>
      <c r="HY219" s="85"/>
      <c r="HZ219" s="85"/>
      <c r="IA219" s="85"/>
      <c r="IB219" s="85"/>
      <c r="IC219" s="85"/>
      <c r="ID219" s="85"/>
      <c r="IE219" s="85"/>
      <c r="IF219" s="85"/>
      <c r="IG219" s="85"/>
      <c r="IH219" s="85"/>
      <c r="II219" s="85"/>
      <c r="IJ219" s="85"/>
      <c r="IK219" s="85"/>
      <c r="IL219" s="85"/>
      <c r="IM219" s="85"/>
      <c r="IN219" s="85"/>
      <c r="IO219" s="85"/>
      <c r="IP219" s="85"/>
      <c r="IQ219" s="85"/>
      <c r="IR219" s="85"/>
      <c r="IS219" s="85"/>
      <c r="IT219" s="85"/>
      <c r="IU219" s="85"/>
      <c r="IV219" s="85"/>
      <c r="IW219" s="85"/>
      <c r="IX219" s="85"/>
      <c r="IY219" s="85"/>
      <c r="IZ219" s="85"/>
      <c r="JA219" s="85"/>
      <c r="JB219" s="85"/>
      <c r="JC219" s="85"/>
      <c r="JD219" s="85"/>
      <c r="JE219" s="85"/>
      <c r="JF219" s="85"/>
      <c r="JG219" s="85"/>
      <c r="JH219" s="85"/>
      <c r="JI219" s="85"/>
      <c r="JJ219" s="85"/>
      <c r="JK219" s="85"/>
      <c r="JL219" s="85"/>
      <c r="JM219" s="85"/>
      <c r="JN219" s="85"/>
      <c r="JO219" s="85"/>
      <c r="JP219" s="85"/>
      <c r="JQ219" s="85"/>
      <c r="JR219" s="85"/>
      <c r="JS219" s="85"/>
      <c r="JT219" s="85"/>
      <c r="JU219" s="85"/>
      <c r="JV219" s="85"/>
      <c r="JW219" s="85"/>
      <c r="JX219" s="85"/>
      <c r="JY219" s="85"/>
      <c r="JZ219" s="85"/>
      <c r="KA219" s="85"/>
      <c r="KB219" s="85"/>
      <c r="KC219" s="85"/>
      <c r="KD219" s="85"/>
      <c r="KE219" s="85"/>
      <c r="KF219" s="85"/>
      <c r="KG219" s="85"/>
      <c r="KH219" s="85"/>
      <c r="KI219" s="85"/>
      <c r="KJ219" s="85"/>
      <c r="KK219" s="85"/>
      <c r="KL219" s="85"/>
      <c r="KM219" s="85"/>
      <c r="KN219" s="85"/>
      <c r="KO219" s="85"/>
      <c r="KP219" s="85"/>
      <c r="KQ219" s="85"/>
      <c r="KR219" s="85"/>
      <c r="KS219" s="85"/>
      <c r="KT219" s="85"/>
      <c r="KU219" s="85"/>
      <c r="KV219" s="85"/>
      <c r="KW219" s="85"/>
      <c r="KX219" s="85"/>
      <c r="KY219" s="85"/>
      <c r="KZ219" s="85"/>
      <c r="LA219" s="85"/>
      <c r="LB219" s="85"/>
      <c r="LC219" s="85"/>
      <c r="LD219" s="85"/>
      <c r="LE219" s="85"/>
      <c r="LF219" s="85"/>
      <c r="LG219" s="85"/>
      <c r="LH219" s="85"/>
      <c r="LI219" s="85"/>
      <c r="LJ219" s="85"/>
      <c r="LK219" s="85"/>
      <c r="LL219" s="85"/>
      <c r="LM219" s="85"/>
      <c r="LN219" s="85"/>
      <c r="LO219" s="85"/>
      <c r="LP219" s="85"/>
      <c r="LQ219" s="85"/>
      <c r="LR219" s="85"/>
      <c r="LS219" s="85"/>
      <c r="LT219" s="85"/>
      <c r="LU219" s="85"/>
      <c r="LV219" s="85"/>
      <c r="LW219" s="85"/>
      <c r="LX219" s="85"/>
      <c r="LY219" s="85"/>
      <c r="LZ219" s="85"/>
      <c r="MA219" s="85"/>
      <c r="MB219" s="85"/>
      <c r="MC219" s="85"/>
      <c r="MD219" s="85"/>
      <c r="ME219" s="85"/>
      <c r="MF219" s="85"/>
      <c r="MG219" s="85"/>
      <c r="MH219" s="85"/>
      <c r="MI219" s="85"/>
      <c r="MJ219" s="85"/>
      <c r="MK219" s="85"/>
      <c r="ML219" s="85"/>
      <c r="MM219" s="85"/>
      <c r="MN219" s="85"/>
      <c r="MO219" s="85"/>
      <c r="MP219" s="85"/>
      <c r="MQ219" s="85"/>
      <c r="MR219" s="85"/>
      <c r="MS219" s="85"/>
      <c r="MT219" s="85"/>
      <c r="MU219" s="85"/>
      <c r="MV219" s="85"/>
      <c r="MW219" s="85"/>
      <c r="MX219" s="85"/>
      <c r="MY219" s="85"/>
      <c r="MZ219" s="85"/>
      <c r="NA219" s="85"/>
      <c r="NB219" s="85"/>
      <c r="NC219" s="85"/>
      <c r="ND219" s="85"/>
      <c r="NE219" s="85"/>
      <c r="NF219" s="85"/>
      <c r="NG219" s="85"/>
      <c r="NH219" s="85"/>
      <c r="NI219" s="85"/>
      <c r="NJ219" s="85"/>
      <c r="NK219" s="85"/>
      <c r="NL219" s="85"/>
      <c r="NM219" s="85"/>
      <c r="NN219" s="85"/>
      <c r="NO219" s="85"/>
      <c r="NP219" s="85"/>
      <c r="NQ219" s="85"/>
      <c r="NR219" s="85"/>
      <c r="NS219" s="85"/>
      <c r="NT219" s="85"/>
      <c r="NU219" s="85"/>
      <c r="NV219" s="85"/>
      <c r="NW219" s="85"/>
      <c r="NX219" s="85"/>
      <c r="NY219" s="85"/>
      <c r="NZ219" s="85"/>
      <c r="OA219" s="85"/>
      <c r="OB219" s="85"/>
      <c r="OC219" s="85"/>
      <c r="OD219" s="85"/>
      <c r="OE219" s="85"/>
      <c r="OF219" s="85"/>
      <c r="OG219" s="85"/>
      <c r="OH219" s="85"/>
      <c r="OI219" s="85"/>
      <c r="OJ219" s="85"/>
      <c r="OK219" s="85"/>
      <c r="OL219" s="85"/>
      <c r="OM219" s="85"/>
      <c r="ON219" s="85"/>
      <c r="OO219" s="85"/>
      <c r="OP219" s="85"/>
      <c r="OQ219" s="85"/>
      <c r="OR219" s="85"/>
      <c r="OS219" s="85"/>
      <c r="OT219" s="85"/>
      <c r="OU219" s="85"/>
      <c r="OV219" s="85"/>
      <c r="OW219" s="85"/>
      <c r="OX219" s="85"/>
      <c r="OY219" s="85"/>
      <c r="OZ219" s="85"/>
      <c r="PA219" s="85"/>
      <c r="PB219" s="85"/>
      <c r="PC219" s="85"/>
      <c r="PD219" s="85"/>
      <c r="PE219" s="85"/>
      <c r="PF219" s="85"/>
      <c r="PG219" s="85"/>
      <c r="PH219" s="85"/>
      <c r="PI219" s="85"/>
      <c r="PJ219" s="85"/>
      <c r="PK219" s="85"/>
      <c r="PL219" s="85"/>
      <c r="PM219" s="85"/>
      <c r="PN219" s="85"/>
      <c r="PO219" s="85"/>
      <c r="PP219" s="85"/>
      <c r="PQ219" s="85"/>
      <c r="PR219" s="85"/>
      <c r="PS219" s="85"/>
      <c r="PT219" s="85"/>
      <c r="PU219" s="85"/>
      <c r="PV219" s="85"/>
      <c r="PW219" s="85"/>
      <c r="PX219" s="85"/>
      <c r="PY219" s="85"/>
      <c r="PZ219" s="85"/>
      <c r="QA219" s="85"/>
      <c r="QB219" s="85"/>
      <c r="QC219" s="85"/>
      <c r="QD219" s="85"/>
      <c r="QE219" s="85"/>
      <c r="QF219" s="85"/>
      <c r="QG219" s="85"/>
      <c r="QH219" s="85"/>
      <c r="QI219" s="85"/>
      <c r="QJ219" s="85"/>
      <c r="QK219" s="85"/>
      <c r="QL219" s="85"/>
      <c r="QM219" s="85"/>
      <c r="QN219" s="85"/>
      <c r="QO219" s="85"/>
      <c r="QP219" s="85"/>
      <c r="QQ219" s="85"/>
      <c r="QR219" s="85"/>
      <c r="QS219" s="85"/>
      <c r="QT219" s="85"/>
      <c r="QU219" s="85"/>
      <c r="QV219" s="85"/>
      <c r="QW219" s="85"/>
      <c r="QX219" s="85"/>
      <c r="QY219" s="85"/>
      <c r="QZ219" s="85"/>
      <c r="RA219" s="85"/>
      <c r="RB219" s="85"/>
      <c r="RC219" s="85"/>
      <c r="RD219" s="85"/>
      <c r="RE219" s="85"/>
      <c r="RF219" s="85"/>
      <c r="RG219" s="85"/>
      <c r="RH219" s="85"/>
      <c r="RI219" s="85"/>
      <c r="RJ219" s="85"/>
      <c r="RK219" s="85"/>
      <c r="RL219" s="85"/>
      <c r="RM219" s="85"/>
      <c r="RN219" s="85"/>
      <c r="RO219" s="85"/>
      <c r="RP219" s="85"/>
      <c r="RQ219" s="85"/>
      <c r="RR219" s="85"/>
      <c r="RS219" s="85"/>
      <c r="RT219" s="85"/>
      <c r="RU219" s="85"/>
      <c r="RV219" s="85"/>
      <c r="RW219" s="85"/>
      <c r="RX219" s="85"/>
      <c r="RY219" s="85"/>
      <c r="RZ219" s="85"/>
      <c r="SA219" s="85"/>
      <c r="SB219" s="85"/>
      <c r="SC219" s="85"/>
      <c r="SD219" s="85"/>
      <c r="SE219" s="85"/>
      <c r="SF219" s="85"/>
      <c r="SG219" s="85"/>
      <c r="SH219" s="85"/>
      <c r="SI219" s="85"/>
      <c r="SJ219" s="85"/>
      <c r="SK219" s="85"/>
      <c r="SL219" s="85"/>
      <c r="SM219" s="85"/>
      <c r="SN219" s="85"/>
      <c r="SO219" s="85"/>
      <c r="SP219" s="85"/>
      <c r="SQ219" s="85"/>
      <c r="SR219" s="85"/>
      <c r="SS219" s="85"/>
      <c r="ST219" s="85"/>
      <c r="SU219" s="85"/>
      <c r="SV219" s="85"/>
      <c r="SW219" s="85"/>
      <c r="SX219" s="85"/>
      <c r="SY219" s="85"/>
      <c r="SZ219" s="85"/>
      <c r="TA219" s="85"/>
      <c r="TB219" s="85"/>
      <c r="TC219" s="85"/>
      <c r="TD219" s="85"/>
      <c r="TE219" s="85"/>
      <c r="TF219" s="85"/>
      <c r="TG219" s="85"/>
      <c r="TH219" s="85"/>
      <c r="TI219" s="85"/>
      <c r="TJ219" s="85"/>
      <c r="TK219" s="85"/>
      <c r="TL219" s="85"/>
    </row>
    <row r="220" spans="1:532" s="85" customFormat="1" ht="12.75" customHeight="1">
      <c r="A220" s="106" t="s">
        <v>258</v>
      </c>
      <c r="B220" s="257" t="s">
        <v>259</v>
      </c>
      <c r="C220" s="95"/>
      <c r="D220" s="124">
        <f>+[2]ordinario!C275</f>
        <v>630000000</v>
      </c>
      <c r="E220" s="124">
        <v>690189032.00999999</v>
      </c>
      <c r="F220" s="256" t="s">
        <v>178</v>
      </c>
      <c r="G220" s="108"/>
      <c r="H220" s="137"/>
      <c r="I220" s="94">
        <f t="shared" ref="I220:N220" si="8">SUM(I221:I249)</f>
        <v>471698465.87000006</v>
      </c>
      <c r="J220" s="94">
        <f t="shared" si="8"/>
        <v>454617815.93000007</v>
      </c>
      <c r="K220" s="94">
        <f t="shared" si="8"/>
        <v>17080649.940000001</v>
      </c>
      <c r="L220" s="94">
        <f t="shared" si="8"/>
        <v>0</v>
      </c>
      <c r="M220" s="94">
        <f t="shared" si="8"/>
        <v>0</v>
      </c>
      <c r="N220" s="94">
        <f t="shared" si="8"/>
        <v>218490566.14390552</v>
      </c>
    </row>
    <row r="221" spans="1:532" s="85" customFormat="1" ht="12.75" customHeight="1">
      <c r="A221" s="106"/>
      <c r="B221" s="257"/>
      <c r="C221" s="95"/>
      <c r="D221" s="95"/>
      <c r="E221" s="95"/>
      <c r="F221" s="256" t="s">
        <v>260</v>
      </c>
      <c r="G221" s="108" t="s">
        <v>155</v>
      </c>
      <c r="H221" s="105" t="s">
        <v>77</v>
      </c>
      <c r="I221" s="99">
        <v>57524087.619999997</v>
      </c>
      <c r="J221" s="99">
        <f>+I221</f>
        <v>57524087.619999997</v>
      </c>
      <c r="K221" s="99"/>
      <c r="L221" s="99"/>
      <c r="M221" s="99"/>
      <c r="N221" s="100">
        <f>-I221+[2]ordinario!I277</f>
        <v>0</v>
      </c>
    </row>
    <row r="222" spans="1:532" s="85" customFormat="1" ht="12.75" customHeight="1">
      <c r="A222" s="106"/>
      <c r="B222" s="257"/>
      <c r="C222" s="95"/>
      <c r="D222" s="95"/>
      <c r="E222" s="95"/>
      <c r="F222" s="256"/>
      <c r="G222" s="108"/>
      <c r="H222" s="105"/>
      <c r="I222" s="99"/>
      <c r="J222" s="99"/>
      <c r="K222" s="99"/>
      <c r="L222" s="99"/>
      <c r="M222" s="99"/>
      <c r="N222" s="100"/>
    </row>
    <row r="223" spans="1:532" s="85" customFormat="1" ht="12.75" customHeight="1">
      <c r="A223" s="106"/>
      <c r="B223" s="257"/>
      <c r="C223" s="95"/>
      <c r="D223" s="95"/>
      <c r="E223" s="95"/>
      <c r="F223" s="256"/>
      <c r="G223" s="108" t="s">
        <v>261</v>
      </c>
      <c r="H223" s="105" t="s">
        <v>77</v>
      </c>
      <c r="I223" s="99">
        <v>263798240.13999999</v>
      </c>
      <c r="J223" s="99">
        <f>+I223</f>
        <v>263798240.13999999</v>
      </c>
      <c r="K223" s="99"/>
      <c r="L223" s="99"/>
      <c r="M223" s="99"/>
      <c r="N223" s="100">
        <f>-I223+[2]ordinario!I279</f>
        <v>45639957.677773833</v>
      </c>
    </row>
    <row r="224" spans="1:532" s="85" customFormat="1" ht="12.75" customHeight="1">
      <c r="A224" s="106"/>
      <c r="B224" s="257"/>
      <c r="C224" s="95"/>
      <c r="D224" s="95"/>
      <c r="E224" s="95"/>
      <c r="F224" s="256"/>
      <c r="G224" s="108"/>
      <c r="H224" s="105" t="s">
        <v>78</v>
      </c>
      <c r="I224" s="99">
        <v>11343240.289999999</v>
      </c>
      <c r="J224" s="99">
        <f>+I224</f>
        <v>11343240.289999999</v>
      </c>
      <c r="K224" s="99"/>
      <c r="L224" s="99"/>
      <c r="M224" s="99"/>
      <c r="N224" s="100">
        <f>-I224+[2]ordinario!I280</f>
        <v>10461695.5044</v>
      </c>
    </row>
    <row r="225" spans="1:14" s="85" customFormat="1" ht="12.75" customHeight="1">
      <c r="A225" s="106"/>
      <c r="B225" s="257"/>
      <c r="C225" s="95"/>
      <c r="D225" s="95"/>
      <c r="E225" s="95"/>
      <c r="F225" s="256"/>
      <c r="G225" s="108"/>
      <c r="H225" s="105" t="s">
        <v>79</v>
      </c>
      <c r="I225" s="99"/>
      <c r="J225" s="99">
        <f>+I225</f>
        <v>0</v>
      </c>
      <c r="K225" s="99"/>
      <c r="L225" s="99"/>
      <c r="M225" s="99"/>
      <c r="N225" s="100">
        <f>-I225+[2]ordinario!I281</f>
        <v>1232049.52</v>
      </c>
    </row>
    <row r="226" spans="1:14" s="85" customFormat="1" ht="12.75" customHeight="1">
      <c r="A226" s="106"/>
      <c r="B226" s="257"/>
      <c r="C226" s="95"/>
      <c r="D226" s="95"/>
      <c r="E226" s="95"/>
      <c r="F226" s="256"/>
      <c r="G226" s="108"/>
      <c r="H226" s="105" t="s">
        <v>81</v>
      </c>
      <c r="I226" s="99">
        <f>31095234.51-I512</f>
        <v>17019322.510000002</v>
      </c>
      <c r="J226" s="99"/>
      <c r="K226" s="99">
        <f>+I226</f>
        <v>17019322.510000002</v>
      </c>
      <c r="L226" s="99"/>
      <c r="M226" s="99"/>
      <c r="N226" s="100">
        <f>-I226+[2]ordinario!I282</f>
        <v>7191177.4899999984</v>
      </c>
    </row>
    <row r="227" spans="1:14" s="85" customFormat="1" ht="12.75" customHeight="1">
      <c r="A227" s="106"/>
      <c r="B227" s="257"/>
      <c r="C227" s="95"/>
      <c r="D227" s="95"/>
      <c r="E227" s="95"/>
      <c r="F227" s="256"/>
      <c r="G227" s="108"/>
      <c r="H227" s="105" t="s">
        <v>82</v>
      </c>
      <c r="I227" s="99">
        <v>329887.17</v>
      </c>
      <c r="J227" s="99">
        <f>+I227</f>
        <v>329887.17</v>
      </c>
      <c r="K227" s="99"/>
      <c r="L227" s="99"/>
      <c r="M227" s="99"/>
      <c r="N227" s="100">
        <f>-I227+[2]ordinario!I283</f>
        <v>6554550.6500000004</v>
      </c>
    </row>
    <row r="228" spans="1:14" s="85" customFormat="1" ht="12.75" customHeight="1">
      <c r="A228" s="106"/>
      <c r="B228" s="257"/>
      <c r="C228" s="95"/>
      <c r="D228" s="95"/>
      <c r="E228" s="95"/>
      <c r="F228" s="256"/>
      <c r="G228" s="108"/>
      <c r="H228" s="105"/>
      <c r="I228" s="99"/>
      <c r="J228" s="99"/>
      <c r="K228" s="99"/>
      <c r="L228" s="99"/>
      <c r="M228" s="99"/>
      <c r="N228" s="100"/>
    </row>
    <row r="229" spans="1:14" s="85" customFormat="1" ht="12.75" hidden="1" customHeight="1">
      <c r="A229" s="106"/>
      <c r="B229" s="257"/>
      <c r="C229" s="95"/>
      <c r="D229" s="95"/>
      <c r="E229" s="95"/>
      <c r="F229" s="256" t="s">
        <v>162</v>
      </c>
      <c r="G229" s="108" t="s">
        <v>194</v>
      </c>
      <c r="H229" s="105" t="s">
        <v>77</v>
      </c>
      <c r="I229" s="99"/>
      <c r="J229" s="99">
        <f>+I229</f>
        <v>0</v>
      </c>
      <c r="K229" s="99"/>
      <c r="L229" s="99"/>
      <c r="M229" s="99"/>
      <c r="N229" s="100"/>
    </row>
    <row r="230" spans="1:14" s="85" customFormat="1" ht="12.75" hidden="1" customHeight="1">
      <c r="A230" s="106"/>
      <c r="B230" s="257"/>
      <c r="C230" s="95"/>
      <c r="D230" s="95"/>
      <c r="E230" s="95"/>
      <c r="F230" s="256"/>
      <c r="G230" s="108"/>
      <c r="H230" s="105"/>
      <c r="I230" s="99"/>
      <c r="J230" s="99"/>
      <c r="K230" s="99"/>
      <c r="L230" s="99"/>
      <c r="M230" s="99"/>
      <c r="N230" s="100"/>
    </row>
    <row r="231" spans="1:14" s="85" customFormat="1" ht="12.75" hidden="1" customHeight="1">
      <c r="A231" s="106"/>
      <c r="B231" s="257"/>
      <c r="C231" s="95"/>
      <c r="D231" s="95"/>
      <c r="E231" s="95"/>
      <c r="F231" s="256" t="s">
        <v>164</v>
      </c>
      <c r="G231" s="108" t="s">
        <v>196</v>
      </c>
      <c r="H231" s="105" t="s">
        <v>77</v>
      </c>
      <c r="I231" s="99"/>
      <c r="J231" s="99">
        <f>+I231</f>
        <v>0</v>
      </c>
      <c r="K231" s="99"/>
      <c r="L231" s="99"/>
      <c r="M231" s="99"/>
      <c r="N231" s="100"/>
    </row>
    <row r="232" spans="1:14" s="85" customFormat="1" ht="12.75" hidden="1" customHeight="1">
      <c r="A232" s="106"/>
      <c r="B232" s="257"/>
      <c r="C232" s="95"/>
      <c r="D232" s="95"/>
      <c r="E232" s="95"/>
      <c r="F232" s="256"/>
      <c r="G232" s="108"/>
      <c r="H232" s="105"/>
      <c r="I232" s="99"/>
      <c r="J232" s="99"/>
      <c r="K232" s="99"/>
      <c r="L232" s="99"/>
      <c r="M232" s="99"/>
      <c r="N232" s="100"/>
    </row>
    <row r="233" spans="1:14" s="85" customFormat="1" ht="12.75" hidden="1" customHeight="1">
      <c r="A233" s="106"/>
      <c r="B233" s="257"/>
      <c r="C233" s="95"/>
      <c r="D233" s="95"/>
      <c r="E233" s="95"/>
      <c r="F233" s="256" t="s">
        <v>174</v>
      </c>
      <c r="G233" s="108" t="s">
        <v>199</v>
      </c>
      <c r="H233" s="105" t="s">
        <v>77</v>
      </c>
      <c r="I233" s="99"/>
      <c r="J233" s="99">
        <f>+I233</f>
        <v>0</v>
      </c>
      <c r="K233" s="99"/>
      <c r="L233" s="99"/>
      <c r="M233" s="99"/>
      <c r="N233" s="100"/>
    </row>
    <row r="234" spans="1:14" s="85" customFormat="1" ht="12.75" hidden="1" customHeight="1">
      <c r="A234" s="106"/>
      <c r="B234" s="257"/>
      <c r="C234" s="95"/>
      <c r="D234" s="95"/>
      <c r="E234" s="95"/>
      <c r="F234" s="256"/>
      <c r="G234" s="108"/>
      <c r="H234" s="105"/>
      <c r="I234" s="99"/>
      <c r="J234" s="99"/>
      <c r="K234" s="99"/>
      <c r="L234" s="99"/>
      <c r="M234" s="99"/>
      <c r="N234" s="100"/>
    </row>
    <row r="235" spans="1:14" s="85" customFormat="1" ht="12.75" hidden="1" customHeight="1">
      <c r="A235" s="106"/>
      <c r="B235" s="257"/>
      <c r="C235" s="95"/>
      <c r="D235" s="95"/>
      <c r="E235" s="95"/>
      <c r="F235" s="256" t="s">
        <v>180</v>
      </c>
      <c r="G235" s="108" t="str">
        <f>+G56</f>
        <v>Seguridad y Vigilancia en la Comunidad</v>
      </c>
      <c r="H235" s="105" t="s">
        <v>77</v>
      </c>
      <c r="I235" s="99"/>
      <c r="J235" s="99">
        <f>+I235</f>
        <v>0</v>
      </c>
      <c r="K235" s="99"/>
      <c r="L235" s="99"/>
      <c r="M235" s="99"/>
      <c r="N235" s="100"/>
    </row>
    <row r="236" spans="1:14" s="85" customFormat="1" ht="12.75" hidden="1" customHeight="1">
      <c r="A236" s="106"/>
      <c r="B236" s="257"/>
      <c r="C236" s="95"/>
      <c r="D236" s="95"/>
      <c r="E236" s="95"/>
      <c r="F236" s="256"/>
      <c r="G236" s="108"/>
      <c r="H236" s="105"/>
      <c r="I236" s="99"/>
      <c r="J236" s="99"/>
      <c r="K236" s="99"/>
      <c r="L236" s="99"/>
      <c r="M236" s="99"/>
      <c r="N236" s="100"/>
    </row>
    <row r="237" spans="1:14" s="85" customFormat="1" ht="12.75" hidden="1" customHeight="1">
      <c r="A237" s="106"/>
      <c r="B237" s="257"/>
      <c r="C237" s="95"/>
      <c r="D237" s="95"/>
      <c r="E237" s="95"/>
      <c r="F237" s="256" t="s">
        <v>181</v>
      </c>
      <c r="G237" s="108" t="str">
        <f>+G62</f>
        <v>Protección del Medio Ambiente</v>
      </c>
      <c r="H237" s="105" t="s">
        <v>77</v>
      </c>
      <c r="I237" s="99"/>
      <c r="J237" s="99">
        <f>+I237</f>
        <v>0</v>
      </c>
      <c r="K237" s="99"/>
      <c r="L237" s="99"/>
      <c r="M237" s="99"/>
      <c r="N237" s="100"/>
    </row>
    <row r="238" spans="1:14" s="85" customFormat="1" ht="12.75" hidden="1" customHeight="1">
      <c r="A238" s="106"/>
      <c r="B238" s="257"/>
      <c r="C238" s="95"/>
      <c r="D238" s="95"/>
      <c r="E238" s="95"/>
      <c r="F238" s="256"/>
      <c r="G238" s="108"/>
      <c r="H238" s="105"/>
      <c r="I238" s="99"/>
      <c r="J238" s="99"/>
      <c r="K238" s="99"/>
      <c r="L238" s="99"/>
      <c r="M238" s="99"/>
      <c r="N238" s="100"/>
    </row>
    <row r="239" spans="1:14" s="85" customFormat="1" ht="12.75" hidden="1" customHeight="1">
      <c r="A239" s="106"/>
      <c r="B239" s="257"/>
      <c r="C239" s="95"/>
      <c r="D239" s="95"/>
      <c r="E239" s="95"/>
      <c r="F239" s="256" t="s">
        <v>186</v>
      </c>
      <c r="G239" s="108" t="str">
        <f>+G73</f>
        <v>Por Incumplimiento de Deberes de los Municipes</v>
      </c>
      <c r="H239" s="105" t="s">
        <v>77</v>
      </c>
      <c r="I239" s="99"/>
      <c r="J239" s="99">
        <f>+I239</f>
        <v>0</v>
      </c>
      <c r="K239" s="99"/>
      <c r="L239" s="99"/>
      <c r="M239" s="99"/>
      <c r="N239" s="100"/>
    </row>
    <row r="240" spans="1:14" s="85" customFormat="1" ht="12.75" hidden="1" customHeight="1">
      <c r="A240" s="106"/>
      <c r="B240" s="257"/>
      <c r="C240" s="95"/>
      <c r="D240" s="95"/>
      <c r="E240" s="95"/>
      <c r="F240" s="256"/>
      <c r="G240" s="108"/>
      <c r="H240" s="105"/>
      <c r="I240" s="99"/>
      <c r="J240" s="99"/>
      <c r="K240" s="99"/>
      <c r="L240" s="99"/>
      <c r="M240" s="99"/>
      <c r="N240" s="100"/>
    </row>
    <row r="241" spans="1:532" s="85" customFormat="1" ht="12.75" customHeight="1">
      <c r="A241" s="106"/>
      <c r="B241" s="257"/>
      <c r="C241" s="95"/>
      <c r="D241" s="95"/>
      <c r="E241" s="95"/>
      <c r="F241" s="256" t="s">
        <v>262</v>
      </c>
      <c r="G241" s="108" t="s">
        <v>263</v>
      </c>
      <c r="H241" s="105" t="s">
        <v>77</v>
      </c>
      <c r="I241" s="99">
        <v>102581447.09</v>
      </c>
      <c r="J241" s="99">
        <f>+I241</f>
        <v>102581447.09</v>
      </c>
      <c r="K241" s="99"/>
      <c r="L241" s="99"/>
      <c r="M241" s="99"/>
      <c r="N241" s="100">
        <f>-I241+[2]ordinario!I288</f>
        <v>33525607.105631679</v>
      </c>
    </row>
    <row r="242" spans="1:532" s="85" customFormat="1" ht="12.75" customHeight="1">
      <c r="A242" s="106"/>
      <c r="B242" s="257"/>
      <c r="C242" s="95"/>
      <c r="D242" s="95"/>
      <c r="E242" s="95"/>
      <c r="F242" s="256"/>
      <c r="G242" s="108"/>
      <c r="H242" s="105" t="s">
        <v>78</v>
      </c>
      <c r="I242" s="99">
        <v>2379896.1800000002</v>
      </c>
      <c r="J242" s="99">
        <f>+I242</f>
        <v>2379896.1800000002</v>
      </c>
      <c r="K242" s="99"/>
      <c r="L242" s="99"/>
      <c r="M242" s="99"/>
      <c r="N242" s="100">
        <f>-I242+[2]ordinario!I289</f>
        <v>2590111.5760999997</v>
      </c>
    </row>
    <row r="243" spans="1:532" s="85" customFormat="1" ht="12.75" customHeight="1">
      <c r="A243" s="106"/>
      <c r="B243" s="257"/>
      <c r="C243" s="95"/>
      <c r="D243" s="95"/>
      <c r="E243" s="95"/>
      <c r="F243" s="256"/>
      <c r="G243" s="108"/>
      <c r="H243" s="105" t="s">
        <v>79</v>
      </c>
      <c r="I243" s="99">
        <v>77840</v>
      </c>
      <c r="J243" s="99">
        <f>+I243</f>
        <v>77840</v>
      </c>
      <c r="K243" s="99"/>
      <c r="L243" s="99"/>
      <c r="M243" s="99"/>
      <c r="N243" s="100">
        <f>-I243+[2]ordinario!I290</f>
        <v>622160</v>
      </c>
    </row>
    <row r="244" spans="1:532" s="85" customFormat="1" ht="12.75" customHeight="1">
      <c r="A244" s="106"/>
      <c r="B244" s="257"/>
      <c r="C244" s="95"/>
      <c r="D244" s="95"/>
      <c r="E244" s="95"/>
      <c r="F244" s="256"/>
      <c r="G244" s="108"/>
      <c r="H244" s="105" t="s">
        <v>81</v>
      </c>
      <c r="I244" s="99">
        <v>61327.43</v>
      </c>
      <c r="J244" s="99">
        <v>0</v>
      </c>
      <c r="K244" s="99">
        <f>+I244</f>
        <v>61327.43</v>
      </c>
      <c r="L244" s="99"/>
      <c r="M244" s="99"/>
      <c r="N244" s="100">
        <f>-I244+[2]ordinario!I291</f>
        <v>338672.57</v>
      </c>
    </row>
    <row r="245" spans="1:532" s="85" customFormat="1" ht="12.75" customHeight="1">
      <c r="A245" s="106"/>
      <c r="B245" s="257"/>
      <c r="C245" s="95"/>
      <c r="D245" s="95"/>
      <c r="E245" s="95"/>
      <c r="F245" s="256"/>
      <c r="G245" s="108"/>
      <c r="H245" s="105" t="s">
        <v>82</v>
      </c>
      <c r="I245" s="99">
        <v>16583177.439999999</v>
      </c>
      <c r="J245" s="99">
        <f>+I245</f>
        <v>16583177.439999999</v>
      </c>
      <c r="K245" s="99"/>
      <c r="L245" s="99"/>
      <c r="M245" s="99"/>
      <c r="N245" s="100">
        <f>-I245+[2]ordinario!I292</f>
        <v>15145552.040000001</v>
      </c>
    </row>
    <row r="246" spans="1:532" s="85" customFormat="1" ht="12.75" customHeight="1">
      <c r="A246" s="106"/>
      <c r="B246" s="257"/>
      <c r="C246" s="95"/>
      <c r="D246" s="95"/>
      <c r="E246" s="95"/>
      <c r="F246" s="256"/>
      <c r="G246" s="108"/>
      <c r="H246" s="105"/>
      <c r="I246" s="99"/>
      <c r="J246" s="99"/>
      <c r="K246" s="99"/>
      <c r="L246" s="99"/>
      <c r="M246" s="99"/>
      <c r="N246" s="100"/>
    </row>
    <row r="247" spans="1:532" s="85" customFormat="1" ht="13">
      <c r="A247" s="106"/>
      <c r="B247" s="257"/>
      <c r="C247" s="95"/>
      <c r="D247" s="95"/>
      <c r="E247" s="95"/>
      <c r="F247" s="256" t="s">
        <v>317</v>
      </c>
      <c r="G247" s="108" t="s">
        <v>702</v>
      </c>
      <c r="H247" s="105" t="s">
        <v>81</v>
      </c>
      <c r="I247" s="99">
        <v>0</v>
      </c>
      <c r="J247" s="99"/>
      <c r="K247" s="99">
        <f>+I247</f>
        <v>0</v>
      </c>
      <c r="L247" s="99"/>
      <c r="M247" s="99"/>
      <c r="N247" s="100">
        <f>-I247+[2]ordinario!I294</f>
        <v>35000000</v>
      </c>
    </row>
    <row r="248" spans="1:532" s="85" customFormat="1" ht="11.25" customHeight="1">
      <c r="A248" s="106"/>
      <c r="B248" s="257"/>
      <c r="C248" s="95"/>
      <c r="D248" s="95"/>
      <c r="E248" s="95"/>
      <c r="F248" s="256"/>
      <c r="G248" s="108"/>
      <c r="H248" s="105"/>
      <c r="I248" s="99"/>
      <c r="J248" s="99"/>
      <c r="K248" s="99"/>
      <c r="L248" s="99"/>
      <c r="M248" s="99"/>
      <c r="N248" s="100"/>
    </row>
    <row r="249" spans="1:532" s="85" customFormat="1" ht="11.25" customHeight="1">
      <c r="A249" s="106"/>
      <c r="B249" s="257"/>
      <c r="C249" s="95"/>
      <c r="D249" s="95"/>
      <c r="E249" s="95"/>
      <c r="F249" s="256" t="s">
        <v>267</v>
      </c>
      <c r="G249" s="108"/>
      <c r="H249" s="105"/>
      <c r="I249" s="99"/>
      <c r="J249" s="99"/>
      <c r="K249" s="99"/>
      <c r="L249" s="99"/>
      <c r="M249" s="99"/>
      <c r="N249" s="100">
        <f>+E220-D220</f>
        <v>60189032.00999999</v>
      </c>
    </row>
    <row r="250" spans="1:532" s="135" customFormat="1" ht="12.75" customHeight="1">
      <c r="A250" s="111"/>
      <c r="B250" s="243"/>
      <c r="C250" s="112"/>
      <c r="D250" s="112"/>
      <c r="E250" s="112"/>
      <c r="F250" s="242"/>
      <c r="G250" s="113"/>
      <c r="H250" s="114"/>
      <c r="I250" s="115"/>
      <c r="J250" s="115"/>
      <c r="K250" s="115"/>
      <c r="L250" s="115"/>
      <c r="M250" s="115"/>
      <c r="N250" s="116"/>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c r="BD250" s="85"/>
      <c r="BE250" s="85"/>
      <c r="BF250" s="85"/>
      <c r="BG250" s="85"/>
      <c r="BH250" s="85"/>
      <c r="BI250" s="85"/>
      <c r="BJ250" s="85"/>
      <c r="BK250" s="85"/>
      <c r="BL250" s="85"/>
      <c r="BM250" s="85"/>
      <c r="BN250" s="85"/>
      <c r="BO250" s="85"/>
      <c r="BP250" s="85"/>
      <c r="BQ250" s="85"/>
      <c r="BR250" s="85"/>
      <c r="BS250" s="85"/>
      <c r="BT250" s="85"/>
      <c r="BU250" s="85"/>
      <c r="BV250" s="85"/>
      <c r="BW250" s="85"/>
      <c r="BX250" s="85"/>
      <c r="BY250" s="85"/>
      <c r="BZ250" s="85"/>
      <c r="CA250" s="85"/>
      <c r="CB250" s="85"/>
      <c r="CC250" s="85"/>
      <c r="CD250" s="85"/>
      <c r="CE250" s="85"/>
      <c r="CF250" s="85"/>
      <c r="CG250" s="85"/>
      <c r="CH250" s="85"/>
      <c r="CI250" s="85"/>
      <c r="CJ250" s="85"/>
      <c r="CK250" s="85"/>
      <c r="CL250" s="85"/>
      <c r="CM250" s="85"/>
      <c r="CN250" s="85"/>
      <c r="CO250" s="85"/>
      <c r="CP250" s="85"/>
      <c r="CQ250" s="85"/>
      <c r="CR250" s="85"/>
      <c r="CS250" s="85"/>
      <c r="CT250" s="85"/>
      <c r="CU250" s="85"/>
      <c r="CV250" s="85"/>
      <c r="CW250" s="85"/>
      <c r="CX250" s="85"/>
      <c r="CY250" s="85"/>
      <c r="CZ250" s="85"/>
      <c r="DA250" s="85"/>
      <c r="DB250" s="85"/>
      <c r="DC250" s="85"/>
      <c r="DD250" s="85"/>
      <c r="DE250" s="85"/>
      <c r="DF250" s="85"/>
      <c r="DG250" s="85"/>
      <c r="DH250" s="85"/>
      <c r="DI250" s="85"/>
      <c r="DJ250" s="85"/>
      <c r="DK250" s="85"/>
      <c r="DL250" s="85"/>
      <c r="DM250" s="85"/>
      <c r="DN250" s="85"/>
      <c r="DO250" s="85"/>
      <c r="DP250" s="85"/>
      <c r="DQ250" s="85"/>
      <c r="DR250" s="85"/>
      <c r="DS250" s="85"/>
      <c r="DT250" s="85"/>
      <c r="DU250" s="85"/>
      <c r="DV250" s="85"/>
      <c r="DW250" s="85"/>
      <c r="DX250" s="85"/>
      <c r="DY250" s="85"/>
      <c r="DZ250" s="85"/>
      <c r="EA250" s="85"/>
      <c r="EB250" s="85"/>
      <c r="EC250" s="85"/>
      <c r="ED250" s="85"/>
      <c r="EE250" s="85"/>
      <c r="EF250" s="85"/>
      <c r="EG250" s="85"/>
      <c r="EH250" s="85"/>
      <c r="EI250" s="85"/>
      <c r="EJ250" s="85"/>
      <c r="EK250" s="85"/>
      <c r="EL250" s="85"/>
      <c r="EM250" s="85"/>
      <c r="EN250" s="85"/>
      <c r="EO250" s="85"/>
      <c r="EP250" s="85"/>
      <c r="EQ250" s="85"/>
      <c r="ER250" s="85"/>
      <c r="ES250" s="85"/>
      <c r="ET250" s="85"/>
      <c r="EU250" s="85"/>
      <c r="EV250" s="85"/>
      <c r="EW250" s="85"/>
      <c r="EX250" s="85"/>
      <c r="EY250" s="85"/>
      <c r="EZ250" s="85"/>
      <c r="FA250" s="85"/>
      <c r="FB250" s="85"/>
      <c r="FC250" s="85"/>
      <c r="FD250" s="85"/>
      <c r="FE250" s="85"/>
      <c r="FF250" s="85"/>
      <c r="FG250" s="85"/>
      <c r="FH250" s="85"/>
      <c r="FI250" s="85"/>
      <c r="FJ250" s="85"/>
      <c r="FK250" s="85"/>
      <c r="FL250" s="85"/>
      <c r="FM250" s="85"/>
      <c r="FN250" s="85"/>
      <c r="FO250" s="85"/>
      <c r="FP250" s="85"/>
      <c r="FQ250" s="85"/>
      <c r="FR250" s="85"/>
      <c r="FS250" s="85"/>
      <c r="FT250" s="85"/>
      <c r="FU250" s="85"/>
      <c r="FV250" s="85"/>
      <c r="FW250" s="85"/>
      <c r="FX250" s="85"/>
      <c r="FY250" s="85"/>
      <c r="FZ250" s="85"/>
      <c r="GA250" s="85"/>
      <c r="GB250" s="85"/>
      <c r="GC250" s="85"/>
      <c r="GD250" s="85"/>
      <c r="GE250" s="85"/>
      <c r="GF250" s="85"/>
      <c r="GG250" s="85"/>
      <c r="GH250" s="85"/>
      <c r="GI250" s="85"/>
      <c r="GJ250" s="85"/>
      <c r="GK250" s="85"/>
      <c r="GL250" s="85"/>
      <c r="GM250" s="85"/>
      <c r="GN250" s="85"/>
      <c r="GO250" s="85"/>
      <c r="GP250" s="85"/>
      <c r="GQ250" s="85"/>
      <c r="GR250" s="85"/>
      <c r="GS250" s="85"/>
      <c r="GT250" s="85"/>
      <c r="GU250" s="85"/>
      <c r="GV250" s="85"/>
      <c r="GW250" s="85"/>
      <c r="GX250" s="85"/>
      <c r="GY250" s="85"/>
      <c r="GZ250" s="85"/>
      <c r="HA250" s="85"/>
      <c r="HB250" s="85"/>
      <c r="HC250" s="85"/>
      <c r="HD250" s="85"/>
      <c r="HE250" s="85"/>
      <c r="HF250" s="85"/>
      <c r="HG250" s="85"/>
      <c r="HH250" s="85"/>
      <c r="HI250" s="85"/>
      <c r="HJ250" s="85"/>
      <c r="HK250" s="85"/>
      <c r="HL250" s="85"/>
      <c r="HM250" s="85"/>
      <c r="HN250" s="85"/>
      <c r="HO250" s="85"/>
      <c r="HP250" s="85"/>
      <c r="HQ250" s="85"/>
      <c r="HR250" s="85"/>
      <c r="HS250" s="85"/>
      <c r="HT250" s="85"/>
      <c r="HU250" s="85"/>
      <c r="HV250" s="85"/>
      <c r="HW250" s="85"/>
      <c r="HX250" s="85"/>
      <c r="HY250" s="85"/>
      <c r="HZ250" s="85"/>
      <c r="IA250" s="85"/>
      <c r="IB250" s="85"/>
      <c r="IC250" s="85"/>
      <c r="ID250" s="85"/>
      <c r="IE250" s="85"/>
      <c r="IF250" s="85"/>
      <c r="IG250" s="85"/>
      <c r="IH250" s="85"/>
      <c r="II250" s="85"/>
      <c r="IJ250" s="85"/>
      <c r="IK250" s="85"/>
      <c r="IL250" s="85"/>
      <c r="IM250" s="85"/>
      <c r="IN250" s="85"/>
      <c r="IO250" s="85"/>
      <c r="IP250" s="85"/>
      <c r="IQ250" s="85"/>
      <c r="IR250" s="85"/>
      <c r="IS250" s="85"/>
      <c r="IT250" s="85"/>
      <c r="IU250" s="85"/>
      <c r="IV250" s="85"/>
      <c r="IW250" s="85"/>
      <c r="IX250" s="85"/>
      <c r="IY250" s="85"/>
      <c r="IZ250" s="85"/>
      <c r="JA250" s="85"/>
      <c r="JB250" s="85"/>
      <c r="JC250" s="85"/>
      <c r="JD250" s="85"/>
      <c r="JE250" s="85"/>
      <c r="JF250" s="85"/>
      <c r="JG250" s="85"/>
      <c r="JH250" s="85"/>
      <c r="JI250" s="85"/>
      <c r="JJ250" s="85"/>
      <c r="JK250" s="85"/>
      <c r="JL250" s="85"/>
      <c r="JM250" s="85"/>
      <c r="JN250" s="85"/>
      <c r="JO250" s="85"/>
      <c r="JP250" s="85"/>
      <c r="JQ250" s="85"/>
      <c r="JR250" s="85"/>
      <c r="JS250" s="85"/>
      <c r="JT250" s="85"/>
      <c r="JU250" s="85"/>
      <c r="JV250" s="85"/>
      <c r="JW250" s="85"/>
      <c r="JX250" s="85"/>
      <c r="JY250" s="85"/>
      <c r="JZ250" s="85"/>
      <c r="KA250" s="85"/>
      <c r="KB250" s="85"/>
      <c r="KC250" s="85"/>
      <c r="KD250" s="85"/>
      <c r="KE250" s="85"/>
      <c r="KF250" s="85"/>
      <c r="KG250" s="85"/>
      <c r="KH250" s="85"/>
      <c r="KI250" s="85"/>
      <c r="KJ250" s="85"/>
      <c r="KK250" s="85"/>
      <c r="KL250" s="85"/>
      <c r="KM250" s="85"/>
      <c r="KN250" s="85"/>
      <c r="KO250" s="85"/>
      <c r="KP250" s="85"/>
      <c r="KQ250" s="85"/>
      <c r="KR250" s="85"/>
      <c r="KS250" s="85"/>
      <c r="KT250" s="85"/>
      <c r="KU250" s="85"/>
      <c r="KV250" s="85"/>
      <c r="KW250" s="85"/>
      <c r="KX250" s="85"/>
      <c r="KY250" s="85"/>
      <c r="KZ250" s="85"/>
      <c r="LA250" s="85"/>
      <c r="LB250" s="85"/>
      <c r="LC250" s="85"/>
      <c r="LD250" s="85"/>
      <c r="LE250" s="85"/>
      <c r="LF250" s="85"/>
      <c r="LG250" s="85"/>
      <c r="LH250" s="85"/>
      <c r="LI250" s="85"/>
      <c r="LJ250" s="85"/>
      <c r="LK250" s="85"/>
      <c r="LL250" s="85"/>
      <c r="LM250" s="85"/>
      <c r="LN250" s="85"/>
      <c r="LO250" s="85"/>
      <c r="LP250" s="85"/>
      <c r="LQ250" s="85"/>
      <c r="LR250" s="85"/>
      <c r="LS250" s="85"/>
      <c r="LT250" s="85"/>
      <c r="LU250" s="85"/>
      <c r="LV250" s="85"/>
      <c r="LW250" s="85"/>
      <c r="LX250" s="85"/>
      <c r="LY250" s="85"/>
      <c r="LZ250" s="85"/>
      <c r="MA250" s="85"/>
      <c r="MB250" s="85"/>
      <c r="MC250" s="85"/>
      <c r="MD250" s="85"/>
      <c r="ME250" s="85"/>
      <c r="MF250" s="85"/>
      <c r="MG250" s="85"/>
      <c r="MH250" s="85"/>
      <c r="MI250" s="85"/>
      <c r="MJ250" s="85"/>
      <c r="MK250" s="85"/>
      <c r="ML250" s="85"/>
      <c r="MM250" s="85"/>
      <c r="MN250" s="85"/>
      <c r="MO250" s="85"/>
      <c r="MP250" s="85"/>
      <c r="MQ250" s="85"/>
      <c r="MR250" s="85"/>
      <c r="MS250" s="85"/>
      <c r="MT250" s="85"/>
      <c r="MU250" s="85"/>
      <c r="MV250" s="85"/>
      <c r="MW250" s="85"/>
      <c r="MX250" s="85"/>
      <c r="MY250" s="85"/>
      <c r="MZ250" s="85"/>
      <c r="NA250" s="85"/>
      <c r="NB250" s="85"/>
      <c r="NC250" s="85"/>
      <c r="ND250" s="85"/>
      <c r="NE250" s="85"/>
      <c r="NF250" s="85"/>
      <c r="NG250" s="85"/>
      <c r="NH250" s="85"/>
      <c r="NI250" s="85"/>
      <c r="NJ250" s="85"/>
      <c r="NK250" s="85"/>
      <c r="NL250" s="85"/>
      <c r="NM250" s="85"/>
      <c r="NN250" s="85"/>
      <c r="NO250" s="85"/>
      <c r="NP250" s="85"/>
      <c r="NQ250" s="85"/>
      <c r="NR250" s="85"/>
      <c r="NS250" s="85"/>
      <c r="NT250" s="85"/>
      <c r="NU250" s="85"/>
      <c r="NV250" s="85"/>
      <c r="NW250" s="85"/>
      <c r="NX250" s="85"/>
      <c r="NY250" s="85"/>
      <c r="NZ250" s="85"/>
      <c r="OA250" s="85"/>
      <c r="OB250" s="85"/>
      <c r="OC250" s="85"/>
      <c r="OD250" s="85"/>
      <c r="OE250" s="85"/>
      <c r="OF250" s="85"/>
      <c r="OG250" s="85"/>
      <c r="OH250" s="85"/>
      <c r="OI250" s="85"/>
      <c r="OJ250" s="85"/>
      <c r="OK250" s="85"/>
      <c r="OL250" s="85"/>
      <c r="OM250" s="85"/>
      <c r="ON250" s="85"/>
      <c r="OO250" s="85"/>
      <c r="OP250" s="85"/>
      <c r="OQ250" s="85"/>
      <c r="OR250" s="85"/>
      <c r="OS250" s="85"/>
      <c r="OT250" s="85"/>
      <c r="OU250" s="85"/>
      <c r="OV250" s="85"/>
      <c r="OW250" s="85"/>
      <c r="OX250" s="85"/>
      <c r="OY250" s="85"/>
      <c r="OZ250" s="85"/>
      <c r="PA250" s="85"/>
      <c r="PB250" s="85"/>
      <c r="PC250" s="85"/>
      <c r="PD250" s="85"/>
      <c r="PE250" s="85"/>
      <c r="PF250" s="85"/>
      <c r="PG250" s="85"/>
      <c r="PH250" s="85"/>
      <c r="PI250" s="85"/>
      <c r="PJ250" s="85"/>
      <c r="PK250" s="85"/>
      <c r="PL250" s="85"/>
      <c r="PM250" s="85"/>
      <c r="PN250" s="85"/>
      <c r="PO250" s="85"/>
      <c r="PP250" s="85"/>
      <c r="PQ250" s="85"/>
      <c r="PR250" s="85"/>
      <c r="PS250" s="85"/>
      <c r="PT250" s="85"/>
      <c r="PU250" s="85"/>
      <c r="PV250" s="85"/>
      <c r="PW250" s="85"/>
      <c r="PX250" s="85"/>
      <c r="PY250" s="85"/>
      <c r="PZ250" s="85"/>
      <c r="QA250" s="85"/>
      <c r="QB250" s="85"/>
      <c r="QC250" s="85"/>
      <c r="QD250" s="85"/>
      <c r="QE250" s="85"/>
      <c r="QF250" s="85"/>
      <c r="QG250" s="85"/>
      <c r="QH250" s="85"/>
      <c r="QI250" s="85"/>
      <c r="QJ250" s="85"/>
      <c r="QK250" s="85"/>
      <c r="QL250" s="85"/>
      <c r="QM250" s="85"/>
      <c r="QN250" s="85"/>
      <c r="QO250" s="85"/>
      <c r="QP250" s="85"/>
      <c r="QQ250" s="85"/>
      <c r="QR250" s="85"/>
      <c r="QS250" s="85"/>
      <c r="QT250" s="85"/>
      <c r="QU250" s="85"/>
      <c r="QV250" s="85"/>
      <c r="QW250" s="85"/>
      <c r="QX250" s="85"/>
      <c r="QY250" s="85"/>
      <c r="QZ250" s="85"/>
      <c r="RA250" s="85"/>
      <c r="RB250" s="85"/>
      <c r="RC250" s="85"/>
      <c r="RD250" s="85"/>
      <c r="RE250" s="85"/>
      <c r="RF250" s="85"/>
      <c r="RG250" s="85"/>
      <c r="RH250" s="85"/>
      <c r="RI250" s="85"/>
      <c r="RJ250" s="85"/>
      <c r="RK250" s="85"/>
      <c r="RL250" s="85"/>
      <c r="RM250" s="85"/>
      <c r="RN250" s="85"/>
      <c r="RO250" s="85"/>
      <c r="RP250" s="85"/>
      <c r="RQ250" s="85"/>
      <c r="RR250" s="85"/>
      <c r="RS250" s="85"/>
      <c r="RT250" s="85"/>
      <c r="RU250" s="85"/>
      <c r="RV250" s="85"/>
      <c r="RW250" s="85"/>
      <c r="RX250" s="85"/>
      <c r="RY250" s="85"/>
      <c r="RZ250" s="85"/>
      <c r="SA250" s="85"/>
      <c r="SB250" s="85"/>
      <c r="SC250" s="85"/>
      <c r="SD250" s="85"/>
      <c r="SE250" s="85"/>
      <c r="SF250" s="85"/>
      <c r="SG250" s="85"/>
      <c r="SH250" s="85"/>
      <c r="SI250" s="85"/>
      <c r="SJ250" s="85"/>
      <c r="SK250" s="85"/>
      <c r="SL250" s="85"/>
      <c r="SM250" s="85"/>
      <c r="SN250" s="85"/>
      <c r="SO250" s="85"/>
      <c r="SP250" s="85"/>
      <c r="SQ250" s="85"/>
      <c r="SR250" s="85"/>
      <c r="SS250" s="85"/>
      <c r="ST250" s="85"/>
      <c r="SU250" s="85"/>
      <c r="SV250" s="85"/>
      <c r="SW250" s="85"/>
      <c r="SX250" s="85"/>
      <c r="SY250" s="85"/>
      <c r="SZ250" s="85"/>
      <c r="TA250" s="85"/>
      <c r="TB250" s="85"/>
      <c r="TC250" s="85"/>
      <c r="TD250" s="85"/>
      <c r="TE250" s="85"/>
      <c r="TF250" s="85"/>
      <c r="TG250" s="85"/>
      <c r="TH250" s="85"/>
      <c r="TI250" s="85"/>
      <c r="TJ250" s="85"/>
      <c r="TK250" s="85"/>
      <c r="TL250" s="85"/>
    </row>
    <row r="251" spans="1:532" s="85" customFormat="1" ht="12.75" customHeight="1">
      <c r="A251" s="122" t="s">
        <v>268</v>
      </c>
      <c r="B251" s="240" t="s">
        <v>269</v>
      </c>
      <c r="C251" s="124"/>
      <c r="D251" s="124">
        <f>+[2]ordinario!C298</f>
        <v>115000000</v>
      </c>
      <c r="E251" s="124">
        <v>158827700.96000001</v>
      </c>
      <c r="F251" s="270"/>
      <c r="G251" s="138"/>
      <c r="H251" s="139"/>
      <c r="I251" s="140">
        <f t="shared" ref="I251:N251" si="9">SUM(I252:I255)</f>
        <v>126833479.25999999</v>
      </c>
      <c r="J251" s="140">
        <f t="shared" si="9"/>
        <v>126833479.25999999</v>
      </c>
      <c r="K251" s="140">
        <f t="shared" si="9"/>
        <v>0</v>
      </c>
      <c r="L251" s="140">
        <f t="shared" si="9"/>
        <v>0</v>
      </c>
      <c r="M251" s="140">
        <f t="shared" si="9"/>
        <v>0</v>
      </c>
      <c r="N251" s="140">
        <f t="shared" si="9"/>
        <v>31994221.70000001</v>
      </c>
    </row>
    <row r="252" spans="1:532" s="85" customFormat="1" ht="12.75" customHeight="1">
      <c r="A252" s="122"/>
      <c r="B252" s="240"/>
      <c r="C252" s="124"/>
      <c r="D252" s="124"/>
      <c r="E252" s="124"/>
      <c r="F252" s="98" t="s">
        <v>182</v>
      </c>
      <c r="G252" s="97" t="s">
        <v>270</v>
      </c>
      <c r="H252" s="98" t="s">
        <v>82</v>
      </c>
      <c r="I252" s="148">
        <f>15843219.7-I855</f>
        <v>11500000</v>
      </c>
      <c r="J252" s="125">
        <f>+I252</f>
        <v>11500000</v>
      </c>
      <c r="K252" s="125"/>
      <c r="L252" s="125"/>
      <c r="M252" s="125"/>
      <c r="N252" s="126">
        <f>+E251*0.1-I252</f>
        <v>4382770.0960000008</v>
      </c>
    </row>
    <row r="253" spans="1:532" s="85" customFormat="1" ht="12.75" customHeight="1">
      <c r="A253" s="122"/>
      <c r="B253" s="240"/>
      <c r="C253" s="124"/>
      <c r="D253" s="124"/>
      <c r="E253" s="124"/>
      <c r="F253" s="98" t="s">
        <v>182</v>
      </c>
      <c r="G253" s="97" t="s">
        <v>271</v>
      </c>
      <c r="H253" s="98" t="s">
        <v>82</v>
      </c>
      <c r="I253" s="148">
        <f>99812284.08-I858</f>
        <v>72450000</v>
      </c>
      <c r="J253" s="125">
        <f>+I253</f>
        <v>72450000</v>
      </c>
      <c r="K253" s="125"/>
      <c r="L253" s="125"/>
      <c r="M253" s="125"/>
      <c r="N253" s="126">
        <f>+E251*0.63-I253</f>
        <v>27611451.604800001</v>
      </c>
    </row>
    <row r="254" spans="1:532" s="85" customFormat="1" ht="12.75" customHeight="1">
      <c r="A254" s="122"/>
      <c r="B254" s="240"/>
      <c r="C254" s="124"/>
      <c r="D254" s="124"/>
      <c r="E254" s="124"/>
      <c r="F254" s="269" t="s">
        <v>181</v>
      </c>
      <c r="G254" s="138" t="s">
        <v>205</v>
      </c>
      <c r="H254" s="98" t="s">
        <v>77</v>
      </c>
      <c r="I254" s="143">
        <v>42883479.259999998</v>
      </c>
      <c r="J254" s="125">
        <f>+I254</f>
        <v>42883479.259999998</v>
      </c>
      <c r="K254" s="125"/>
      <c r="L254" s="125"/>
      <c r="M254" s="125"/>
      <c r="N254" s="126">
        <f>+E251*0.27-I254</f>
        <v>-7.999911904335022E-4</v>
      </c>
    </row>
    <row r="255" spans="1:532" s="85" customFormat="1" ht="12.75" customHeight="1">
      <c r="A255" s="122"/>
      <c r="B255" s="240"/>
      <c r="C255" s="124"/>
      <c r="D255" s="124"/>
      <c r="E255" s="124"/>
      <c r="F255" s="146"/>
      <c r="G255" s="138"/>
      <c r="H255" s="98" t="s">
        <v>82</v>
      </c>
      <c r="I255" s="125"/>
      <c r="J255" s="125">
        <f>+I255</f>
        <v>0</v>
      </c>
      <c r="K255" s="125"/>
      <c r="L255" s="125"/>
      <c r="M255" s="125"/>
      <c r="N255" s="141">
        <v>0</v>
      </c>
    </row>
    <row r="256" spans="1:532" s="135" customFormat="1" ht="12.75" customHeight="1">
      <c r="A256" s="111"/>
      <c r="B256" s="243"/>
      <c r="C256" s="112"/>
      <c r="D256" s="112"/>
      <c r="E256" s="112"/>
      <c r="F256" s="242"/>
      <c r="G256" s="113"/>
      <c r="H256" s="114"/>
      <c r="I256" s="115"/>
      <c r="J256" s="115"/>
      <c r="K256" s="115"/>
      <c r="L256" s="115"/>
      <c r="M256" s="115"/>
      <c r="N256" s="116"/>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c r="AN256" s="85"/>
      <c r="AO256" s="85"/>
      <c r="AP256" s="85"/>
      <c r="AQ256" s="85"/>
      <c r="AR256" s="85"/>
      <c r="AS256" s="85"/>
      <c r="AT256" s="85"/>
      <c r="AU256" s="85"/>
      <c r="AV256" s="85"/>
      <c r="AW256" s="85"/>
      <c r="AX256" s="85"/>
      <c r="AY256" s="85"/>
      <c r="AZ256" s="85"/>
      <c r="BA256" s="85"/>
      <c r="BB256" s="85"/>
      <c r="BC256" s="85"/>
      <c r="BD256" s="85"/>
      <c r="BE256" s="85"/>
      <c r="BF256" s="85"/>
      <c r="BG256" s="85"/>
      <c r="BH256" s="85"/>
      <c r="BI256" s="85"/>
      <c r="BJ256" s="85"/>
      <c r="BK256" s="85"/>
      <c r="BL256" s="85"/>
      <c r="BM256" s="85"/>
      <c r="BN256" s="85"/>
      <c r="BO256" s="85"/>
      <c r="BP256" s="85"/>
      <c r="BQ256" s="85"/>
      <c r="BR256" s="85"/>
      <c r="BS256" s="85"/>
      <c r="BT256" s="85"/>
      <c r="BU256" s="85"/>
      <c r="BV256" s="85"/>
      <c r="BW256" s="85"/>
      <c r="BX256" s="85"/>
      <c r="BY256" s="85"/>
      <c r="BZ256" s="85"/>
      <c r="CA256" s="85"/>
      <c r="CB256" s="85"/>
      <c r="CC256" s="85"/>
      <c r="CD256" s="85"/>
      <c r="CE256" s="85"/>
      <c r="CF256" s="85"/>
      <c r="CG256" s="85"/>
      <c r="CH256" s="85"/>
      <c r="CI256" s="85"/>
      <c r="CJ256" s="85"/>
      <c r="CK256" s="85"/>
      <c r="CL256" s="85"/>
      <c r="CM256" s="85"/>
      <c r="CN256" s="85"/>
      <c r="CO256" s="85"/>
      <c r="CP256" s="85"/>
      <c r="CQ256" s="85"/>
      <c r="CR256" s="85"/>
      <c r="CS256" s="85"/>
      <c r="CT256" s="85"/>
      <c r="CU256" s="85"/>
      <c r="CV256" s="85"/>
      <c r="CW256" s="85"/>
      <c r="CX256" s="85"/>
      <c r="CY256" s="85"/>
      <c r="CZ256" s="85"/>
      <c r="DA256" s="85"/>
      <c r="DB256" s="85"/>
      <c r="DC256" s="85"/>
      <c r="DD256" s="85"/>
      <c r="DE256" s="85"/>
      <c r="DF256" s="85"/>
      <c r="DG256" s="85"/>
      <c r="DH256" s="85"/>
      <c r="DI256" s="85"/>
      <c r="DJ256" s="85"/>
      <c r="DK256" s="85"/>
      <c r="DL256" s="85"/>
      <c r="DM256" s="85"/>
      <c r="DN256" s="85"/>
      <c r="DO256" s="85"/>
      <c r="DP256" s="85"/>
      <c r="DQ256" s="85"/>
      <c r="DR256" s="85"/>
      <c r="DS256" s="85"/>
      <c r="DT256" s="85"/>
      <c r="DU256" s="85"/>
      <c r="DV256" s="85"/>
      <c r="DW256" s="85"/>
      <c r="DX256" s="85"/>
      <c r="DY256" s="85"/>
      <c r="DZ256" s="85"/>
      <c r="EA256" s="85"/>
      <c r="EB256" s="85"/>
      <c r="EC256" s="85"/>
      <c r="ED256" s="85"/>
      <c r="EE256" s="85"/>
      <c r="EF256" s="85"/>
      <c r="EG256" s="85"/>
      <c r="EH256" s="85"/>
      <c r="EI256" s="85"/>
      <c r="EJ256" s="85"/>
      <c r="EK256" s="85"/>
      <c r="EL256" s="85"/>
      <c r="EM256" s="85"/>
      <c r="EN256" s="85"/>
      <c r="EO256" s="85"/>
      <c r="EP256" s="85"/>
      <c r="EQ256" s="85"/>
      <c r="ER256" s="85"/>
      <c r="ES256" s="85"/>
      <c r="ET256" s="85"/>
      <c r="EU256" s="85"/>
      <c r="EV256" s="85"/>
      <c r="EW256" s="85"/>
      <c r="EX256" s="85"/>
      <c r="EY256" s="85"/>
      <c r="EZ256" s="85"/>
      <c r="FA256" s="85"/>
      <c r="FB256" s="85"/>
      <c r="FC256" s="85"/>
      <c r="FD256" s="85"/>
      <c r="FE256" s="85"/>
      <c r="FF256" s="85"/>
      <c r="FG256" s="85"/>
      <c r="FH256" s="85"/>
      <c r="FI256" s="85"/>
      <c r="FJ256" s="85"/>
      <c r="FK256" s="85"/>
      <c r="FL256" s="85"/>
      <c r="FM256" s="85"/>
      <c r="FN256" s="85"/>
      <c r="FO256" s="85"/>
      <c r="FP256" s="85"/>
      <c r="FQ256" s="85"/>
      <c r="FR256" s="85"/>
      <c r="FS256" s="85"/>
      <c r="FT256" s="85"/>
      <c r="FU256" s="85"/>
      <c r="FV256" s="85"/>
      <c r="FW256" s="85"/>
      <c r="FX256" s="85"/>
      <c r="FY256" s="85"/>
      <c r="FZ256" s="85"/>
      <c r="GA256" s="85"/>
      <c r="GB256" s="85"/>
      <c r="GC256" s="85"/>
      <c r="GD256" s="85"/>
      <c r="GE256" s="85"/>
      <c r="GF256" s="85"/>
      <c r="GG256" s="85"/>
      <c r="GH256" s="85"/>
      <c r="GI256" s="85"/>
      <c r="GJ256" s="85"/>
      <c r="GK256" s="85"/>
      <c r="GL256" s="85"/>
      <c r="GM256" s="85"/>
      <c r="GN256" s="85"/>
      <c r="GO256" s="85"/>
      <c r="GP256" s="85"/>
      <c r="GQ256" s="85"/>
      <c r="GR256" s="85"/>
      <c r="GS256" s="85"/>
      <c r="GT256" s="85"/>
      <c r="GU256" s="85"/>
      <c r="GV256" s="85"/>
      <c r="GW256" s="85"/>
      <c r="GX256" s="85"/>
      <c r="GY256" s="85"/>
      <c r="GZ256" s="85"/>
      <c r="HA256" s="85"/>
      <c r="HB256" s="85"/>
      <c r="HC256" s="85"/>
      <c r="HD256" s="85"/>
      <c r="HE256" s="85"/>
      <c r="HF256" s="85"/>
      <c r="HG256" s="85"/>
      <c r="HH256" s="85"/>
      <c r="HI256" s="85"/>
      <c r="HJ256" s="85"/>
      <c r="HK256" s="85"/>
      <c r="HL256" s="85"/>
      <c r="HM256" s="85"/>
      <c r="HN256" s="85"/>
      <c r="HO256" s="85"/>
      <c r="HP256" s="85"/>
      <c r="HQ256" s="85"/>
      <c r="HR256" s="85"/>
      <c r="HS256" s="85"/>
      <c r="HT256" s="85"/>
      <c r="HU256" s="85"/>
      <c r="HV256" s="85"/>
      <c r="HW256" s="85"/>
      <c r="HX256" s="85"/>
      <c r="HY256" s="85"/>
      <c r="HZ256" s="85"/>
      <c r="IA256" s="85"/>
      <c r="IB256" s="85"/>
      <c r="IC256" s="85"/>
      <c r="ID256" s="85"/>
      <c r="IE256" s="85"/>
      <c r="IF256" s="85"/>
      <c r="IG256" s="85"/>
      <c r="IH256" s="85"/>
      <c r="II256" s="85"/>
      <c r="IJ256" s="85"/>
      <c r="IK256" s="85"/>
      <c r="IL256" s="85"/>
      <c r="IM256" s="85"/>
      <c r="IN256" s="85"/>
      <c r="IO256" s="85"/>
      <c r="IP256" s="85"/>
      <c r="IQ256" s="85"/>
      <c r="IR256" s="85"/>
      <c r="IS256" s="85"/>
      <c r="IT256" s="85"/>
      <c r="IU256" s="85"/>
      <c r="IV256" s="85"/>
      <c r="IW256" s="85"/>
      <c r="IX256" s="85"/>
      <c r="IY256" s="85"/>
      <c r="IZ256" s="85"/>
      <c r="JA256" s="85"/>
      <c r="JB256" s="85"/>
      <c r="JC256" s="85"/>
      <c r="JD256" s="85"/>
      <c r="JE256" s="85"/>
      <c r="JF256" s="85"/>
      <c r="JG256" s="85"/>
      <c r="JH256" s="85"/>
      <c r="JI256" s="85"/>
      <c r="JJ256" s="85"/>
      <c r="JK256" s="85"/>
      <c r="JL256" s="85"/>
      <c r="JM256" s="85"/>
      <c r="JN256" s="85"/>
      <c r="JO256" s="85"/>
      <c r="JP256" s="85"/>
      <c r="JQ256" s="85"/>
      <c r="JR256" s="85"/>
      <c r="JS256" s="85"/>
      <c r="JT256" s="85"/>
      <c r="JU256" s="85"/>
      <c r="JV256" s="85"/>
      <c r="JW256" s="85"/>
      <c r="JX256" s="85"/>
      <c r="JY256" s="85"/>
      <c r="JZ256" s="85"/>
      <c r="KA256" s="85"/>
      <c r="KB256" s="85"/>
      <c r="KC256" s="85"/>
      <c r="KD256" s="85"/>
      <c r="KE256" s="85"/>
      <c r="KF256" s="85"/>
      <c r="KG256" s="85"/>
      <c r="KH256" s="85"/>
      <c r="KI256" s="85"/>
      <c r="KJ256" s="85"/>
      <c r="KK256" s="85"/>
      <c r="KL256" s="85"/>
      <c r="KM256" s="85"/>
      <c r="KN256" s="85"/>
      <c r="KO256" s="85"/>
      <c r="KP256" s="85"/>
      <c r="KQ256" s="85"/>
      <c r="KR256" s="85"/>
      <c r="KS256" s="85"/>
      <c r="KT256" s="85"/>
      <c r="KU256" s="85"/>
      <c r="KV256" s="85"/>
      <c r="KW256" s="85"/>
      <c r="KX256" s="85"/>
      <c r="KY256" s="85"/>
      <c r="KZ256" s="85"/>
      <c r="LA256" s="85"/>
      <c r="LB256" s="85"/>
      <c r="LC256" s="85"/>
      <c r="LD256" s="85"/>
      <c r="LE256" s="85"/>
      <c r="LF256" s="85"/>
      <c r="LG256" s="85"/>
      <c r="LH256" s="85"/>
      <c r="LI256" s="85"/>
      <c r="LJ256" s="85"/>
      <c r="LK256" s="85"/>
      <c r="LL256" s="85"/>
      <c r="LM256" s="85"/>
      <c r="LN256" s="85"/>
      <c r="LO256" s="85"/>
      <c r="LP256" s="85"/>
      <c r="LQ256" s="85"/>
      <c r="LR256" s="85"/>
      <c r="LS256" s="85"/>
      <c r="LT256" s="85"/>
      <c r="LU256" s="85"/>
      <c r="LV256" s="85"/>
      <c r="LW256" s="85"/>
      <c r="LX256" s="85"/>
      <c r="LY256" s="85"/>
      <c r="LZ256" s="85"/>
      <c r="MA256" s="85"/>
      <c r="MB256" s="85"/>
      <c r="MC256" s="85"/>
      <c r="MD256" s="85"/>
      <c r="ME256" s="85"/>
      <c r="MF256" s="85"/>
      <c r="MG256" s="85"/>
      <c r="MH256" s="85"/>
      <c r="MI256" s="85"/>
      <c r="MJ256" s="85"/>
      <c r="MK256" s="85"/>
      <c r="ML256" s="85"/>
      <c r="MM256" s="85"/>
      <c r="MN256" s="85"/>
      <c r="MO256" s="85"/>
      <c r="MP256" s="85"/>
      <c r="MQ256" s="85"/>
      <c r="MR256" s="85"/>
      <c r="MS256" s="85"/>
      <c r="MT256" s="85"/>
      <c r="MU256" s="85"/>
      <c r="MV256" s="85"/>
      <c r="MW256" s="85"/>
      <c r="MX256" s="85"/>
      <c r="MY256" s="85"/>
      <c r="MZ256" s="85"/>
      <c r="NA256" s="85"/>
      <c r="NB256" s="85"/>
      <c r="NC256" s="85"/>
      <c r="ND256" s="85"/>
      <c r="NE256" s="85"/>
      <c r="NF256" s="85"/>
      <c r="NG256" s="85"/>
      <c r="NH256" s="85"/>
      <c r="NI256" s="85"/>
      <c r="NJ256" s="85"/>
      <c r="NK256" s="85"/>
      <c r="NL256" s="85"/>
      <c r="NM256" s="85"/>
      <c r="NN256" s="85"/>
      <c r="NO256" s="85"/>
      <c r="NP256" s="85"/>
      <c r="NQ256" s="85"/>
      <c r="NR256" s="85"/>
      <c r="NS256" s="85"/>
      <c r="NT256" s="85"/>
      <c r="NU256" s="85"/>
      <c r="NV256" s="85"/>
      <c r="NW256" s="85"/>
      <c r="NX256" s="85"/>
      <c r="NY256" s="85"/>
      <c r="NZ256" s="85"/>
      <c r="OA256" s="85"/>
      <c r="OB256" s="85"/>
      <c r="OC256" s="85"/>
      <c r="OD256" s="85"/>
      <c r="OE256" s="85"/>
      <c r="OF256" s="85"/>
      <c r="OG256" s="85"/>
      <c r="OH256" s="85"/>
      <c r="OI256" s="85"/>
      <c r="OJ256" s="85"/>
      <c r="OK256" s="85"/>
      <c r="OL256" s="85"/>
      <c r="OM256" s="85"/>
      <c r="ON256" s="85"/>
      <c r="OO256" s="85"/>
      <c r="OP256" s="85"/>
      <c r="OQ256" s="85"/>
      <c r="OR256" s="85"/>
      <c r="OS256" s="85"/>
      <c r="OT256" s="85"/>
      <c r="OU256" s="85"/>
      <c r="OV256" s="85"/>
      <c r="OW256" s="85"/>
      <c r="OX256" s="85"/>
      <c r="OY256" s="85"/>
      <c r="OZ256" s="85"/>
      <c r="PA256" s="85"/>
      <c r="PB256" s="85"/>
      <c r="PC256" s="85"/>
      <c r="PD256" s="85"/>
      <c r="PE256" s="85"/>
      <c r="PF256" s="85"/>
      <c r="PG256" s="85"/>
      <c r="PH256" s="85"/>
      <c r="PI256" s="85"/>
      <c r="PJ256" s="85"/>
      <c r="PK256" s="85"/>
      <c r="PL256" s="85"/>
      <c r="PM256" s="85"/>
      <c r="PN256" s="85"/>
      <c r="PO256" s="85"/>
      <c r="PP256" s="85"/>
      <c r="PQ256" s="85"/>
      <c r="PR256" s="85"/>
      <c r="PS256" s="85"/>
      <c r="PT256" s="85"/>
      <c r="PU256" s="85"/>
      <c r="PV256" s="85"/>
      <c r="PW256" s="85"/>
      <c r="PX256" s="85"/>
      <c r="PY256" s="85"/>
      <c r="PZ256" s="85"/>
      <c r="QA256" s="85"/>
      <c r="QB256" s="85"/>
      <c r="QC256" s="85"/>
      <c r="QD256" s="85"/>
      <c r="QE256" s="85"/>
      <c r="QF256" s="85"/>
      <c r="QG256" s="85"/>
      <c r="QH256" s="85"/>
      <c r="QI256" s="85"/>
      <c r="QJ256" s="85"/>
      <c r="QK256" s="85"/>
      <c r="QL256" s="85"/>
      <c r="QM256" s="85"/>
      <c r="QN256" s="85"/>
      <c r="QO256" s="85"/>
      <c r="QP256" s="85"/>
      <c r="QQ256" s="85"/>
      <c r="QR256" s="85"/>
      <c r="QS256" s="85"/>
      <c r="QT256" s="85"/>
      <c r="QU256" s="85"/>
      <c r="QV256" s="85"/>
      <c r="QW256" s="85"/>
      <c r="QX256" s="85"/>
      <c r="QY256" s="85"/>
      <c r="QZ256" s="85"/>
      <c r="RA256" s="85"/>
      <c r="RB256" s="85"/>
      <c r="RC256" s="85"/>
      <c r="RD256" s="85"/>
      <c r="RE256" s="85"/>
      <c r="RF256" s="85"/>
      <c r="RG256" s="85"/>
      <c r="RH256" s="85"/>
      <c r="RI256" s="85"/>
      <c r="RJ256" s="85"/>
      <c r="RK256" s="85"/>
      <c r="RL256" s="85"/>
      <c r="RM256" s="85"/>
      <c r="RN256" s="85"/>
      <c r="RO256" s="85"/>
      <c r="RP256" s="85"/>
      <c r="RQ256" s="85"/>
      <c r="RR256" s="85"/>
      <c r="RS256" s="85"/>
      <c r="RT256" s="85"/>
      <c r="RU256" s="85"/>
      <c r="RV256" s="85"/>
      <c r="RW256" s="85"/>
      <c r="RX256" s="85"/>
      <c r="RY256" s="85"/>
      <c r="RZ256" s="85"/>
      <c r="SA256" s="85"/>
      <c r="SB256" s="85"/>
      <c r="SC256" s="85"/>
      <c r="SD256" s="85"/>
      <c r="SE256" s="85"/>
      <c r="SF256" s="85"/>
      <c r="SG256" s="85"/>
      <c r="SH256" s="85"/>
      <c r="SI256" s="85"/>
      <c r="SJ256" s="85"/>
      <c r="SK256" s="85"/>
      <c r="SL256" s="85"/>
      <c r="SM256" s="85"/>
      <c r="SN256" s="85"/>
      <c r="SO256" s="85"/>
      <c r="SP256" s="85"/>
      <c r="SQ256" s="85"/>
      <c r="SR256" s="85"/>
      <c r="SS256" s="85"/>
      <c r="ST256" s="85"/>
      <c r="SU256" s="85"/>
      <c r="SV256" s="85"/>
      <c r="SW256" s="85"/>
      <c r="SX256" s="85"/>
      <c r="SY256" s="85"/>
      <c r="SZ256" s="85"/>
      <c r="TA256" s="85"/>
      <c r="TB256" s="85"/>
      <c r="TC256" s="85"/>
      <c r="TD256" s="85"/>
      <c r="TE256" s="85"/>
      <c r="TF256" s="85"/>
      <c r="TG256" s="85"/>
      <c r="TH256" s="85"/>
      <c r="TI256" s="85"/>
      <c r="TJ256" s="85"/>
      <c r="TK256" s="85"/>
      <c r="TL256" s="85"/>
    </row>
    <row r="257" spans="1:532" s="85" customFormat="1" ht="12.75" customHeight="1">
      <c r="A257" s="122" t="s">
        <v>272</v>
      </c>
      <c r="B257" s="240" t="s">
        <v>273</v>
      </c>
      <c r="C257" s="124"/>
      <c r="D257" s="124">
        <f>+[2]ordinario!C310</f>
        <v>4250000000</v>
      </c>
      <c r="E257" s="124">
        <v>4419421520.1000004</v>
      </c>
      <c r="F257" s="96"/>
      <c r="G257" s="97"/>
      <c r="H257" s="98"/>
      <c r="I257" s="140">
        <f t="shared" ref="I257:N257" si="10">SUM(I258:I270)</f>
        <v>2036881185.3000002</v>
      </c>
      <c r="J257" s="140">
        <f t="shared" si="10"/>
        <v>1826686268.5500002</v>
      </c>
      <c r="K257" s="140">
        <f t="shared" si="10"/>
        <v>210194916.74999997</v>
      </c>
      <c r="L257" s="140">
        <f t="shared" si="10"/>
        <v>0</v>
      </c>
      <c r="M257" s="140">
        <f t="shared" si="10"/>
        <v>0</v>
      </c>
      <c r="N257" s="140">
        <f t="shared" si="10"/>
        <v>2382540334.7975149</v>
      </c>
    </row>
    <row r="258" spans="1:532" s="85" customFormat="1" ht="12.75" customHeight="1">
      <c r="A258" s="122"/>
      <c r="B258" s="240"/>
      <c r="C258" s="124"/>
      <c r="D258" s="124"/>
      <c r="E258" s="124"/>
      <c r="F258" s="96" t="s">
        <v>178</v>
      </c>
      <c r="G258" s="97" t="s">
        <v>179</v>
      </c>
      <c r="H258" s="98" t="s">
        <v>77</v>
      </c>
      <c r="I258" s="125">
        <v>441942152.00999999</v>
      </c>
      <c r="J258" s="125">
        <f>+I258</f>
        <v>441942152.00999999</v>
      </c>
      <c r="K258" s="125"/>
      <c r="L258" s="125"/>
      <c r="M258" s="125"/>
      <c r="N258" s="126">
        <f>-I258+E257*0.1</f>
        <v>0</v>
      </c>
    </row>
    <row r="259" spans="1:532" s="85" customFormat="1" ht="12.75" customHeight="1">
      <c r="A259" s="122"/>
      <c r="B259" s="240"/>
      <c r="C259" s="124"/>
      <c r="D259" s="124"/>
      <c r="E259" s="124"/>
      <c r="F259" s="146"/>
      <c r="G259" s="138"/>
      <c r="H259" s="98"/>
      <c r="I259" s="125"/>
      <c r="J259" s="125"/>
      <c r="K259" s="125"/>
      <c r="L259" s="125"/>
      <c r="M259" s="125"/>
      <c r="N259" s="126"/>
    </row>
    <row r="260" spans="1:532" s="85" customFormat="1" ht="12.75" customHeight="1">
      <c r="A260" s="122"/>
      <c r="B260" s="240"/>
      <c r="C260" s="124"/>
      <c r="D260" s="124"/>
      <c r="E260" s="124"/>
      <c r="F260" s="146" t="s">
        <v>157</v>
      </c>
      <c r="G260" s="97" t="s">
        <v>274</v>
      </c>
      <c r="H260" s="98" t="s">
        <v>77</v>
      </c>
      <c r="I260" s="125">
        <v>1130510027.54</v>
      </c>
      <c r="J260" s="125">
        <f>+I260</f>
        <v>1130510027.54</v>
      </c>
      <c r="K260" s="125"/>
      <c r="L260" s="125"/>
      <c r="M260" s="125"/>
      <c r="N260" s="125">
        <f>-I260+[2]ordinario!I314+39900000-500000</f>
        <v>266763074.67791462</v>
      </c>
    </row>
    <row r="261" spans="1:532" s="85" customFormat="1" ht="12.75" customHeight="1">
      <c r="A261" s="122"/>
      <c r="B261" s="240"/>
      <c r="C261" s="124"/>
      <c r="D261" s="124"/>
      <c r="E261" s="124"/>
      <c r="F261" s="146"/>
      <c r="G261" s="97"/>
      <c r="H261" s="98" t="s">
        <v>78</v>
      </c>
      <c r="I261" s="125">
        <f>307552718.98-I938</f>
        <v>153780025.22000003</v>
      </c>
      <c r="J261" s="125">
        <f>+I261</f>
        <v>153780025.22000003</v>
      </c>
      <c r="K261" s="125"/>
      <c r="L261" s="125"/>
      <c r="M261" s="125"/>
      <c r="N261" s="125">
        <f>-I261+[2]ordinario!I315-39900000-13000000+500000</f>
        <v>333369531.4296</v>
      </c>
    </row>
    <row r="262" spans="1:532" s="85" customFormat="1" ht="12.75" customHeight="1">
      <c r="A262" s="122"/>
      <c r="B262" s="240"/>
      <c r="C262" s="124"/>
      <c r="D262" s="124"/>
      <c r="E262" s="124"/>
      <c r="F262" s="146"/>
      <c r="G262" s="97"/>
      <c r="H262" s="98" t="s">
        <v>79</v>
      </c>
      <c r="I262" s="125">
        <f>104868076.16-I939</f>
        <v>33868076.159999996</v>
      </c>
      <c r="J262" s="125">
        <f>+I262</f>
        <v>33868076.159999996</v>
      </c>
      <c r="K262" s="125"/>
      <c r="L262" s="125"/>
      <c r="M262" s="125"/>
      <c r="N262" s="125">
        <f>-I262+[2]ordinario!I316+9000000</f>
        <v>87531923.840000004</v>
      </c>
    </row>
    <row r="263" spans="1:532" s="85" customFormat="1" ht="12.75" customHeight="1">
      <c r="A263" s="122"/>
      <c r="B263" s="240"/>
      <c r="C263" s="124"/>
      <c r="D263" s="124"/>
      <c r="E263" s="124"/>
      <c r="F263" s="146"/>
      <c r="G263" s="97"/>
      <c r="H263" s="98" t="s">
        <v>80</v>
      </c>
      <c r="I263" s="125"/>
      <c r="J263" s="125">
        <f>+I263</f>
        <v>0</v>
      </c>
      <c r="K263" s="125"/>
      <c r="L263" s="125"/>
      <c r="M263" s="125"/>
      <c r="N263" s="125">
        <f>-I263+[2]ordinario!I317</f>
        <v>0</v>
      </c>
    </row>
    <row r="264" spans="1:532" s="85" customFormat="1" ht="12.75" customHeight="1">
      <c r="A264" s="122"/>
      <c r="B264" s="240"/>
      <c r="C264" s="124"/>
      <c r="D264" s="124"/>
      <c r="E264" s="124"/>
      <c r="F264" s="146"/>
      <c r="G264" s="97"/>
      <c r="H264" s="98" t="s">
        <v>81</v>
      </c>
      <c r="I264" s="248">
        <f>547936880.64-I940-I322</f>
        <v>210194916.74999997</v>
      </c>
      <c r="J264" s="125"/>
      <c r="K264" s="125">
        <f>+I264</f>
        <v>210194916.74999997</v>
      </c>
      <c r="L264" s="125"/>
      <c r="M264" s="125"/>
      <c r="N264" s="125">
        <f>-I264+[2]ordinario!I318</f>
        <v>48558499.169999987</v>
      </c>
    </row>
    <row r="265" spans="1:532" s="85" customFormat="1" ht="12.75" customHeight="1">
      <c r="A265" s="122"/>
      <c r="B265" s="240"/>
      <c r="C265" s="124"/>
      <c r="D265" s="124"/>
      <c r="E265" s="124"/>
      <c r="F265" s="146"/>
      <c r="G265" s="97"/>
      <c r="H265" s="98" t="s">
        <v>82</v>
      </c>
      <c r="I265" s="125">
        <f>73585987.62-I472</f>
        <v>66585987.620000005</v>
      </c>
      <c r="J265" s="125">
        <f>+I265</f>
        <v>66585987.620000005</v>
      </c>
      <c r="K265" s="125"/>
      <c r="L265" s="125"/>
      <c r="M265" s="125"/>
      <c r="N265" s="125">
        <f>-I265+[2]ordinario!I319+4000000</f>
        <v>6951821.5</v>
      </c>
    </row>
    <row r="266" spans="1:532" s="85" customFormat="1" ht="12.75" customHeight="1">
      <c r="A266" s="122"/>
      <c r="B266" s="240"/>
      <c r="C266" s="124"/>
      <c r="D266" s="124"/>
      <c r="E266" s="124"/>
      <c r="F266" s="146" t="s">
        <v>275</v>
      </c>
      <c r="G266" s="97" t="s">
        <v>276</v>
      </c>
      <c r="H266" s="98"/>
      <c r="I266" s="125"/>
      <c r="J266" s="125"/>
      <c r="K266" s="125"/>
      <c r="L266" s="125"/>
      <c r="M266" s="125"/>
      <c r="N266" s="142"/>
    </row>
    <row r="267" spans="1:532" s="85" customFormat="1" ht="12.75" customHeight="1">
      <c r="A267" s="122"/>
      <c r="B267" s="240"/>
      <c r="C267" s="124"/>
      <c r="D267" s="124"/>
      <c r="E267" s="124"/>
      <c r="F267" s="146"/>
      <c r="G267" s="138"/>
      <c r="H267" s="98" t="s">
        <v>78</v>
      </c>
      <c r="I267" s="268">
        <f>457691814.87-I943</f>
        <v>0</v>
      </c>
      <c r="J267" s="125"/>
      <c r="K267" s="125">
        <f>+I267</f>
        <v>0</v>
      </c>
      <c r="L267" s="125"/>
      <c r="M267" s="125"/>
      <c r="N267" s="143">
        <f>-I267+[2]ordinario!I323-11900000</f>
        <v>363400000</v>
      </c>
    </row>
    <row r="268" spans="1:532" s="85" customFormat="1" ht="12.75" customHeight="1">
      <c r="A268" s="122"/>
      <c r="B268" s="240"/>
      <c r="C268" s="124"/>
      <c r="D268" s="124"/>
      <c r="E268" s="124"/>
      <c r="F268" s="146"/>
      <c r="G268" s="138"/>
      <c r="H268" s="98" t="s">
        <v>79</v>
      </c>
      <c r="I268" s="268">
        <f>354365401.43-I944</f>
        <v>0</v>
      </c>
      <c r="J268" s="125"/>
      <c r="K268" s="125">
        <f>+I268</f>
        <v>0</v>
      </c>
      <c r="L268" s="125"/>
      <c r="M268" s="125"/>
      <c r="N268" s="143">
        <f>-I268+[2]ordinario!I324-50100000</f>
        <v>364786116.08999997</v>
      </c>
    </row>
    <row r="269" spans="1:532" s="85" customFormat="1" ht="12.75" customHeight="1">
      <c r="A269" s="122"/>
      <c r="B269" s="240"/>
      <c r="C269" s="124"/>
      <c r="D269" s="124"/>
      <c r="E269" s="124"/>
      <c r="F269" s="146"/>
      <c r="G269" s="138"/>
      <c r="H269" s="98" t="s">
        <v>81</v>
      </c>
      <c r="I269" s="268">
        <f>1700314741.75-I945</f>
        <v>0</v>
      </c>
      <c r="J269" s="125"/>
      <c r="K269" s="125">
        <f>+I269</f>
        <v>0</v>
      </c>
      <c r="L269" s="125"/>
      <c r="M269" s="125"/>
      <c r="N269" s="143">
        <f>-I269+[2]ordinario!I325+62000000</f>
        <v>758700000</v>
      </c>
    </row>
    <row r="270" spans="1:532" s="85" customFormat="1" ht="12.75" customHeight="1">
      <c r="A270" s="122"/>
      <c r="B270" s="240"/>
      <c r="C270" s="124"/>
      <c r="D270" s="124"/>
      <c r="E270" s="124"/>
      <c r="F270" s="146" t="s">
        <v>277</v>
      </c>
      <c r="G270" s="138"/>
      <c r="H270" s="98"/>
      <c r="I270" s="125"/>
      <c r="J270" s="125"/>
      <c r="K270" s="125"/>
      <c r="L270" s="125"/>
      <c r="M270" s="125"/>
      <c r="N270" s="126">
        <f>(+E257-D257)*0.9</f>
        <v>152479368.09000036</v>
      </c>
    </row>
    <row r="271" spans="1:532" s="135" customFormat="1" ht="12.75" customHeight="1">
      <c r="A271" s="111"/>
      <c r="B271" s="243"/>
      <c r="C271" s="112"/>
      <c r="D271" s="112"/>
      <c r="E271" s="112"/>
      <c r="F271" s="242"/>
      <c r="G271" s="113"/>
      <c r="H271" s="114"/>
      <c r="I271" s="115"/>
      <c r="J271" s="115"/>
      <c r="K271" s="115"/>
      <c r="L271" s="115"/>
      <c r="M271" s="115"/>
      <c r="N271" s="116"/>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c r="BH271" s="85"/>
      <c r="BI271" s="85"/>
      <c r="BJ271" s="85"/>
      <c r="BK271" s="85"/>
      <c r="BL271" s="85"/>
      <c r="BM271" s="85"/>
      <c r="BN271" s="85"/>
      <c r="BO271" s="85"/>
      <c r="BP271" s="85"/>
      <c r="BQ271" s="85"/>
      <c r="BR271" s="85"/>
      <c r="BS271" s="85"/>
      <c r="BT271" s="85"/>
      <c r="BU271" s="85"/>
      <c r="BV271" s="85"/>
      <c r="BW271" s="85"/>
      <c r="BX271" s="85"/>
      <c r="BY271" s="85"/>
      <c r="BZ271" s="85"/>
      <c r="CA271" s="85"/>
      <c r="CB271" s="85"/>
      <c r="CC271" s="85"/>
      <c r="CD271" s="85"/>
      <c r="CE271" s="85"/>
      <c r="CF271" s="85"/>
      <c r="CG271" s="85"/>
      <c r="CH271" s="85"/>
      <c r="CI271" s="85"/>
      <c r="CJ271" s="85"/>
      <c r="CK271" s="85"/>
      <c r="CL271" s="85"/>
      <c r="CM271" s="85"/>
      <c r="CN271" s="85"/>
      <c r="CO271" s="85"/>
      <c r="CP271" s="85"/>
      <c r="CQ271" s="85"/>
      <c r="CR271" s="85"/>
      <c r="CS271" s="85"/>
      <c r="CT271" s="85"/>
      <c r="CU271" s="85"/>
      <c r="CV271" s="85"/>
      <c r="CW271" s="85"/>
      <c r="CX271" s="85"/>
      <c r="CY271" s="85"/>
      <c r="CZ271" s="85"/>
      <c r="DA271" s="85"/>
      <c r="DB271" s="85"/>
      <c r="DC271" s="85"/>
      <c r="DD271" s="85"/>
      <c r="DE271" s="85"/>
      <c r="DF271" s="85"/>
      <c r="DG271" s="85"/>
      <c r="DH271" s="85"/>
      <c r="DI271" s="85"/>
      <c r="DJ271" s="85"/>
      <c r="DK271" s="85"/>
      <c r="DL271" s="85"/>
      <c r="DM271" s="85"/>
      <c r="DN271" s="85"/>
      <c r="DO271" s="85"/>
      <c r="DP271" s="85"/>
      <c r="DQ271" s="85"/>
      <c r="DR271" s="85"/>
      <c r="DS271" s="85"/>
      <c r="DT271" s="85"/>
      <c r="DU271" s="85"/>
      <c r="DV271" s="85"/>
      <c r="DW271" s="85"/>
      <c r="DX271" s="85"/>
      <c r="DY271" s="85"/>
      <c r="DZ271" s="85"/>
      <c r="EA271" s="85"/>
      <c r="EB271" s="85"/>
      <c r="EC271" s="85"/>
      <c r="ED271" s="85"/>
      <c r="EE271" s="85"/>
      <c r="EF271" s="85"/>
      <c r="EG271" s="85"/>
      <c r="EH271" s="85"/>
      <c r="EI271" s="85"/>
      <c r="EJ271" s="85"/>
      <c r="EK271" s="85"/>
      <c r="EL271" s="85"/>
      <c r="EM271" s="85"/>
      <c r="EN271" s="85"/>
      <c r="EO271" s="85"/>
      <c r="EP271" s="85"/>
      <c r="EQ271" s="85"/>
      <c r="ER271" s="85"/>
      <c r="ES271" s="85"/>
      <c r="ET271" s="85"/>
      <c r="EU271" s="85"/>
      <c r="EV271" s="85"/>
      <c r="EW271" s="85"/>
      <c r="EX271" s="85"/>
      <c r="EY271" s="85"/>
      <c r="EZ271" s="85"/>
      <c r="FA271" s="85"/>
      <c r="FB271" s="85"/>
      <c r="FC271" s="85"/>
      <c r="FD271" s="85"/>
      <c r="FE271" s="85"/>
      <c r="FF271" s="85"/>
      <c r="FG271" s="85"/>
      <c r="FH271" s="85"/>
      <c r="FI271" s="85"/>
      <c r="FJ271" s="85"/>
      <c r="FK271" s="85"/>
      <c r="FL271" s="85"/>
      <c r="FM271" s="85"/>
      <c r="FN271" s="85"/>
      <c r="FO271" s="85"/>
      <c r="FP271" s="85"/>
      <c r="FQ271" s="85"/>
      <c r="FR271" s="85"/>
      <c r="FS271" s="85"/>
      <c r="FT271" s="85"/>
      <c r="FU271" s="85"/>
      <c r="FV271" s="85"/>
      <c r="FW271" s="85"/>
      <c r="FX271" s="85"/>
      <c r="FY271" s="85"/>
      <c r="FZ271" s="85"/>
      <c r="GA271" s="85"/>
      <c r="GB271" s="85"/>
      <c r="GC271" s="85"/>
      <c r="GD271" s="85"/>
      <c r="GE271" s="85"/>
      <c r="GF271" s="85"/>
      <c r="GG271" s="85"/>
      <c r="GH271" s="85"/>
      <c r="GI271" s="85"/>
      <c r="GJ271" s="85"/>
      <c r="GK271" s="85"/>
      <c r="GL271" s="85"/>
      <c r="GM271" s="85"/>
      <c r="GN271" s="85"/>
      <c r="GO271" s="85"/>
      <c r="GP271" s="85"/>
      <c r="GQ271" s="85"/>
      <c r="GR271" s="85"/>
      <c r="GS271" s="85"/>
      <c r="GT271" s="85"/>
      <c r="GU271" s="85"/>
      <c r="GV271" s="85"/>
      <c r="GW271" s="85"/>
      <c r="GX271" s="85"/>
      <c r="GY271" s="85"/>
      <c r="GZ271" s="85"/>
      <c r="HA271" s="85"/>
      <c r="HB271" s="85"/>
      <c r="HC271" s="85"/>
      <c r="HD271" s="85"/>
      <c r="HE271" s="85"/>
      <c r="HF271" s="85"/>
      <c r="HG271" s="85"/>
      <c r="HH271" s="85"/>
      <c r="HI271" s="85"/>
      <c r="HJ271" s="85"/>
      <c r="HK271" s="85"/>
      <c r="HL271" s="85"/>
      <c r="HM271" s="85"/>
      <c r="HN271" s="85"/>
      <c r="HO271" s="85"/>
      <c r="HP271" s="85"/>
      <c r="HQ271" s="85"/>
      <c r="HR271" s="85"/>
      <c r="HS271" s="85"/>
      <c r="HT271" s="85"/>
      <c r="HU271" s="85"/>
      <c r="HV271" s="85"/>
      <c r="HW271" s="85"/>
      <c r="HX271" s="85"/>
      <c r="HY271" s="85"/>
      <c r="HZ271" s="85"/>
      <c r="IA271" s="85"/>
      <c r="IB271" s="85"/>
      <c r="IC271" s="85"/>
      <c r="ID271" s="85"/>
      <c r="IE271" s="85"/>
      <c r="IF271" s="85"/>
      <c r="IG271" s="85"/>
      <c r="IH271" s="85"/>
      <c r="II271" s="85"/>
      <c r="IJ271" s="85"/>
      <c r="IK271" s="85"/>
      <c r="IL271" s="85"/>
      <c r="IM271" s="85"/>
      <c r="IN271" s="85"/>
      <c r="IO271" s="85"/>
      <c r="IP271" s="85"/>
      <c r="IQ271" s="85"/>
      <c r="IR271" s="85"/>
      <c r="IS271" s="85"/>
      <c r="IT271" s="85"/>
      <c r="IU271" s="85"/>
      <c r="IV271" s="85"/>
      <c r="IW271" s="85"/>
      <c r="IX271" s="85"/>
      <c r="IY271" s="85"/>
      <c r="IZ271" s="85"/>
      <c r="JA271" s="85"/>
      <c r="JB271" s="85"/>
      <c r="JC271" s="85"/>
      <c r="JD271" s="85"/>
      <c r="JE271" s="85"/>
      <c r="JF271" s="85"/>
      <c r="JG271" s="85"/>
      <c r="JH271" s="85"/>
      <c r="JI271" s="85"/>
      <c r="JJ271" s="85"/>
      <c r="JK271" s="85"/>
      <c r="JL271" s="85"/>
      <c r="JM271" s="85"/>
      <c r="JN271" s="85"/>
      <c r="JO271" s="85"/>
      <c r="JP271" s="85"/>
      <c r="JQ271" s="85"/>
      <c r="JR271" s="85"/>
      <c r="JS271" s="85"/>
      <c r="JT271" s="85"/>
      <c r="JU271" s="85"/>
      <c r="JV271" s="85"/>
      <c r="JW271" s="85"/>
      <c r="JX271" s="85"/>
      <c r="JY271" s="85"/>
      <c r="JZ271" s="85"/>
      <c r="KA271" s="85"/>
      <c r="KB271" s="85"/>
      <c r="KC271" s="85"/>
      <c r="KD271" s="85"/>
      <c r="KE271" s="85"/>
      <c r="KF271" s="85"/>
      <c r="KG271" s="85"/>
      <c r="KH271" s="85"/>
      <c r="KI271" s="85"/>
      <c r="KJ271" s="85"/>
      <c r="KK271" s="85"/>
      <c r="KL271" s="85"/>
      <c r="KM271" s="85"/>
      <c r="KN271" s="85"/>
      <c r="KO271" s="85"/>
      <c r="KP271" s="85"/>
      <c r="KQ271" s="85"/>
      <c r="KR271" s="85"/>
      <c r="KS271" s="85"/>
      <c r="KT271" s="85"/>
      <c r="KU271" s="85"/>
      <c r="KV271" s="85"/>
      <c r="KW271" s="85"/>
      <c r="KX271" s="85"/>
      <c r="KY271" s="85"/>
      <c r="KZ271" s="85"/>
      <c r="LA271" s="85"/>
      <c r="LB271" s="85"/>
      <c r="LC271" s="85"/>
      <c r="LD271" s="85"/>
      <c r="LE271" s="85"/>
      <c r="LF271" s="85"/>
      <c r="LG271" s="85"/>
      <c r="LH271" s="85"/>
      <c r="LI271" s="85"/>
      <c r="LJ271" s="85"/>
      <c r="LK271" s="85"/>
      <c r="LL271" s="85"/>
      <c r="LM271" s="85"/>
      <c r="LN271" s="85"/>
      <c r="LO271" s="85"/>
      <c r="LP271" s="85"/>
      <c r="LQ271" s="85"/>
      <c r="LR271" s="85"/>
      <c r="LS271" s="85"/>
      <c r="LT271" s="85"/>
      <c r="LU271" s="85"/>
      <c r="LV271" s="85"/>
      <c r="LW271" s="85"/>
      <c r="LX271" s="85"/>
      <c r="LY271" s="85"/>
      <c r="LZ271" s="85"/>
      <c r="MA271" s="85"/>
      <c r="MB271" s="85"/>
      <c r="MC271" s="85"/>
      <c r="MD271" s="85"/>
      <c r="ME271" s="85"/>
      <c r="MF271" s="85"/>
      <c r="MG271" s="85"/>
      <c r="MH271" s="85"/>
      <c r="MI271" s="85"/>
      <c r="MJ271" s="85"/>
      <c r="MK271" s="85"/>
      <c r="ML271" s="85"/>
      <c r="MM271" s="85"/>
      <c r="MN271" s="85"/>
      <c r="MO271" s="85"/>
      <c r="MP271" s="85"/>
      <c r="MQ271" s="85"/>
      <c r="MR271" s="85"/>
      <c r="MS271" s="85"/>
      <c r="MT271" s="85"/>
      <c r="MU271" s="85"/>
      <c r="MV271" s="85"/>
      <c r="MW271" s="85"/>
      <c r="MX271" s="85"/>
      <c r="MY271" s="85"/>
      <c r="MZ271" s="85"/>
      <c r="NA271" s="85"/>
      <c r="NB271" s="85"/>
      <c r="NC271" s="85"/>
      <c r="ND271" s="85"/>
      <c r="NE271" s="85"/>
      <c r="NF271" s="85"/>
      <c r="NG271" s="85"/>
      <c r="NH271" s="85"/>
      <c r="NI271" s="85"/>
      <c r="NJ271" s="85"/>
      <c r="NK271" s="85"/>
      <c r="NL271" s="85"/>
      <c r="NM271" s="85"/>
      <c r="NN271" s="85"/>
      <c r="NO271" s="85"/>
      <c r="NP271" s="85"/>
      <c r="NQ271" s="85"/>
      <c r="NR271" s="85"/>
      <c r="NS271" s="85"/>
      <c r="NT271" s="85"/>
      <c r="NU271" s="85"/>
      <c r="NV271" s="85"/>
      <c r="NW271" s="85"/>
      <c r="NX271" s="85"/>
      <c r="NY271" s="85"/>
      <c r="NZ271" s="85"/>
      <c r="OA271" s="85"/>
      <c r="OB271" s="85"/>
      <c r="OC271" s="85"/>
      <c r="OD271" s="85"/>
      <c r="OE271" s="85"/>
      <c r="OF271" s="85"/>
      <c r="OG271" s="85"/>
      <c r="OH271" s="85"/>
      <c r="OI271" s="85"/>
      <c r="OJ271" s="85"/>
      <c r="OK271" s="85"/>
      <c r="OL271" s="85"/>
      <c r="OM271" s="85"/>
      <c r="ON271" s="85"/>
      <c r="OO271" s="85"/>
      <c r="OP271" s="85"/>
      <c r="OQ271" s="85"/>
      <c r="OR271" s="85"/>
      <c r="OS271" s="85"/>
      <c r="OT271" s="85"/>
      <c r="OU271" s="85"/>
      <c r="OV271" s="85"/>
      <c r="OW271" s="85"/>
      <c r="OX271" s="85"/>
      <c r="OY271" s="85"/>
      <c r="OZ271" s="85"/>
      <c r="PA271" s="85"/>
      <c r="PB271" s="85"/>
      <c r="PC271" s="85"/>
      <c r="PD271" s="85"/>
      <c r="PE271" s="85"/>
      <c r="PF271" s="85"/>
      <c r="PG271" s="85"/>
      <c r="PH271" s="85"/>
      <c r="PI271" s="85"/>
      <c r="PJ271" s="85"/>
      <c r="PK271" s="85"/>
      <c r="PL271" s="85"/>
      <c r="PM271" s="85"/>
      <c r="PN271" s="85"/>
      <c r="PO271" s="85"/>
      <c r="PP271" s="85"/>
      <c r="PQ271" s="85"/>
      <c r="PR271" s="85"/>
      <c r="PS271" s="85"/>
      <c r="PT271" s="85"/>
      <c r="PU271" s="85"/>
      <c r="PV271" s="85"/>
      <c r="PW271" s="85"/>
      <c r="PX271" s="85"/>
      <c r="PY271" s="85"/>
      <c r="PZ271" s="85"/>
      <c r="QA271" s="85"/>
      <c r="QB271" s="85"/>
      <c r="QC271" s="85"/>
      <c r="QD271" s="85"/>
      <c r="QE271" s="85"/>
      <c r="QF271" s="85"/>
      <c r="QG271" s="85"/>
      <c r="QH271" s="85"/>
      <c r="QI271" s="85"/>
      <c r="QJ271" s="85"/>
      <c r="QK271" s="85"/>
      <c r="QL271" s="85"/>
      <c r="QM271" s="85"/>
      <c r="QN271" s="85"/>
      <c r="QO271" s="85"/>
      <c r="QP271" s="85"/>
      <c r="QQ271" s="85"/>
      <c r="QR271" s="85"/>
      <c r="QS271" s="85"/>
      <c r="QT271" s="85"/>
      <c r="QU271" s="85"/>
      <c r="QV271" s="85"/>
      <c r="QW271" s="85"/>
      <c r="QX271" s="85"/>
      <c r="QY271" s="85"/>
      <c r="QZ271" s="85"/>
      <c r="RA271" s="85"/>
      <c r="RB271" s="85"/>
      <c r="RC271" s="85"/>
      <c r="RD271" s="85"/>
      <c r="RE271" s="85"/>
      <c r="RF271" s="85"/>
      <c r="RG271" s="85"/>
      <c r="RH271" s="85"/>
      <c r="RI271" s="85"/>
      <c r="RJ271" s="85"/>
      <c r="RK271" s="85"/>
      <c r="RL271" s="85"/>
      <c r="RM271" s="85"/>
      <c r="RN271" s="85"/>
      <c r="RO271" s="85"/>
      <c r="RP271" s="85"/>
      <c r="RQ271" s="85"/>
      <c r="RR271" s="85"/>
      <c r="RS271" s="85"/>
      <c r="RT271" s="85"/>
      <c r="RU271" s="85"/>
      <c r="RV271" s="85"/>
      <c r="RW271" s="85"/>
      <c r="RX271" s="85"/>
      <c r="RY271" s="85"/>
      <c r="RZ271" s="85"/>
      <c r="SA271" s="85"/>
      <c r="SB271" s="85"/>
      <c r="SC271" s="85"/>
      <c r="SD271" s="85"/>
      <c r="SE271" s="85"/>
      <c r="SF271" s="85"/>
      <c r="SG271" s="85"/>
      <c r="SH271" s="85"/>
      <c r="SI271" s="85"/>
      <c r="SJ271" s="85"/>
      <c r="SK271" s="85"/>
      <c r="SL271" s="85"/>
      <c r="SM271" s="85"/>
      <c r="SN271" s="85"/>
      <c r="SO271" s="85"/>
      <c r="SP271" s="85"/>
      <c r="SQ271" s="85"/>
      <c r="SR271" s="85"/>
      <c r="SS271" s="85"/>
      <c r="ST271" s="85"/>
      <c r="SU271" s="85"/>
      <c r="SV271" s="85"/>
      <c r="SW271" s="85"/>
      <c r="SX271" s="85"/>
      <c r="SY271" s="85"/>
      <c r="SZ271" s="85"/>
      <c r="TA271" s="85"/>
      <c r="TB271" s="85"/>
      <c r="TC271" s="85"/>
      <c r="TD271" s="85"/>
      <c r="TE271" s="85"/>
      <c r="TF271" s="85"/>
      <c r="TG271" s="85"/>
      <c r="TH271" s="85"/>
      <c r="TI271" s="85"/>
      <c r="TJ271" s="85"/>
      <c r="TK271" s="85"/>
      <c r="TL271" s="85"/>
    </row>
    <row r="272" spans="1:532" s="85" customFormat="1" ht="12.75" customHeight="1">
      <c r="A272" s="144" t="s">
        <v>278</v>
      </c>
      <c r="B272" s="145" t="s">
        <v>279</v>
      </c>
      <c r="C272" s="124"/>
      <c r="D272" s="124">
        <f>+[2]ordinario!C329</f>
        <v>320000000</v>
      </c>
      <c r="E272" s="124">
        <v>365645657.41000003</v>
      </c>
      <c r="F272" s="146"/>
      <c r="G272" s="97"/>
      <c r="H272" s="98"/>
      <c r="I272" s="140">
        <f>SUM(I273:I280)</f>
        <v>182151264.93000001</v>
      </c>
      <c r="J272" s="140">
        <f>SUM(J273:J280)</f>
        <v>182151264.93000001</v>
      </c>
      <c r="K272" s="140">
        <f>SUM(K273:K280)</f>
        <v>0</v>
      </c>
      <c r="L272" s="140">
        <f>SUM(L273:L280)</f>
        <v>0</v>
      </c>
      <c r="M272" s="140">
        <f>SUM(M273:M280)</f>
        <v>0</v>
      </c>
      <c r="N272" s="140">
        <f>SUM(N273:N281)</f>
        <v>183494392.48087043</v>
      </c>
    </row>
    <row r="273" spans="1:532" s="85" customFormat="1" ht="12.75" customHeight="1">
      <c r="A273" s="122"/>
      <c r="B273" s="240"/>
      <c r="C273" s="124"/>
      <c r="D273" s="124"/>
      <c r="E273" s="124"/>
      <c r="F273" s="96" t="s">
        <v>178</v>
      </c>
      <c r="G273" s="97" t="s">
        <v>179</v>
      </c>
      <c r="H273" s="98" t="s">
        <v>77</v>
      </c>
      <c r="I273" s="125">
        <v>36564565.740000002</v>
      </c>
      <c r="J273" s="125">
        <f>+I273</f>
        <v>36564565.740000002</v>
      </c>
      <c r="K273" s="125"/>
      <c r="L273" s="125"/>
      <c r="M273" s="125"/>
      <c r="N273" s="126">
        <f>-I273+E272*0.1</f>
        <v>1.0000020265579224E-3</v>
      </c>
    </row>
    <row r="274" spans="1:532" s="85" customFormat="1" ht="12.75" customHeight="1">
      <c r="A274" s="122"/>
      <c r="B274" s="240"/>
      <c r="C274" s="124"/>
      <c r="D274" s="124"/>
      <c r="E274" s="124"/>
      <c r="F274" s="146"/>
      <c r="G274" s="138"/>
      <c r="H274" s="98"/>
      <c r="I274" s="125"/>
      <c r="J274" s="125"/>
      <c r="K274" s="125"/>
      <c r="L274" s="125"/>
      <c r="M274" s="125"/>
      <c r="N274" s="126"/>
    </row>
    <row r="275" spans="1:532" s="85" customFormat="1" ht="12.75" customHeight="1">
      <c r="A275" s="122"/>
      <c r="B275" s="240"/>
      <c r="C275" s="124"/>
      <c r="D275" s="124"/>
      <c r="E275" s="124"/>
      <c r="F275" s="146" t="s">
        <v>160</v>
      </c>
      <c r="G275" s="97" t="s">
        <v>192</v>
      </c>
      <c r="H275" s="98" t="s">
        <v>77</v>
      </c>
      <c r="I275" s="249">
        <f>174195267.63-I25-I389</f>
        <v>142487462.65000001</v>
      </c>
      <c r="J275" s="125">
        <f>+I275</f>
        <v>142487462.65000001</v>
      </c>
      <c r="K275" s="125"/>
      <c r="L275" s="125"/>
      <c r="M275" s="125"/>
      <c r="N275" s="126">
        <f>-I275+[2]ordinario!I334</f>
        <v>32409574.296870381</v>
      </c>
    </row>
    <row r="276" spans="1:532" s="85" customFormat="1" ht="12.75" customHeight="1">
      <c r="A276" s="122"/>
      <c r="B276" s="240"/>
      <c r="C276" s="124"/>
      <c r="D276" s="124"/>
      <c r="E276" s="124"/>
      <c r="F276" s="146"/>
      <c r="G276" s="138"/>
      <c r="H276" s="98" t="s">
        <v>78</v>
      </c>
      <c r="I276" s="267">
        <f>42433541.48-I26-I954</f>
        <v>352656.80999999493</v>
      </c>
      <c r="J276" s="125">
        <f>+I276</f>
        <v>352656.80999999493</v>
      </c>
      <c r="K276" s="125"/>
      <c r="L276" s="125"/>
      <c r="M276" s="125"/>
      <c r="N276" s="126">
        <f>-I276+[2]ordinario!I335</f>
        <v>70194688.124000013</v>
      </c>
    </row>
    <row r="277" spans="1:532" s="85" customFormat="1" ht="12.75" customHeight="1">
      <c r="A277" s="122"/>
      <c r="B277" s="240"/>
      <c r="C277" s="124"/>
      <c r="D277" s="124"/>
      <c r="E277" s="124"/>
      <c r="F277" s="146"/>
      <c r="G277" s="138"/>
      <c r="H277" s="98" t="s">
        <v>79</v>
      </c>
      <c r="I277" s="267">
        <f>15433125.79-I955</f>
        <v>0</v>
      </c>
      <c r="J277" s="125">
        <f>+I277</f>
        <v>0</v>
      </c>
      <c r="K277" s="125"/>
      <c r="L277" s="125"/>
      <c r="M277" s="125"/>
      <c r="N277" s="126">
        <f>-I277+[2]ordinario!I336</f>
        <v>23920000</v>
      </c>
    </row>
    <row r="278" spans="1:532" s="85" customFormat="1" ht="12.75" customHeight="1">
      <c r="A278" s="122"/>
      <c r="B278" s="240"/>
      <c r="C278" s="124"/>
      <c r="D278" s="124"/>
      <c r="E278" s="124"/>
      <c r="F278" s="146"/>
      <c r="G278" s="138"/>
      <c r="H278" s="98" t="s">
        <v>81</v>
      </c>
      <c r="I278" s="249">
        <f>265486.8-I956</f>
        <v>0</v>
      </c>
      <c r="J278" s="125"/>
      <c r="K278" s="125">
        <f>+I278</f>
        <v>0</v>
      </c>
      <c r="L278" s="125"/>
      <c r="M278" s="125"/>
      <c r="N278" s="126">
        <f>-I278+[2]ordinario!I337</f>
        <v>3500000</v>
      </c>
    </row>
    <row r="279" spans="1:532" s="85" customFormat="1" ht="12.75" customHeight="1">
      <c r="A279" s="122"/>
      <c r="B279" s="240"/>
      <c r="C279" s="124"/>
      <c r="D279" s="124"/>
      <c r="E279" s="124"/>
      <c r="F279" s="146"/>
      <c r="G279" s="138"/>
      <c r="H279" s="98" t="s">
        <v>82</v>
      </c>
      <c r="I279" s="249">
        <v>2746579.73</v>
      </c>
      <c r="J279" s="125">
        <f>+I279</f>
        <v>2746579.73</v>
      </c>
      <c r="K279" s="125"/>
      <c r="L279" s="125"/>
      <c r="M279" s="125"/>
      <c r="N279" s="126">
        <f>-I279+[2]ordinario!I338</f>
        <v>12389038.390000001</v>
      </c>
    </row>
    <row r="280" spans="1:532" s="85" customFormat="1" ht="12.75" customHeight="1">
      <c r="A280" s="122"/>
      <c r="B280" s="240"/>
      <c r="C280" s="124"/>
      <c r="D280" s="124"/>
      <c r="E280" s="124"/>
      <c r="F280" s="146"/>
      <c r="G280" s="138"/>
      <c r="H280" s="98" t="s">
        <v>85</v>
      </c>
      <c r="I280" s="249"/>
      <c r="J280" s="125">
        <f>+I280</f>
        <v>0</v>
      </c>
      <c r="K280" s="125"/>
      <c r="L280" s="125"/>
      <c r="M280" s="125"/>
      <c r="N280" s="126"/>
    </row>
    <row r="281" spans="1:532" s="85" customFormat="1" ht="12.75" customHeight="1">
      <c r="A281" s="122"/>
      <c r="B281" s="240"/>
      <c r="C281" s="124"/>
      <c r="D281" s="124"/>
      <c r="E281" s="124"/>
      <c r="F281" s="146" t="s">
        <v>277</v>
      </c>
      <c r="G281" s="138"/>
      <c r="H281" s="98"/>
      <c r="I281" s="249"/>
      <c r="J281" s="125"/>
      <c r="K281" s="125"/>
      <c r="L281" s="125"/>
      <c r="M281" s="125"/>
      <c r="N281" s="126">
        <f>+(E272-D272)*0.9</f>
        <v>41081091.669000022</v>
      </c>
    </row>
    <row r="282" spans="1:532" s="135" customFormat="1" ht="12.75" customHeight="1">
      <c r="A282" s="111"/>
      <c r="B282" s="243"/>
      <c r="C282" s="112"/>
      <c r="D282" s="112"/>
      <c r="E282" s="112"/>
      <c r="F282" s="242"/>
      <c r="G282" s="113"/>
      <c r="H282" s="114"/>
      <c r="I282" s="115"/>
      <c r="J282" s="115">
        <v>0</v>
      </c>
      <c r="K282" s="115"/>
      <c r="L282" s="115"/>
      <c r="M282" s="115"/>
      <c r="N282" s="116"/>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c r="BO282" s="85"/>
      <c r="BP282" s="85"/>
      <c r="BQ282" s="85"/>
      <c r="BR282" s="85"/>
      <c r="BS282" s="85"/>
      <c r="BT282" s="85"/>
      <c r="BU282" s="85"/>
      <c r="BV282" s="85"/>
      <c r="BW282" s="85"/>
      <c r="BX282" s="85"/>
      <c r="BY282" s="85"/>
      <c r="BZ282" s="85"/>
      <c r="CA282" s="85"/>
      <c r="CB282" s="85"/>
      <c r="CC282" s="85"/>
      <c r="CD282" s="85"/>
      <c r="CE282" s="85"/>
      <c r="CF282" s="85"/>
      <c r="CG282" s="85"/>
      <c r="CH282" s="85"/>
      <c r="CI282" s="85"/>
      <c r="CJ282" s="85"/>
      <c r="CK282" s="85"/>
      <c r="CL282" s="85"/>
      <c r="CM282" s="85"/>
      <c r="CN282" s="85"/>
      <c r="CO282" s="85"/>
      <c r="CP282" s="85"/>
      <c r="CQ282" s="85"/>
      <c r="CR282" s="85"/>
      <c r="CS282" s="85"/>
      <c r="CT282" s="85"/>
      <c r="CU282" s="85"/>
      <c r="CV282" s="85"/>
      <c r="CW282" s="85"/>
      <c r="CX282" s="85"/>
      <c r="CY282" s="85"/>
      <c r="CZ282" s="85"/>
      <c r="DA282" s="85"/>
      <c r="DB282" s="85"/>
      <c r="DC282" s="85"/>
      <c r="DD282" s="85"/>
      <c r="DE282" s="85"/>
      <c r="DF282" s="85"/>
      <c r="DG282" s="85"/>
      <c r="DH282" s="85"/>
      <c r="DI282" s="85"/>
      <c r="DJ282" s="85"/>
      <c r="DK282" s="85"/>
      <c r="DL282" s="85"/>
      <c r="DM282" s="85"/>
      <c r="DN282" s="85"/>
      <c r="DO282" s="85"/>
      <c r="DP282" s="85"/>
      <c r="DQ282" s="85"/>
      <c r="DR282" s="85"/>
      <c r="DS282" s="85"/>
      <c r="DT282" s="85"/>
      <c r="DU282" s="85"/>
      <c r="DV282" s="85"/>
      <c r="DW282" s="85"/>
      <c r="DX282" s="85"/>
      <c r="DY282" s="85"/>
      <c r="DZ282" s="85"/>
      <c r="EA282" s="85"/>
      <c r="EB282" s="85"/>
      <c r="EC282" s="85"/>
      <c r="ED282" s="85"/>
      <c r="EE282" s="85"/>
      <c r="EF282" s="85"/>
      <c r="EG282" s="85"/>
      <c r="EH282" s="85"/>
      <c r="EI282" s="85"/>
      <c r="EJ282" s="85"/>
      <c r="EK282" s="85"/>
      <c r="EL282" s="85"/>
      <c r="EM282" s="85"/>
      <c r="EN282" s="85"/>
      <c r="EO282" s="85"/>
      <c r="EP282" s="85"/>
      <c r="EQ282" s="85"/>
      <c r="ER282" s="85"/>
      <c r="ES282" s="85"/>
      <c r="ET282" s="85"/>
      <c r="EU282" s="85"/>
      <c r="EV282" s="85"/>
      <c r="EW282" s="85"/>
      <c r="EX282" s="85"/>
      <c r="EY282" s="85"/>
      <c r="EZ282" s="85"/>
      <c r="FA282" s="85"/>
      <c r="FB282" s="85"/>
      <c r="FC282" s="85"/>
      <c r="FD282" s="85"/>
      <c r="FE282" s="85"/>
      <c r="FF282" s="85"/>
      <c r="FG282" s="85"/>
      <c r="FH282" s="85"/>
      <c r="FI282" s="85"/>
      <c r="FJ282" s="85"/>
      <c r="FK282" s="85"/>
      <c r="FL282" s="85"/>
      <c r="FM282" s="85"/>
      <c r="FN282" s="85"/>
      <c r="FO282" s="85"/>
      <c r="FP282" s="85"/>
      <c r="FQ282" s="85"/>
      <c r="FR282" s="85"/>
      <c r="FS282" s="85"/>
      <c r="FT282" s="85"/>
      <c r="FU282" s="85"/>
      <c r="FV282" s="85"/>
      <c r="FW282" s="85"/>
      <c r="FX282" s="85"/>
      <c r="FY282" s="85"/>
      <c r="FZ282" s="85"/>
      <c r="GA282" s="85"/>
      <c r="GB282" s="85"/>
      <c r="GC282" s="85"/>
      <c r="GD282" s="85"/>
      <c r="GE282" s="85"/>
      <c r="GF282" s="85"/>
      <c r="GG282" s="85"/>
      <c r="GH282" s="85"/>
      <c r="GI282" s="85"/>
      <c r="GJ282" s="85"/>
      <c r="GK282" s="85"/>
      <c r="GL282" s="85"/>
      <c r="GM282" s="85"/>
      <c r="GN282" s="85"/>
      <c r="GO282" s="85"/>
      <c r="GP282" s="85"/>
      <c r="GQ282" s="85"/>
      <c r="GR282" s="85"/>
      <c r="GS282" s="85"/>
      <c r="GT282" s="85"/>
      <c r="GU282" s="85"/>
      <c r="GV282" s="85"/>
      <c r="GW282" s="85"/>
      <c r="GX282" s="85"/>
      <c r="GY282" s="85"/>
      <c r="GZ282" s="85"/>
      <c r="HA282" s="85"/>
      <c r="HB282" s="85"/>
      <c r="HC282" s="85"/>
      <c r="HD282" s="85"/>
      <c r="HE282" s="85"/>
      <c r="HF282" s="85"/>
      <c r="HG282" s="85"/>
      <c r="HH282" s="85"/>
      <c r="HI282" s="85"/>
      <c r="HJ282" s="85"/>
      <c r="HK282" s="85"/>
      <c r="HL282" s="85"/>
      <c r="HM282" s="85"/>
      <c r="HN282" s="85"/>
      <c r="HO282" s="85"/>
      <c r="HP282" s="85"/>
      <c r="HQ282" s="85"/>
      <c r="HR282" s="85"/>
      <c r="HS282" s="85"/>
      <c r="HT282" s="85"/>
      <c r="HU282" s="85"/>
      <c r="HV282" s="85"/>
      <c r="HW282" s="85"/>
      <c r="HX282" s="85"/>
      <c r="HY282" s="85"/>
      <c r="HZ282" s="85"/>
      <c r="IA282" s="85"/>
      <c r="IB282" s="85"/>
      <c r="IC282" s="85"/>
      <c r="ID282" s="85"/>
      <c r="IE282" s="85"/>
      <c r="IF282" s="85"/>
      <c r="IG282" s="85"/>
      <c r="IH282" s="85"/>
      <c r="II282" s="85"/>
      <c r="IJ282" s="85"/>
      <c r="IK282" s="85"/>
      <c r="IL282" s="85"/>
      <c r="IM282" s="85"/>
      <c r="IN282" s="85"/>
      <c r="IO282" s="85"/>
      <c r="IP282" s="85"/>
      <c r="IQ282" s="85"/>
      <c r="IR282" s="85"/>
      <c r="IS282" s="85"/>
      <c r="IT282" s="85"/>
      <c r="IU282" s="85"/>
      <c r="IV282" s="85"/>
      <c r="IW282" s="85"/>
      <c r="IX282" s="85"/>
      <c r="IY282" s="85"/>
      <c r="IZ282" s="85"/>
      <c r="JA282" s="85"/>
      <c r="JB282" s="85"/>
      <c r="JC282" s="85"/>
      <c r="JD282" s="85"/>
      <c r="JE282" s="85"/>
      <c r="JF282" s="85"/>
      <c r="JG282" s="85"/>
      <c r="JH282" s="85"/>
      <c r="JI282" s="85"/>
      <c r="JJ282" s="85"/>
      <c r="JK282" s="85"/>
      <c r="JL282" s="85"/>
      <c r="JM282" s="85"/>
      <c r="JN282" s="85"/>
      <c r="JO282" s="85"/>
      <c r="JP282" s="85"/>
      <c r="JQ282" s="85"/>
      <c r="JR282" s="85"/>
      <c r="JS282" s="85"/>
      <c r="JT282" s="85"/>
      <c r="JU282" s="85"/>
      <c r="JV282" s="85"/>
      <c r="JW282" s="85"/>
      <c r="JX282" s="85"/>
      <c r="JY282" s="85"/>
      <c r="JZ282" s="85"/>
      <c r="KA282" s="85"/>
      <c r="KB282" s="85"/>
      <c r="KC282" s="85"/>
      <c r="KD282" s="85"/>
      <c r="KE282" s="85"/>
      <c r="KF282" s="85"/>
      <c r="KG282" s="85"/>
      <c r="KH282" s="85"/>
      <c r="KI282" s="85"/>
      <c r="KJ282" s="85"/>
      <c r="KK282" s="85"/>
      <c r="KL282" s="85"/>
      <c r="KM282" s="85"/>
      <c r="KN282" s="85"/>
      <c r="KO282" s="85"/>
      <c r="KP282" s="85"/>
      <c r="KQ282" s="85"/>
      <c r="KR282" s="85"/>
      <c r="KS282" s="85"/>
      <c r="KT282" s="85"/>
      <c r="KU282" s="85"/>
      <c r="KV282" s="85"/>
      <c r="KW282" s="85"/>
      <c r="KX282" s="85"/>
      <c r="KY282" s="85"/>
      <c r="KZ282" s="85"/>
      <c r="LA282" s="85"/>
      <c r="LB282" s="85"/>
      <c r="LC282" s="85"/>
      <c r="LD282" s="85"/>
      <c r="LE282" s="85"/>
      <c r="LF282" s="85"/>
      <c r="LG282" s="85"/>
      <c r="LH282" s="85"/>
      <c r="LI282" s="85"/>
      <c r="LJ282" s="85"/>
      <c r="LK282" s="85"/>
      <c r="LL282" s="85"/>
      <c r="LM282" s="85"/>
      <c r="LN282" s="85"/>
      <c r="LO282" s="85"/>
      <c r="LP282" s="85"/>
      <c r="LQ282" s="85"/>
      <c r="LR282" s="85"/>
      <c r="LS282" s="85"/>
      <c r="LT282" s="85"/>
      <c r="LU282" s="85"/>
      <c r="LV282" s="85"/>
      <c r="LW282" s="85"/>
      <c r="LX282" s="85"/>
      <c r="LY282" s="85"/>
      <c r="LZ282" s="85"/>
      <c r="MA282" s="85"/>
      <c r="MB282" s="85"/>
      <c r="MC282" s="85"/>
      <c r="MD282" s="85"/>
      <c r="ME282" s="85"/>
      <c r="MF282" s="85"/>
      <c r="MG282" s="85"/>
      <c r="MH282" s="85"/>
      <c r="MI282" s="85"/>
      <c r="MJ282" s="85"/>
      <c r="MK282" s="85"/>
      <c r="ML282" s="85"/>
      <c r="MM282" s="85"/>
      <c r="MN282" s="85"/>
      <c r="MO282" s="85"/>
      <c r="MP282" s="85"/>
      <c r="MQ282" s="85"/>
      <c r="MR282" s="85"/>
      <c r="MS282" s="85"/>
      <c r="MT282" s="85"/>
      <c r="MU282" s="85"/>
      <c r="MV282" s="85"/>
      <c r="MW282" s="85"/>
      <c r="MX282" s="85"/>
      <c r="MY282" s="85"/>
      <c r="MZ282" s="85"/>
      <c r="NA282" s="85"/>
      <c r="NB282" s="85"/>
      <c r="NC282" s="85"/>
      <c r="ND282" s="85"/>
      <c r="NE282" s="85"/>
      <c r="NF282" s="85"/>
      <c r="NG282" s="85"/>
      <c r="NH282" s="85"/>
      <c r="NI282" s="85"/>
      <c r="NJ282" s="85"/>
      <c r="NK282" s="85"/>
      <c r="NL282" s="85"/>
      <c r="NM282" s="85"/>
      <c r="NN282" s="85"/>
      <c r="NO282" s="85"/>
      <c r="NP282" s="85"/>
      <c r="NQ282" s="85"/>
      <c r="NR282" s="85"/>
      <c r="NS282" s="85"/>
      <c r="NT282" s="85"/>
      <c r="NU282" s="85"/>
      <c r="NV282" s="85"/>
      <c r="NW282" s="85"/>
      <c r="NX282" s="85"/>
      <c r="NY282" s="85"/>
      <c r="NZ282" s="85"/>
      <c r="OA282" s="85"/>
      <c r="OB282" s="85"/>
      <c r="OC282" s="85"/>
      <c r="OD282" s="85"/>
      <c r="OE282" s="85"/>
      <c r="OF282" s="85"/>
      <c r="OG282" s="85"/>
      <c r="OH282" s="85"/>
      <c r="OI282" s="85"/>
      <c r="OJ282" s="85"/>
      <c r="OK282" s="85"/>
      <c r="OL282" s="85"/>
      <c r="OM282" s="85"/>
      <c r="ON282" s="85"/>
      <c r="OO282" s="85"/>
      <c r="OP282" s="85"/>
      <c r="OQ282" s="85"/>
      <c r="OR282" s="85"/>
      <c r="OS282" s="85"/>
      <c r="OT282" s="85"/>
      <c r="OU282" s="85"/>
      <c r="OV282" s="85"/>
      <c r="OW282" s="85"/>
      <c r="OX282" s="85"/>
      <c r="OY282" s="85"/>
      <c r="OZ282" s="85"/>
      <c r="PA282" s="85"/>
      <c r="PB282" s="85"/>
      <c r="PC282" s="85"/>
      <c r="PD282" s="85"/>
      <c r="PE282" s="85"/>
      <c r="PF282" s="85"/>
      <c r="PG282" s="85"/>
      <c r="PH282" s="85"/>
      <c r="PI282" s="85"/>
      <c r="PJ282" s="85"/>
      <c r="PK282" s="85"/>
      <c r="PL282" s="85"/>
      <c r="PM282" s="85"/>
      <c r="PN282" s="85"/>
      <c r="PO282" s="85"/>
      <c r="PP282" s="85"/>
      <c r="PQ282" s="85"/>
      <c r="PR282" s="85"/>
      <c r="PS282" s="85"/>
      <c r="PT282" s="85"/>
      <c r="PU282" s="85"/>
      <c r="PV282" s="85"/>
      <c r="PW282" s="85"/>
      <c r="PX282" s="85"/>
      <c r="PY282" s="85"/>
      <c r="PZ282" s="85"/>
      <c r="QA282" s="85"/>
      <c r="QB282" s="85"/>
      <c r="QC282" s="85"/>
      <c r="QD282" s="85"/>
      <c r="QE282" s="85"/>
      <c r="QF282" s="85"/>
      <c r="QG282" s="85"/>
      <c r="QH282" s="85"/>
      <c r="QI282" s="85"/>
      <c r="QJ282" s="85"/>
      <c r="QK282" s="85"/>
      <c r="QL282" s="85"/>
      <c r="QM282" s="85"/>
      <c r="QN282" s="85"/>
      <c r="QO282" s="85"/>
      <c r="QP282" s="85"/>
      <c r="QQ282" s="85"/>
      <c r="QR282" s="85"/>
      <c r="QS282" s="85"/>
      <c r="QT282" s="85"/>
      <c r="QU282" s="85"/>
      <c r="QV282" s="85"/>
      <c r="QW282" s="85"/>
      <c r="QX282" s="85"/>
      <c r="QY282" s="85"/>
      <c r="QZ282" s="85"/>
      <c r="RA282" s="85"/>
      <c r="RB282" s="85"/>
      <c r="RC282" s="85"/>
      <c r="RD282" s="85"/>
      <c r="RE282" s="85"/>
      <c r="RF282" s="85"/>
      <c r="RG282" s="85"/>
      <c r="RH282" s="85"/>
      <c r="RI282" s="85"/>
      <c r="RJ282" s="85"/>
      <c r="RK282" s="85"/>
      <c r="RL282" s="85"/>
      <c r="RM282" s="85"/>
      <c r="RN282" s="85"/>
      <c r="RO282" s="85"/>
      <c r="RP282" s="85"/>
      <c r="RQ282" s="85"/>
      <c r="RR282" s="85"/>
      <c r="RS282" s="85"/>
      <c r="RT282" s="85"/>
      <c r="RU282" s="85"/>
      <c r="RV282" s="85"/>
      <c r="RW282" s="85"/>
      <c r="RX282" s="85"/>
      <c r="RY282" s="85"/>
      <c r="RZ282" s="85"/>
      <c r="SA282" s="85"/>
      <c r="SB282" s="85"/>
      <c r="SC282" s="85"/>
      <c r="SD282" s="85"/>
      <c r="SE282" s="85"/>
      <c r="SF282" s="85"/>
      <c r="SG282" s="85"/>
      <c r="SH282" s="85"/>
      <c r="SI282" s="85"/>
      <c r="SJ282" s="85"/>
      <c r="SK282" s="85"/>
      <c r="SL282" s="85"/>
      <c r="SM282" s="85"/>
      <c r="SN282" s="85"/>
      <c r="SO282" s="85"/>
      <c r="SP282" s="85"/>
      <c r="SQ282" s="85"/>
      <c r="SR282" s="85"/>
      <c r="SS282" s="85"/>
      <c r="ST282" s="85"/>
      <c r="SU282" s="85"/>
      <c r="SV282" s="85"/>
      <c r="SW282" s="85"/>
      <c r="SX282" s="85"/>
      <c r="SY282" s="85"/>
      <c r="SZ282" s="85"/>
      <c r="TA282" s="85"/>
      <c r="TB282" s="85"/>
      <c r="TC282" s="85"/>
      <c r="TD282" s="85"/>
      <c r="TE282" s="85"/>
      <c r="TF282" s="85"/>
      <c r="TG282" s="85"/>
      <c r="TH282" s="85"/>
      <c r="TI282" s="85"/>
      <c r="TJ282" s="85"/>
      <c r="TK282" s="85"/>
      <c r="TL282" s="85"/>
    </row>
    <row r="283" spans="1:532" s="85" customFormat="1" ht="12.75" customHeight="1">
      <c r="A283" s="144" t="s">
        <v>280</v>
      </c>
      <c r="B283" s="147" t="s">
        <v>281</v>
      </c>
      <c r="C283" s="124"/>
      <c r="D283" s="124">
        <f>+[2]ordinario!C347</f>
        <v>110000000</v>
      </c>
      <c r="E283" s="124">
        <f>97806542.99+524700</f>
        <v>98331242.989999995</v>
      </c>
      <c r="F283" s="96"/>
      <c r="G283" s="97"/>
      <c r="H283" s="98"/>
      <c r="I283" s="140">
        <f t="shared" ref="I283:N283" si="11">SUM(I284:I289)</f>
        <v>97806542.989999995</v>
      </c>
      <c r="J283" s="140">
        <f t="shared" si="11"/>
        <v>97806542.989999995</v>
      </c>
      <c r="K283" s="140">
        <f t="shared" si="11"/>
        <v>0</v>
      </c>
      <c r="L283" s="140">
        <f t="shared" si="11"/>
        <v>0</v>
      </c>
      <c r="M283" s="140">
        <f t="shared" si="11"/>
        <v>0</v>
      </c>
      <c r="N283" s="140">
        <f t="shared" si="11"/>
        <v>524700.00000000559</v>
      </c>
    </row>
    <row r="284" spans="1:532" s="85" customFormat="1" ht="12.75" customHeight="1">
      <c r="A284" s="122"/>
      <c r="B284" s="240"/>
      <c r="C284" s="124"/>
      <c r="D284" s="124"/>
      <c r="E284" s="124"/>
      <c r="F284" s="96" t="s">
        <v>178</v>
      </c>
      <c r="G284" s="97" t="s">
        <v>179</v>
      </c>
      <c r="H284" s="98" t="s">
        <v>77</v>
      </c>
      <c r="I284" s="125"/>
      <c r="J284" s="125">
        <f>+I284</f>
        <v>0</v>
      </c>
      <c r="K284" s="125"/>
      <c r="L284" s="125"/>
      <c r="M284" s="125"/>
      <c r="N284" s="126"/>
    </row>
    <row r="285" spans="1:532" s="85" customFormat="1" ht="12.75" customHeight="1">
      <c r="A285" s="122"/>
      <c r="B285" s="240"/>
      <c r="C285" s="124"/>
      <c r="D285" s="124"/>
      <c r="E285" s="124"/>
      <c r="F285" s="146"/>
      <c r="G285" s="138"/>
      <c r="H285" s="98"/>
      <c r="I285" s="125"/>
      <c r="J285" s="125"/>
      <c r="K285" s="125"/>
      <c r="L285" s="125"/>
      <c r="M285" s="125"/>
      <c r="N285" s="126"/>
    </row>
    <row r="286" spans="1:532" s="85" customFormat="1" ht="12.75" customHeight="1">
      <c r="A286" s="122"/>
      <c r="B286" s="240"/>
      <c r="C286" s="124"/>
      <c r="D286" s="124"/>
      <c r="E286" s="124"/>
      <c r="F286" s="146" t="s">
        <v>160</v>
      </c>
      <c r="G286" s="138" t="s">
        <v>701</v>
      </c>
      <c r="H286" s="98"/>
      <c r="I286" s="125"/>
      <c r="J286" s="125"/>
      <c r="K286" s="125"/>
      <c r="L286" s="125"/>
      <c r="M286" s="125"/>
      <c r="N286" s="126">
        <v>524700</v>
      </c>
    </row>
    <row r="287" spans="1:532" s="85" customFormat="1" ht="12.75" customHeight="1">
      <c r="A287" s="122"/>
      <c r="B287" s="240"/>
      <c r="C287" s="124"/>
      <c r="D287" s="124"/>
      <c r="E287" s="124"/>
      <c r="F287" s="146"/>
      <c r="G287" s="138"/>
      <c r="H287" s="98"/>
      <c r="I287" s="125"/>
      <c r="J287" s="125"/>
      <c r="K287" s="125"/>
      <c r="L287" s="125"/>
      <c r="M287" s="125"/>
      <c r="N287" s="126"/>
    </row>
    <row r="288" spans="1:532" s="85" customFormat="1" ht="12.75" customHeight="1">
      <c r="A288" s="122"/>
      <c r="B288" s="240"/>
      <c r="C288" s="124"/>
      <c r="D288" s="124"/>
      <c r="E288" s="124"/>
      <c r="F288" s="146" t="s">
        <v>165</v>
      </c>
      <c r="G288" s="97" t="s">
        <v>140</v>
      </c>
      <c r="H288" s="98" t="s">
        <v>78</v>
      </c>
      <c r="I288" s="249">
        <v>97806542.989999995</v>
      </c>
      <c r="J288" s="125">
        <f>+I288</f>
        <v>97806542.989999995</v>
      </c>
      <c r="K288" s="125"/>
      <c r="L288" s="125"/>
      <c r="M288" s="125"/>
      <c r="N288" s="148">
        <f>-I288+[2]ordinario!I352-11668757.01-524700</f>
        <v>5.5879354476928711E-9</v>
      </c>
    </row>
    <row r="289" spans="1:532" s="85" customFormat="1" ht="12.75" customHeight="1">
      <c r="A289" s="122"/>
      <c r="B289" s="240"/>
      <c r="C289" s="124"/>
      <c r="D289" s="124"/>
      <c r="E289" s="124"/>
      <c r="F289" s="146"/>
      <c r="G289" s="97"/>
      <c r="H289" s="98" t="s">
        <v>82</v>
      </c>
      <c r="I289" s="249"/>
      <c r="J289" s="125">
        <f>+I289</f>
        <v>0</v>
      </c>
      <c r="K289" s="125"/>
      <c r="L289" s="125"/>
      <c r="M289" s="125"/>
      <c r="N289" s="148">
        <v>0</v>
      </c>
    </row>
    <row r="290" spans="1:532" s="135" customFormat="1" ht="12.75" customHeight="1">
      <c r="A290" s="111"/>
      <c r="B290" s="243"/>
      <c r="C290" s="112"/>
      <c r="D290" s="112"/>
      <c r="E290" s="112"/>
      <c r="F290" s="242"/>
      <c r="G290" s="113"/>
      <c r="H290" s="114"/>
      <c r="I290" s="115"/>
      <c r="J290" s="115">
        <v>0</v>
      </c>
      <c r="K290" s="115"/>
      <c r="L290" s="115"/>
      <c r="M290" s="115"/>
      <c r="N290" s="116"/>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c r="BD290" s="85"/>
      <c r="BE290" s="85"/>
      <c r="BF290" s="85"/>
      <c r="BG290" s="85"/>
      <c r="BH290" s="85"/>
      <c r="BI290" s="85"/>
      <c r="BJ290" s="85"/>
      <c r="BK290" s="85"/>
      <c r="BL290" s="85"/>
      <c r="BM290" s="85"/>
      <c r="BN290" s="85"/>
      <c r="BO290" s="85"/>
      <c r="BP290" s="85"/>
      <c r="BQ290" s="85"/>
      <c r="BR290" s="85"/>
      <c r="BS290" s="85"/>
      <c r="BT290" s="85"/>
      <c r="BU290" s="85"/>
      <c r="BV290" s="85"/>
      <c r="BW290" s="85"/>
      <c r="BX290" s="85"/>
      <c r="BY290" s="85"/>
      <c r="BZ290" s="85"/>
      <c r="CA290" s="85"/>
      <c r="CB290" s="85"/>
      <c r="CC290" s="85"/>
      <c r="CD290" s="85"/>
      <c r="CE290" s="85"/>
      <c r="CF290" s="85"/>
      <c r="CG290" s="85"/>
      <c r="CH290" s="85"/>
      <c r="CI290" s="85"/>
      <c r="CJ290" s="85"/>
      <c r="CK290" s="85"/>
      <c r="CL290" s="85"/>
      <c r="CM290" s="85"/>
      <c r="CN290" s="85"/>
      <c r="CO290" s="85"/>
      <c r="CP290" s="85"/>
      <c r="CQ290" s="85"/>
      <c r="CR290" s="85"/>
      <c r="CS290" s="85"/>
      <c r="CT290" s="85"/>
      <c r="CU290" s="85"/>
      <c r="CV290" s="85"/>
      <c r="CW290" s="85"/>
      <c r="CX290" s="85"/>
      <c r="CY290" s="85"/>
      <c r="CZ290" s="85"/>
      <c r="DA290" s="85"/>
      <c r="DB290" s="85"/>
      <c r="DC290" s="85"/>
      <c r="DD290" s="85"/>
      <c r="DE290" s="85"/>
      <c r="DF290" s="85"/>
      <c r="DG290" s="85"/>
      <c r="DH290" s="85"/>
      <c r="DI290" s="85"/>
      <c r="DJ290" s="85"/>
      <c r="DK290" s="85"/>
      <c r="DL290" s="85"/>
      <c r="DM290" s="85"/>
      <c r="DN290" s="85"/>
      <c r="DO290" s="85"/>
      <c r="DP290" s="85"/>
      <c r="DQ290" s="85"/>
      <c r="DR290" s="85"/>
      <c r="DS290" s="85"/>
      <c r="DT290" s="85"/>
      <c r="DU290" s="85"/>
      <c r="DV290" s="85"/>
      <c r="DW290" s="85"/>
      <c r="DX290" s="85"/>
      <c r="DY290" s="85"/>
      <c r="DZ290" s="85"/>
      <c r="EA290" s="85"/>
      <c r="EB290" s="85"/>
      <c r="EC290" s="85"/>
      <c r="ED290" s="85"/>
      <c r="EE290" s="85"/>
      <c r="EF290" s="85"/>
      <c r="EG290" s="85"/>
      <c r="EH290" s="85"/>
      <c r="EI290" s="85"/>
      <c r="EJ290" s="85"/>
      <c r="EK290" s="85"/>
      <c r="EL290" s="85"/>
      <c r="EM290" s="85"/>
      <c r="EN290" s="85"/>
      <c r="EO290" s="85"/>
      <c r="EP290" s="85"/>
      <c r="EQ290" s="85"/>
      <c r="ER290" s="85"/>
      <c r="ES290" s="85"/>
      <c r="ET290" s="85"/>
      <c r="EU290" s="85"/>
      <c r="EV290" s="85"/>
      <c r="EW290" s="85"/>
      <c r="EX290" s="85"/>
      <c r="EY290" s="85"/>
      <c r="EZ290" s="85"/>
      <c r="FA290" s="85"/>
      <c r="FB290" s="85"/>
      <c r="FC290" s="85"/>
      <c r="FD290" s="85"/>
      <c r="FE290" s="85"/>
      <c r="FF290" s="85"/>
      <c r="FG290" s="85"/>
      <c r="FH290" s="85"/>
      <c r="FI290" s="85"/>
      <c r="FJ290" s="85"/>
      <c r="FK290" s="85"/>
      <c r="FL290" s="85"/>
      <c r="FM290" s="85"/>
      <c r="FN290" s="85"/>
      <c r="FO290" s="85"/>
      <c r="FP290" s="85"/>
      <c r="FQ290" s="85"/>
      <c r="FR290" s="85"/>
      <c r="FS290" s="85"/>
      <c r="FT290" s="85"/>
      <c r="FU290" s="85"/>
      <c r="FV290" s="85"/>
      <c r="FW290" s="85"/>
      <c r="FX290" s="85"/>
      <c r="FY290" s="85"/>
      <c r="FZ290" s="85"/>
      <c r="GA290" s="85"/>
      <c r="GB290" s="85"/>
      <c r="GC290" s="85"/>
      <c r="GD290" s="85"/>
      <c r="GE290" s="85"/>
      <c r="GF290" s="85"/>
      <c r="GG290" s="85"/>
      <c r="GH290" s="85"/>
      <c r="GI290" s="85"/>
      <c r="GJ290" s="85"/>
      <c r="GK290" s="85"/>
      <c r="GL290" s="85"/>
      <c r="GM290" s="85"/>
      <c r="GN290" s="85"/>
      <c r="GO290" s="85"/>
      <c r="GP290" s="85"/>
      <c r="GQ290" s="85"/>
      <c r="GR290" s="85"/>
      <c r="GS290" s="85"/>
      <c r="GT290" s="85"/>
      <c r="GU290" s="85"/>
      <c r="GV290" s="85"/>
      <c r="GW290" s="85"/>
      <c r="GX290" s="85"/>
      <c r="GY290" s="85"/>
      <c r="GZ290" s="85"/>
      <c r="HA290" s="85"/>
      <c r="HB290" s="85"/>
      <c r="HC290" s="85"/>
      <c r="HD290" s="85"/>
      <c r="HE290" s="85"/>
      <c r="HF290" s="85"/>
      <c r="HG290" s="85"/>
      <c r="HH290" s="85"/>
      <c r="HI290" s="85"/>
      <c r="HJ290" s="85"/>
      <c r="HK290" s="85"/>
      <c r="HL290" s="85"/>
      <c r="HM290" s="85"/>
      <c r="HN290" s="85"/>
      <c r="HO290" s="85"/>
      <c r="HP290" s="85"/>
      <c r="HQ290" s="85"/>
      <c r="HR290" s="85"/>
      <c r="HS290" s="85"/>
      <c r="HT290" s="85"/>
      <c r="HU290" s="85"/>
      <c r="HV290" s="85"/>
      <c r="HW290" s="85"/>
      <c r="HX290" s="85"/>
      <c r="HY290" s="85"/>
      <c r="HZ290" s="85"/>
      <c r="IA290" s="85"/>
      <c r="IB290" s="85"/>
      <c r="IC290" s="85"/>
      <c r="ID290" s="85"/>
      <c r="IE290" s="85"/>
      <c r="IF290" s="85"/>
      <c r="IG290" s="85"/>
      <c r="IH290" s="85"/>
      <c r="II290" s="85"/>
      <c r="IJ290" s="85"/>
      <c r="IK290" s="85"/>
      <c r="IL290" s="85"/>
      <c r="IM290" s="85"/>
      <c r="IN290" s="85"/>
      <c r="IO290" s="85"/>
      <c r="IP290" s="85"/>
      <c r="IQ290" s="85"/>
      <c r="IR290" s="85"/>
      <c r="IS290" s="85"/>
      <c r="IT290" s="85"/>
      <c r="IU290" s="85"/>
      <c r="IV290" s="85"/>
      <c r="IW290" s="85"/>
      <c r="IX290" s="85"/>
      <c r="IY290" s="85"/>
      <c r="IZ290" s="85"/>
      <c r="JA290" s="85"/>
      <c r="JB290" s="85"/>
      <c r="JC290" s="85"/>
      <c r="JD290" s="85"/>
      <c r="JE290" s="85"/>
      <c r="JF290" s="85"/>
      <c r="JG290" s="85"/>
      <c r="JH290" s="85"/>
      <c r="JI290" s="85"/>
      <c r="JJ290" s="85"/>
      <c r="JK290" s="85"/>
      <c r="JL290" s="85"/>
      <c r="JM290" s="85"/>
      <c r="JN290" s="85"/>
      <c r="JO290" s="85"/>
      <c r="JP290" s="85"/>
      <c r="JQ290" s="85"/>
      <c r="JR290" s="85"/>
      <c r="JS290" s="85"/>
      <c r="JT290" s="85"/>
      <c r="JU290" s="85"/>
      <c r="JV290" s="85"/>
      <c r="JW290" s="85"/>
      <c r="JX290" s="85"/>
      <c r="JY290" s="85"/>
      <c r="JZ290" s="85"/>
      <c r="KA290" s="85"/>
      <c r="KB290" s="85"/>
      <c r="KC290" s="85"/>
      <c r="KD290" s="85"/>
      <c r="KE290" s="85"/>
      <c r="KF290" s="85"/>
      <c r="KG290" s="85"/>
      <c r="KH290" s="85"/>
      <c r="KI290" s="85"/>
      <c r="KJ290" s="85"/>
      <c r="KK290" s="85"/>
      <c r="KL290" s="85"/>
      <c r="KM290" s="85"/>
      <c r="KN290" s="85"/>
      <c r="KO290" s="85"/>
      <c r="KP290" s="85"/>
      <c r="KQ290" s="85"/>
      <c r="KR290" s="85"/>
      <c r="KS290" s="85"/>
      <c r="KT290" s="85"/>
      <c r="KU290" s="85"/>
      <c r="KV290" s="85"/>
      <c r="KW290" s="85"/>
      <c r="KX290" s="85"/>
      <c r="KY290" s="85"/>
      <c r="KZ290" s="85"/>
      <c r="LA290" s="85"/>
      <c r="LB290" s="85"/>
      <c r="LC290" s="85"/>
      <c r="LD290" s="85"/>
      <c r="LE290" s="85"/>
      <c r="LF290" s="85"/>
      <c r="LG290" s="85"/>
      <c r="LH290" s="85"/>
      <c r="LI290" s="85"/>
      <c r="LJ290" s="85"/>
      <c r="LK290" s="85"/>
      <c r="LL290" s="85"/>
      <c r="LM290" s="85"/>
      <c r="LN290" s="85"/>
      <c r="LO290" s="85"/>
      <c r="LP290" s="85"/>
      <c r="LQ290" s="85"/>
      <c r="LR290" s="85"/>
      <c r="LS290" s="85"/>
      <c r="LT290" s="85"/>
      <c r="LU290" s="85"/>
      <c r="LV290" s="85"/>
      <c r="LW290" s="85"/>
      <c r="LX290" s="85"/>
      <c r="LY290" s="85"/>
      <c r="LZ290" s="85"/>
      <c r="MA290" s="85"/>
      <c r="MB290" s="85"/>
      <c r="MC290" s="85"/>
      <c r="MD290" s="85"/>
      <c r="ME290" s="85"/>
      <c r="MF290" s="85"/>
      <c r="MG290" s="85"/>
      <c r="MH290" s="85"/>
      <c r="MI290" s="85"/>
      <c r="MJ290" s="85"/>
      <c r="MK290" s="85"/>
      <c r="ML290" s="85"/>
      <c r="MM290" s="85"/>
      <c r="MN290" s="85"/>
      <c r="MO290" s="85"/>
      <c r="MP290" s="85"/>
      <c r="MQ290" s="85"/>
      <c r="MR290" s="85"/>
      <c r="MS290" s="85"/>
      <c r="MT290" s="85"/>
      <c r="MU290" s="85"/>
      <c r="MV290" s="85"/>
      <c r="MW290" s="85"/>
      <c r="MX290" s="85"/>
      <c r="MY290" s="85"/>
      <c r="MZ290" s="85"/>
      <c r="NA290" s="85"/>
      <c r="NB290" s="85"/>
      <c r="NC290" s="85"/>
      <c r="ND290" s="85"/>
      <c r="NE290" s="85"/>
      <c r="NF290" s="85"/>
      <c r="NG290" s="85"/>
      <c r="NH290" s="85"/>
      <c r="NI290" s="85"/>
      <c r="NJ290" s="85"/>
      <c r="NK290" s="85"/>
      <c r="NL290" s="85"/>
      <c r="NM290" s="85"/>
      <c r="NN290" s="85"/>
      <c r="NO290" s="85"/>
      <c r="NP290" s="85"/>
      <c r="NQ290" s="85"/>
      <c r="NR290" s="85"/>
      <c r="NS290" s="85"/>
      <c r="NT290" s="85"/>
      <c r="NU290" s="85"/>
      <c r="NV290" s="85"/>
      <c r="NW290" s="85"/>
      <c r="NX290" s="85"/>
      <c r="NY290" s="85"/>
      <c r="NZ290" s="85"/>
      <c r="OA290" s="85"/>
      <c r="OB290" s="85"/>
      <c r="OC290" s="85"/>
      <c r="OD290" s="85"/>
      <c r="OE290" s="85"/>
      <c r="OF290" s="85"/>
      <c r="OG290" s="85"/>
      <c r="OH290" s="85"/>
      <c r="OI290" s="85"/>
      <c r="OJ290" s="85"/>
      <c r="OK290" s="85"/>
      <c r="OL290" s="85"/>
      <c r="OM290" s="85"/>
      <c r="ON290" s="85"/>
      <c r="OO290" s="85"/>
      <c r="OP290" s="85"/>
      <c r="OQ290" s="85"/>
      <c r="OR290" s="85"/>
      <c r="OS290" s="85"/>
      <c r="OT290" s="85"/>
      <c r="OU290" s="85"/>
      <c r="OV290" s="85"/>
      <c r="OW290" s="85"/>
      <c r="OX290" s="85"/>
      <c r="OY290" s="85"/>
      <c r="OZ290" s="85"/>
      <c r="PA290" s="85"/>
      <c r="PB290" s="85"/>
      <c r="PC290" s="85"/>
      <c r="PD290" s="85"/>
      <c r="PE290" s="85"/>
      <c r="PF290" s="85"/>
      <c r="PG290" s="85"/>
      <c r="PH290" s="85"/>
      <c r="PI290" s="85"/>
      <c r="PJ290" s="85"/>
      <c r="PK290" s="85"/>
      <c r="PL290" s="85"/>
      <c r="PM290" s="85"/>
      <c r="PN290" s="85"/>
      <c r="PO290" s="85"/>
      <c r="PP290" s="85"/>
      <c r="PQ290" s="85"/>
      <c r="PR290" s="85"/>
      <c r="PS290" s="85"/>
      <c r="PT290" s="85"/>
      <c r="PU290" s="85"/>
      <c r="PV290" s="85"/>
      <c r="PW290" s="85"/>
      <c r="PX290" s="85"/>
      <c r="PY290" s="85"/>
      <c r="PZ290" s="85"/>
      <c r="QA290" s="85"/>
      <c r="QB290" s="85"/>
      <c r="QC290" s="85"/>
      <c r="QD290" s="85"/>
      <c r="QE290" s="85"/>
      <c r="QF290" s="85"/>
      <c r="QG290" s="85"/>
      <c r="QH290" s="85"/>
      <c r="QI290" s="85"/>
      <c r="QJ290" s="85"/>
      <c r="QK290" s="85"/>
      <c r="QL290" s="85"/>
      <c r="QM290" s="85"/>
      <c r="QN290" s="85"/>
      <c r="QO290" s="85"/>
      <c r="QP290" s="85"/>
      <c r="QQ290" s="85"/>
      <c r="QR290" s="85"/>
      <c r="QS290" s="85"/>
      <c r="QT290" s="85"/>
      <c r="QU290" s="85"/>
      <c r="QV290" s="85"/>
      <c r="QW290" s="85"/>
      <c r="QX290" s="85"/>
      <c r="QY290" s="85"/>
      <c r="QZ290" s="85"/>
      <c r="RA290" s="85"/>
      <c r="RB290" s="85"/>
      <c r="RC290" s="85"/>
      <c r="RD290" s="85"/>
      <c r="RE290" s="85"/>
      <c r="RF290" s="85"/>
      <c r="RG290" s="85"/>
      <c r="RH290" s="85"/>
      <c r="RI290" s="85"/>
      <c r="RJ290" s="85"/>
      <c r="RK290" s="85"/>
      <c r="RL290" s="85"/>
      <c r="RM290" s="85"/>
      <c r="RN290" s="85"/>
      <c r="RO290" s="85"/>
      <c r="RP290" s="85"/>
      <c r="RQ290" s="85"/>
      <c r="RR290" s="85"/>
      <c r="RS290" s="85"/>
      <c r="RT290" s="85"/>
      <c r="RU290" s="85"/>
      <c r="RV290" s="85"/>
      <c r="RW290" s="85"/>
      <c r="RX290" s="85"/>
      <c r="RY290" s="85"/>
      <c r="RZ290" s="85"/>
      <c r="SA290" s="85"/>
      <c r="SB290" s="85"/>
      <c r="SC290" s="85"/>
      <c r="SD290" s="85"/>
      <c r="SE290" s="85"/>
      <c r="SF290" s="85"/>
      <c r="SG290" s="85"/>
      <c r="SH290" s="85"/>
      <c r="SI290" s="85"/>
      <c r="SJ290" s="85"/>
      <c r="SK290" s="85"/>
      <c r="SL290" s="85"/>
      <c r="SM290" s="85"/>
      <c r="SN290" s="85"/>
      <c r="SO290" s="85"/>
      <c r="SP290" s="85"/>
      <c r="SQ290" s="85"/>
      <c r="SR290" s="85"/>
      <c r="SS290" s="85"/>
      <c r="ST290" s="85"/>
      <c r="SU290" s="85"/>
      <c r="SV290" s="85"/>
      <c r="SW290" s="85"/>
      <c r="SX290" s="85"/>
      <c r="SY290" s="85"/>
      <c r="SZ290" s="85"/>
      <c r="TA290" s="85"/>
      <c r="TB290" s="85"/>
      <c r="TC290" s="85"/>
      <c r="TD290" s="85"/>
      <c r="TE290" s="85"/>
      <c r="TF290" s="85"/>
      <c r="TG290" s="85"/>
      <c r="TH290" s="85"/>
      <c r="TI290" s="85"/>
      <c r="TJ290" s="85"/>
      <c r="TK290" s="85"/>
      <c r="TL290" s="85"/>
    </row>
    <row r="291" spans="1:532" s="85" customFormat="1" ht="12.75" customHeight="1">
      <c r="A291" s="122" t="s">
        <v>282</v>
      </c>
      <c r="B291" s="240" t="s">
        <v>283</v>
      </c>
      <c r="C291" s="124"/>
      <c r="D291" s="124">
        <f>+[2]ordinario!C356</f>
        <v>1150000000</v>
      </c>
      <c r="E291" s="124">
        <v>1118770059.5999999</v>
      </c>
      <c r="F291" s="146"/>
      <c r="G291" s="138"/>
      <c r="H291" s="98"/>
      <c r="I291" s="140">
        <f t="shared" ref="I291:N291" si="12">SUM(I292:I304)</f>
        <v>639300393.57999992</v>
      </c>
      <c r="J291" s="140">
        <f t="shared" si="12"/>
        <v>425517597.97999996</v>
      </c>
      <c r="K291" s="140">
        <f t="shared" si="12"/>
        <v>146468321.94</v>
      </c>
      <c r="L291" s="140">
        <f t="shared" si="12"/>
        <v>67314473.659999996</v>
      </c>
      <c r="M291" s="140">
        <f t="shared" si="12"/>
        <v>0</v>
      </c>
      <c r="N291" s="140">
        <f t="shared" si="12"/>
        <v>479469666.02493042</v>
      </c>
    </row>
    <row r="292" spans="1:532" s="85" customFormat="1" ht="12.75" customHeight="1">
      <c r="A292" s="122"/>
      <c r="B292" s="240"/>
      <c r="C292" s="124"/>
      <c r="D292" s="124"/>
      <c r="E292" s="124"/>
      <c r="F292" s="96" t="s">
        <v>178</v>
      </c>
      <c r="G292" s="97" t="s">
        <v>179</v>
      </c>
      <c r="H292" s="98" t="s">
        <v>77</v>
      </c>
      <c r="I292" s="125">
        <v>111877005.95999999</v>
      </c>
      <c r="J292" s="125">
        <f>+I292</f>
        <v>111877005.95999999</v>
      </c>
      <c r="K292" s="125"/>
      <c r="L292" s="125"/>
      <c r="M292" s="125"/>
      <c r="N292" s="126">
        <f>-I292+E291*0.1</f>
        <v>0</v>
      </c>
    </row>
    <row r="293" spans="1:532" s="85" customFormat="1" ht="12.75" customHeight="1">
      <c r="A293" s="122"/>
      <c r="B293" s="240"/>
      <c r="C293" s="124"/>
      <c r="D293" s="124"/>
      <c r="E293" s="124"/>
      <c r="F293" s="146"/>
      <c r="G293" s="138"/>
      <c r="H293" s="98"/>
      <c r="I293" s="125"/>
      <c r="J293" s="125"/>
      <c r="K293" s="125"/>
      <c r="L293" s="125"/>
      <c r="M293" s="125"/>
      <c r="N293" s="126"/>
    </row>
    <row r="294" spans="1:532" s="85" customFormat="1" ht="12.75" customHeight="1">
      <c r="A294" s="122"/>
      <c r="B294" s="240"/>
      <c r="C294" s="124"/>
      <c r="D294" s="124"/>
      <c r="E294" s="124"/>
      <c r="F294" s="146" t="s">
        <v>172</v>
      </c>
      <c r="G294" s="97" t="s">
        <v>284</v>
      </c>
      <c r="H294" s="98" t="s">
        <v>77</v>
      </c>
      <c r="I294" s="125">
        <v>176096177.31</v>
      </c>
      <c r="J294" s="125">
        <f>+I294</f>
        <v>176096177.31</v>
      </c>
      <c r="K294" s="125"/>
      <c r="L294" s="125"/>
      <c r="M294" s="125"/>
      <c r="N294" s="125">
        <f>-I294+[2]ordinario!I361-6500000-583661.15</f>
        <v>48870992.063630439</v>
      </c>
    </row>
    <row r="295" spans="1:532" s="85" customFormat="1" ht="12.75" customHeight="1">
      <c r="A295" s="122"/>
      <c r="B295" s="240"/>
      <c r="C295" s="124"/>
      <c r="D295" s="124"/>
      <c r="E295" s="124"/>
      <c r="F295" s="146"/>
      <c r="G295" s="138"/>
      <c r="H295" s="98" t="s">
        <v>78</v>
      </c>
      <c r="I295" s="125">
        <f>74688930.79-I960</f>
        <v>74559262.790000007</v>
      </c>
      <c r="J295" s="125">
        <f>+I295</f>
        <v>74559262.790000007</v>
      </c>
      <c r="K295" s="125"/>
      <c r="L295" s="125"/>
      <c r="M295" s="125"/>
      <c r="N295" s="125">
        <f>-I295+[2]ordinario!I362+300000-806724.82-4000000+6500000</f>
        <v>10315532.431299992</v>
      </c>
    </row>
    <row r="296" spans="1:532" s="85" customFormat="1" ht="12.75" customHeight="1">
      <c r="A296" s="122"/>
      <c r="B296" s="240"/>
      <c r="C296" s="124"/>
      <c r="D296" s="124"/>
      <c r="E296" s="124"/>
      <c r="F296" s="146"/>
      <c r="G296" s="138"/>
      <c r="H296" s="98" t="s">
        <v>80</v>
      </c>
      <c r="I296" s="125">
        <v>745736.13</v>
      </c>
      <c r="J296" s="125">
        <f>+I296</f>
        <v>745736.13</v>
      </c>
      <c r="K296" s="125"/>
      <c r="L296" s="125"/>
      <c r="M296" s="125"/>
      <c r="N296" s="125">
        <f>-I296+[2]ordinario!I363+76000</f>
        <v>818</v>
      </c>
    </row>
    <row r="297" spans="1:532" s="85" customFormat="1" ht="12.75" customHeight="1">
      <c r="A297" s="122"/>
      <c r="B297" s="240"/>
      <c r="C297" s="124"/>
      <c r="D297" s="124"/>
      <c r="E297" s="124"/>
      <c r="F297" s="146"/>
      <c r="G297" s="138"/>
      <c r="H297" s="98" t="s">
        <v>82</v>
      </c>
      <c r="I297" s="125">
        <v>15951840.880000001</v>
      </c>
      <c r="J297" s="125">
        <f>+I297</f>
        <v>15951840.880000001</v>
      </c>
      <c r="K297" s="125"/>
      <c r="L297" s="125"/>
      <c r="M297" s="125"/>
      <c r="N297" s="125">
        <f>-I297+[2]ordinario!I364+4000000</f>
        <v>5240546.3499999996</v>
      </c>
    </row>
    <row r="298" spans="1:532" s="85" customFormat="1" ht="12.75" customHeight="1">
      <c r="A298" s="122"/>
      <c r="B298" s="240"/>
      <c r="C298" s="124"/>
      <c r="D298" s="124"/>
      <c r="E298" s="124"/>
      <c r="F298" s="146"/>
      <c r="G298" s="138"/>
      <c r="H298" s="98" t="s">
        <v>84</v>
      </c>
      <c r="I298" s="125">
        <v>67314473.659999996</v>
      </c>
      <c r="J298" s="125" t="s">
        <v>735</v>
      </c>
      <c r="K298" s="125"/>
      <c r="L298" s="125">
        <f>+I298</f>
        <v>67314473.659999996</v>
      </c>
      <c r="M298" s="125"/>
      <c r="N298" s="125">
        <f>-I298+[2]ordinario!I365-76000+806724.82-6000000+6000000</f>
        <v>1000000.0000000075</v>
      </c>
    </row>
    <row r="299" spans="1:532" s="85" customFormat="1" ht="12.75" customHeight="1">
      <c r="A299" s="122"/>
      <c r="B299" s="240"/>
      <c r="C299" s="124"/>
      <c r="D299" s="124"/>
      <c r="E299" s="124"/>
      <c r="F299" s="146"/>
      <c r="G299" s="138"/>
      <c r="H299" s="98"/>
      <c r="I299" s="125"/>
      <c r="J299" s="125"/>
      <c r="K299" s="125"/>
      <c r="L299" s="125"/>
      <c r="M299" s="125"/>
      <c r="N299" s="125"/>
    </row>
    <row r="300" spans="1:532" s="85" customFormat="1" ht="12.75" customHeight="1">
      <c r="A300" s="122"/>
      <c r="B300" s="240"/>
      <c r="C300" s="124"/>
      <c r="D300" s="124"/>
      <c r="E300" s="124"/>
      <c r="F300" s="146"/>
      <c r="G300" s="138"/>
      <c r="H300" s="98"/>
      <c r="I300" s="125"/>
      <c r="J300" s="125"/>
      <c r="K300" s="125"/>
      <c r="L300" s="125"/>
      <c r="M300" s="125"/>
      <c r="N300" s="125"/>
    </row>
    <row r="301" spans="1:532" s="85" customFormat="1" ht="12.75" customHeight="1">
      <c r="A301" s="122"/>
      <c r="B301" s="240"/>
      <c r="C301" s="124"/>
      <c r="D301" s="124"/>
      <c r="E301" s="124"/>
      <c r="F301" s="146" t="s">
        <v>285</v>
      </c>
      <c r="G301" s="97" t="s">
        <v>286</v>
      </c>
      <c r="H301" s="98" t="s">
        <v>78</v>
      </c>
      <c r="I301" s="248">
        <f>430622256.32-I962</f>
        <v>46287574.909999967</v>
      </c>
      <c r="J301" s="125">
        <f>+I301</f>
        <v>46287574.909999967</v>
      </c>
      <c r="K301" s="125"/>
      <c r="L301" s="125"/>
      <c r="M301" s="125"/>
      <c r="N301" s="125">
        <f>-I301+[2]ordinario!I369-28106946.36</f>
        <v>208226437.97000003</v>
      </c>
    </row>
    <row r="302" spans="1:532" s="85" customFormat="1" ht="12.75" customHeight="1">
      <c r="A302" s="122"/>
      <c r="B302" s="240"/>
      <c r="C302" s="124"/>
      <c r="D302" s="124"/>
      <c r="E302" s="124"/>
      <c r="F302" s="146"/>
      <c r="G302" s="138"/>
      <c r="H302" s="98" t="s">
        <v>79</v>
      </c>
      <c r="I302" s="248">
        <f>114642467.4-I963</f>
        <v>0</v>
      </c>
      <c r="J302" s="125">
        <f>+I302</f>
        <v>0</v>
      </c>
      <c r="K302" s="125"/>
      <c r="L302" s="125"/>
      <c r="M302" s="125"/>
      <c r="N302" s="125">
        <f>-I302+[2]ordinario!I370-300000+583661.15</f>
        <v>176783661.15000001</v>
      </c>
    </row>
    <row r="303" spans="1:532" s="85" customFormat="1" ht="12.75" customHeight="1">
      <c r="A303" s="122"/>
      <c r="B303" s="240"/>
      <c r="C303" s="124"/>
      <c r="D303" s="124"/>
      <c r="E303" s="124"/>
      <c r="F303" s="146"/>
      <c r="G303" s="138"/>
      <c r="H303" s="98" t="s">
        <v>81</v>
      </c>
      <c r="I303" s="248">
        <f>229262917.14-I964</f>
        <v>146468321.94</v>
      </c>
      <c r="J303" s="125"/>
      <c r="K303" s="125">
        <f>+I303</f>
        <v>146468321.94</v>
      </c>
      <c r="L303" s="125"/>
      <c r="M303" s="125"/>
      <c r="N303" s="125">
        <f>-I303+[2]ordinario!I371</f>
        <v>29031678.060000002</v>
      </c>
    </row>
    <row r="304" spans="1:532" s="85" customFormat="1" ht="12.75" customHeight="1">
      <c r="A304" s="122"/>
      <c r="B304" s="240"/>
      <c r="C304" s="124"/>
      <c r="D304" s="124"/>
      <c r="E304" s="124"/>
      <c r="F304" s="146" t="s">
        <v>287</v>
      </c>
      <c r="G304" s="138"/>
      <c r="H304" s="98"/>
      <c r="I304" s="125"/>
      <c r="J304" s="125"/>
      <c r="K304" s="125"/>
      <c r="L304" s="125"/>
      <c r="M304" s="125"/>
      <c r="N304" s="125">
        <v>0</v>
      </c>
    </row>
    <row r="305" spans="1:532" s="135" customFormat="1" ht="12.75" customHeight="1">
      <c r="A305" s="111"/>
      <c r="B305" s="243"/>
      <c r="C305" s="112"/>
      <c r="D305" s="112"/>
      <c r="E305" s="112"/>
      <c r="F305" s="242"/>
      <c r="G305" s="113"/>
      <c r="H305" s="114"/>
      <c r="I305" s="115"/>
      <c r="J305" s="115"/>
      <c r="K305" s="115"/>
      <c r="L305" s="115"/>
      <c r="M305" s="115"/>
      <c r="N305" s="116"/>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c r="BF305" s="85"/>
      <c r="BG305" s="85"/>
      <c r="BH305" s="85"/>
      <c r="BI305" s="85"/>
      <c r="BJ305" s="85"/>
      <c r="BK305" s="85"/>
      <c r="BL305" s="85"/>
      <c r="BM305" s="85"/>
      <c r="BN305" s="85"/>
      <c r="BO305" s="85"/>
      <c r="BP305" s="85"/>
      <c r="BQ305" s="85"/>
      <c r="BR305" s="85"/>
      <c r="BS305" s="85"/>
      <c r="BT305" s="85"/>
      <c r="BU305" s="85"/>
      <c r="BV305" s="85"/>
      <c r="BW305" s="85"/>
      <c r="BX305" s="85"/>
      <c r="BY305" s="85"/>
      <c r="BZ305" s="85"/>
      <c r="CA305" s="85"/>
      <c r="CB305" s="85"/>
      <c r="CC305" s="85"/>
      <c r="CD305" s="85"/>
      <c r="CE305" s="85"/>
      <c r="CF305" s="85"/>
      <c r="CG305" s="85"/>
      <c r="CH305" s="85"/>
      <c r="CI305" s="85"/>
      <c r="CJ305" s="85"/>
      <c r="CK305" s="85"/>
      <c r="CL305" s="85"/>
      <c r="CM305" s="85"/>
      <c r="CN305" s="85"/>
      <c r="CO305" s="85"/>
      <c r="CP305" s="85"/>
      <c r="CQ305" s="85"/>
      <c r="CR305" s="85"/>
      <c r="CS305" s="85"/>
      <c r="CT305" s="85"/>
      <c r="CU305" s="85"/>
      <c r="CV305" s="85"/>
      <c r="CW305" s="85"/>
      <c r="CX305" s="85"/>
      <c r="CY305" s="85"/>
      <c r="CZ305" s="85"/>
      <c r="DA305" s="85"/>
      <c r="DB305" s="85"/>
      <c r="DC305" s="85"/>
      <c r="DD305" s="85"/>
      <c r="DE305" s="85"/>
      <c r="DF305" s="85"/>
      <c r="DG305" s="85"/>
      <c r="DH305" s="85"/>
      <c r="DI305" s="85"/>
      <c r="DJ305" s="85"/>
      <c r="DK305" s="85"/>
      <c r="DL305" s="85"/>
      <c r="DM305" s="85"/>
      <c r="DN305" s="85"/>
      <c r="DO305" s="85"/>
      <c r="DP305" s="85"/>
      <c r="DQ305" s="85"/>
      <c r="DR305" s="85"/>
      <c r="DS305" s="85"/>
      <c r="DT305" s="85"/>
      <c r="DU305" s="85"/>
      <c r="DV305" s="85"/>
      <c r="DW305" s="85"/>
      <c r="DX305" s="85"/>
      <c r="DY305" s="85"/>
      <c r="DZ305" s="85"/>
      <c r="EA305" s="85"/>
      <c r="EB305" s="85"/>
      <c r="EC305" s="85"/>
      <c r="ED305" s="85"/>
      <c r="EE305" s="85"/>
      <c r="EF305" s="85"/>
      <c r="EG305" s="85"/>
      <c r="EH305" s="85"/>
      <c r="EI305" s="85"/>
      <c r="EJ305" s="85"/>
      <c r="EK305" s="85"/>
      <c r="EL305" s="85"/>
      <c r="EM305" s="85"/>
      <c r="EN305" s="85"/>
      <c r="EO305" s="85"/>
      <c r="EP305" s="85"/>
      <c r="EQ305" s="85"/>
      <c r="ER305" s="85"/>
      <c r="ES305" s="85"/>
      <c r="ET305" s="85"/>
      <c r="EU305" s="85"/>
      <c r="EV305" s="85"/>
      <c r="EW305" s="85"/>
      <c r="EX305" s="85"/>
      <c r="EY305" s="85"/>
      <c r="EZ305" s="85"/>
      <c r="FA305" s="85"/>
      <c r="FB305" s="85"/>
      <c r="FC305" s="85"/>
      <c r="FD305" s="85"/>
      <c r="FE305" s="85"/>
      <c r="FF305" s="85"/>
      <c r="FG305" s="85"/>
      <c r="FH305" s="85"/>
      <c r="FI305" s="85"/>
      <c r="FJ305" s="85"/>
      <c r="FK305" s="85"/>
      <c r="FL305" s="85"/>
      <c r="FM305" s="85"/>
      <c r="FN305" s="85"/>
      <c r="FO305" s="85"/>
      <c r="FP305" s="85"/>
      <c r="FQ305" s="85"/>
      <c r="FR305" s="85"/>
      <c r="FS305" s="85"/>
      <c r="FT305" s="85"/>
      <c r="FU305" s="85"/>
      <c r="FV305" s="85"/>
      <c r="FW305" s="85"/>
      <c r="FX305" s="85"/>
      <c r="FY305" s="85"/>
      <c r="FZ305" s="85"/>
      <c r="GA305" s="85"/>
      <c r="GB305" s="85"/>
      <c r="GC305" s="85"/>
      <c r="GD305" s="85"/>
      <c r="GE305" s="85"/>
      <c r="GF305" s="85"/>
      <c r="GG305" s="85"/>
      <c r="GH305" s="85"/>
      <c r="GI305" s="85"/>
      <c r="GJ305" s="85"/>
      <c r="GK305" s="85"/>
      <c r="GL305" s="85"/>
      <c r="GM305" s="85"/>
      <c r="GN305" s="85"/>
      <c r="GO305" s="85"/>
      <c r="GP305" s="85"/>
      <c r="GQ305" s="85"/>
      <c r="GR305" s="85"/>
      <c r="GS305" s="85"/>
      <c r="GT305" s="85"/>
      <c r="GU305" s="85"/>
      <c r="GV305" s="85"/>
      <c r="GW305" s="85"/>
      <c r="GX305" s="85"/>
      <c r="GY305" s="85"/>
      <c r="GZ305" s="85"/>
      <c r="HA305" s="85"/>
      <c r="HB305" s="85"/>
      <c r="HC305" s="85"/>
      <c r="HD305" s="85"/>
      <c r="HE305" s="85"/>
      <c r="HF305" s="85"/>
      <c r="HG305" s="85"/>
      <c r="HH305" s="85"/>
      <c r="HI305" s="85"/>
      <c r="HJ305" s="85"/>
      <c r="HK305" s="85"/>
      <c r="HL305" s="85"/>
      <c r="HM305" s="85"/>
      <c r="HN305" s="85"/>
      <c r="HO305" s="85"/>
      <c r="HP305" s="85"/>
      <c r="HQ305" s="85"/>
      <c r="HR305" s="85"/>
      <c r="HS305" s="85"/>
      <c r="HT305" s="85"/>
      <c r="HU305" s="85"/>
      <c r="HV305" s="85"/>
      <c r="HW305" s="85"/>
      <c r="HX305" s="85"/>
      <c r="HY305" s="85"/>
      <c r="HZ305" s="85"/>
      <c r="IA305" s="85"/>
      <c r="IB305" s="85"/>
      <c r="IC305" s="85"/>
      <c r="ID305" s="85"/>
      <c r="IE305" s="85"/>
      <c r="IF305" s="85"/>
      <c r="IG305" s="85"/>
      <c r="IH305" s="85"/>
      <c r="II305" s="85"/>
      <c r="IJ305" s="85"/>
      <c r="IK305" s="85"/>
      <c r="IL305" s="85"/>
      <c r="IM305" s="85"/>
      <c r="IN305" s="85"/>
      <c r="IO305" s="85"/>
      <c r="IP305" s="85"/>
      <c r="IQ305" s="85"/>
      <c r="IR305" s="85"/>
      <c r="IS305" s="85"/>
      <c r="IT305" s="85"/>
      <c r="IU305" s="85"/>
      <c r="IV305" s="85"/>
      <c r="IW305" s="85"/>
      <c r="IX305" s="85"/>
      <c r="IY305" s="85"/>
      <c r="IZ305" s="85"/>
      <c r="JA305" s="85"/>
      <c r="JB305" s="85"/>
      <c r="JC305" s="85"/>
      <c r="JD305" s="85"/>
      <c r="JE305" s="85"/>
      <c r="JF305" s="85"/>
      <c r="JG305" s="85"/>
      <c r="JH305" s="85"/>
      <c r="JI305" s="85"/>
      <c r="JJ305" s="85"/>
      <c r="JK305" s="85"/>
      <c r="JL305" s="85"/>
      <c r="JM305" s="85"/>
      <c r="JN305" s="85"/>
      <c r="JO305" s="85"/>
      <c r="JP305" s="85"/>
      <c r="JQ305" s="85"/>
      <c r="JR305" s="85"/>
      <c r="JS305" s="85"/>
      <c r="JT305" s="85"/>
      <c r="JU305" s="85"/>
      <c r="JV305" s="85"/>
      <c r="JW305" s="85"/>
      <c r="JX305" s="85"/>
      <c r="JY305" s="85"/>
      <c r="JZ305" s="85"/>
      <c r="KA305" s="85"/>
      <c r="KB305" s="85"/>
      <c r="KC305" s="85"/>
      <c r="KD305" s="85"/>
      <c r="KE305" s="85"/>
      <c r="KF305" s="85"/>
      <c r="KG305" s="85"/>
      <c r="KH305" s="85"/>
      <c r="KI305" s="85"/>
      <c r="KJ305" s="85"/>
      <c r="KK305" s="85"/>
      <c r="KL305" s="85"/>
      <c r="KM305" s="85"/>
      <c r="KN305" s="85"/>
      <c r="KO305" s="85"/>
      <c r="KP305" s="85"/>
      <c r="KQ305" s="85"/>
      <c r="KR305" s="85"/>
      <c r="KS305" s="85"/>
      <c r="KT305" s="85"/>
      <c r="KU305" s="85"/>
      <c r="KV305" s="85"/>
      <c r="KW305" s="85"/>
      <c r="KX305" s="85"/>
      <c r="KY305" s="85"/>
      <c r="KZ305" s="85"/>
      <c r="LA305" s="85"/>
      <c r="LB305" s="85"/>
      <c r="LC305" s="85"/>
      <c r="LD305" s="85"/>
      <c r="LE305" s="85"/>
      <c r="LF305" s="85"/>
      <c r="LG305" s="85"/>
      <c r="LH305" s="85"/>
      <c r="LI305" s="85"/>
      <c r="LJ305" s="85"/>
      <c r="LK305" s="85"/>
      <c r="LL305" s="85"/>
      <c r="LM305" s="85"/>
      <c r="LN305" s="85"/>
      <c r="LO305" s="85"/>
      <c r="LP305" s="85"/>
      <c r="LQ305" s="85"/>
      <c r="LR305" s="85"/>
      <c r="LS305" s="85"/>
      <c r="LT305" s="85"/>
      <c r="LU305" s="85"/>
      <c r="LV305" s="85"/>
      <c r="LW305" s="85"/>
      <c r="LX305" s="85"/>
      <c r="LY305" s="85"/>
      <c r="LZ305" s="85"/>
      <c r="MA305" s="85"/>
      <c r="MB305" s="85"/>
      <c r="MC305" s="85"/>
      <c r="MD305" s="85"/>
      <c r="ME305" s="85"/>
      <c r="MF305" s="85"/>
      <c r="MG305" s="85"/>
      <c r="MH305" s="85"/>
      <c r="MI305" s="85"/>
      <c r="MJ305" s="85"/>
      <c r="MK305" s="85"/>
      <c r="ML305" s="85"/>
      <c r="MM305" s="85"/>
      <c r="MN305" s="85"/>
      <c r="MO305" s="85"/>
      <c r="MP305" s="85"/>
      <c r="MQ305" s="85"/>
      <c r="MR305" s="85"/>
      <c r="MS305" s="85"/>
      <c r="MT305" s="85"/>
      <c r="MU305" s="85"/>
      <c r="MV305" s="85"/>
      <c r="MW305" s="85"/>
      <c r="MX305" s="85"/>
      <c r="MY305" s="85"/>
      <c r="MZ305" s="85"/>
      <c r="NA305" s="85"/>
      <c r="NB305" s="85"/>
      <c r="NC305" s="85"/>
      <c r="ND305" s="85"/>
      <c r="NE305" s="85"/>
      <c r="NF305" s="85"/>
      <c r="NG305" s="85"/>
      <c r="NH305" s="85"/>
      <c r="NI305" s="85"/>
      <c r="NJ305" s="85"/>
      <c r="NK305" s="85"/>
      <c r="NL305" s="85"/>
      <c r="NM305" s="85"/>
      <c r="NN305" s="85"/>
      <c r="NO305" s="85"/>
      <c r="NP305" s="85"/>
      <c r="NQ305" s="85"/>
      <c r="NR305" s="85"/>
      <c r="NS305" s="85"/>
      <c r="NT305" s="85"/>
      <c r="NU305" s="85"/>
      <c r="NV305" s="85"/>
      <c r="NW305" s="85"/>
      <c r="NX305" s="85"/>
      <c r="NY305" s="85"/>
      <c r="NZ305" s="85"/>
      <c r="OA305" s="85"/>
      <c r="OB305" s="85"/>
      <c r="OC305" s="85"/>
      <c r="OD305" s="85"/>
      <c r="OE305" s="85"/>
      <c r="OF305" s="85"/>
      <c r="OG305" s="85"/>
      <c r="OH305" s="85"/>
      <c r="OI305" s="85"/>
      <c r="OJ305" s="85"/>
      <c r="OK305" s="85"/>
      <c r="OL305" s="85"/>
      <c r="OM305" s="85"/>
      <c r="ON305" s="85"/>
      <c r="OO305" s="85"/>
      <c r="OP305" s="85"/>
      <c r="OQ305" s="85"/>
      <c r="OR305" s="85"/>
      <c r="OS305" s="85"/>
      <c r="OT305" s="85"/>
      <c r="OU305" s="85"/>
      <c r="OV305" s="85"/>
      <c r="OW305" s="85"/>
      <c r="OX305" s="85"/>
      <c r="OY305" s="85"/>
      <c r="OZ305" s="85"/>
      <c r="PA305" s="85"/>
      <c r="PB305" s="85"/>
      <c r="PC305" s="85"/>
      <c r="PD305" s="85"/>
      <c r="PE305" s="85"/>
      <c r="PF305" s="85"/>
      <c r="PG305" s="85"/>
      <c r="PH305" s="85"/>
      <c r="PI305" s="85"/>
      <c r="PJ305" s="85"/>
      <c r="PK305" s="85"/>
      <c r="PL305" s="85"/>
      <c r="PM305" s="85"/>
      <c r="PN305" s="85"/>
      <c r="PO305" s="85"/>
      <c r="PP305" s="85"/>
      <c r="PQ305" s="85"/>
      <c r="PR305" s="85"/>
      <c r="PS305" s="85"/>
      <c r="PT305" s="85"/>
      <c r="PU305" s="85"/>
      <c r="PV305" s="85"/>
      <c r="PW305" s="85"/>
      <c r="PX305" s="85"/>
      <c r="PY305" s="85"/>
      <c r="PZ305" s="85"/>
      <c r="QA305" s="85"/>
      <c r="QB305" s="85"/>
      <c r="QC305" s="85"/>
      <c r="QD305" s="85"/>
      <c r="QE305" s="85"/>
      <c r="QF305" s="85"/>
      <c r="QG305" s="85"/>
      <c r="QH305" s="85"/>
      <c r="QI305" s="85"/>
      <c r="QJ305" s="85"/>
      <c r="QK305" s="85"/>
      <c r="QL305" s="85"/>
      <c r="QM305" s="85"/>
      <c r="QN305" s="85"/>
      <c r="QO305" s="85"/>
      <c r="QP305" s="85"/>
      <c r="QQ305" s="85"/>
      <c r="QR305" s="85"/>
      <c r="QS305" s="85"/>
      <c r="QT305" s="85"/>
      <c r="QU305" s="85"/>
      <c r="QV305" s="85"/>
      <c r="QW305" s="85"/>
      <c r="QX305" s="85"/>
      <c r="QY305" s="85"/>
      <c r="QZ305" s="85"/>
      <c r="RA305" s="85"/>
      <c r="RB305" s="85"/>
      <c r="RC305" s="85"/>
      <c r="RD305" s="85"/>
      <c r="RE305" s="85"/>
      <c r="RF305" s="85"/>
      <c r="RG305" s="85"/>
      <c r="RH305" s="85"/>
      <c r="RI305" s="85"/>
      <c r="RJ305" s="85"/>
      <c r="RK305" s="85"/>
      <c r="RL305" s="85"/>
      <c r="RM305" s="85"/>
      <c r="RN305" s="85"/>
      <c r="RO305" s="85"/>
      <c r="RP305" s="85"/>
      <c r="RQ305" s="85"/>
      <c r="RR305" s="85"/>
      <c r="RS305" s="85"/>
      <c r="RT305" s="85"/>
      <c r="RU305" s="85"/>
      <c r="RV305" s="85"/>
      <c r="RW305" s="85"/>
      <c r="RX305" s="85"/>
      <c r="RY305" s="85"/>
      <c r="RZ305" s="85"/>
      <c r="SA305" s="85"/>
      <c r="SB305" s="85"/>
      <c r="SC305" s="85"/>
      <c r="SD305" s="85"/>
      <c r="SE305" s="85"/>
      <c r="SF305" s="85"/>
      <c r="SG305" s="85"/>
      <c r="SH305" s="85"/>
      <c r="SI305" s="85"/>
      <c r="SJ305" s="85"/>
      <c r="SK305" s="85"/>
      <c r="SL305" s="85"/>
      <c r="SM305" s="85"/>
      <c r="SN305" s="85"/>
      <c r="SO305" s="85"/>
      <c r="SP305" s="85"/>
      <c r="SQ305" s="85"/>
      <c r="SR305" s="85"/>
      <c r="SS305" s="85"/>
      <c r="ST305" s="85"/>
      <c r="SU305" s="85"/>
      <c r="SV305" s="85"/>
      <c r="SW305" s="85"/>
      <c r="SX305" s="85"/>
      <c r="SY305" s="85"/>
      <c r="SZ305" s="85"/>
      <c r="TA305" s="85"/>
      <c r="TB305" s="85"/>
      <c r="TC305" s="85"/>
      <c r="TD305" s="85"/>
      <c r="TE305" s="85"/>
      <c r="TF305" s="85"/>
      <c r="TG305" s="85"/>
      <c r="TH305" s="85"/>
      <c r="TI305" s="85"/>
      <c r="TJ305" s="85"/>
      <c r="TK305" s="85"/>
      <c r="TL305" s="85"/>
    </row>
    <row r="306" spans="1:532" s="85" customFormat="1" ht="12.75" customHeight="1">
      <c r="A306" s="144" t="s">
        <v>288</v>
      </c>
      <c r="B306" s="147" t="s">
        <v>289</v>
      </c>
      <c r="C306" s="124"/>
      <c r="D306" s="124">
        <f>+[2]ordinario!C375</f>
        <v>1100000000</v>
      </c>
      <c r="E306" s="124">
        <v>1018199833.3099999</v>
      </c>
      <c r="F306" s="142"/>
      <c r="G306" s="97"/>
      <c r="H306" s="98"/>
      <c r="I306" s="140">
        <f t="shared" ref="I306:N306" si="13">SUM(I307:I317)</f>
        <v>621220863.06999993</v>
      </c>
      <c r="J306" s="140">
        <f t="shared" si="13"/>
        <v>443562733.09999996</v>
      </c>
      <c r="K306" s="140">
        <f t="shared" si="13"/>
        <v>26389928.629999995</v>
      </c>
      <c r="L306" s="140">
        <f t="shared" si="13"/>
        <v>151268201.33999997</v>
      </c>
      <c r="M306" s="140">
        <f t="shared" si="13"/>
        <v>0</v>
      </c>
      <c r="N306" s="140">
        <f t="shared" si="13"/>
        <v>396978970.24400878</v>
      </c>
    </row>
    <row r="307" spans="1:532" s="85" customFormat="1" ht="12.75" customHeight="1">
      <c r="A307" s="122"/>
      <c r="B307" s="240"/>
      <c r="C307" s="124"/>
      <c r="D307" s="124"/>
      <c r="E307" s="124"/>
      <c r="F307" s="96" t="s">
        <v>178</v>
      </c>
      <c r="G307" s="97" t="s">
        <v>179</v>
      </c>
      <c r="H307" s="98" t="s">
        <v>77</v>
      </c>
      <c r="I307" s="125">
        <v>101819983.33</v>
      </c>
      <c r="J307" s="125">
        <f>+I307</f>
        <v>101819983.33</v>
      </c>
      <c r="K307" s="125"/>
      <c r="L307" s="125"/>
      <c r="M307" s="125"/>
      <c r="N307" s="126">
        <f>-I307+E306*0.1</f>
        <v>1.0000020265579224E-3</v>
      </c>
    </row>
    <row r="308" spans="1:532" s="85" customFormat="1" ht="12.75" customHeight="1">
      <c r="A308" s="122"/>
      <c r="B308" s="240"/>
      <c r="C308" s="124"/>
      <c r="D308" s="124"/>
      <c r="E308" s="124"/>
      <c r="F308" s="146"/>
      <c r="G308" s="138"/>
      <c r="H308" s="98"/>
      <c r="I308" s="125"/>
      <c r="J308" s="125"/>
      <c r="K308" s="125"/>
      <c r="L308" s="125"/>
      <c r="M308" s="125"/>
      <c r="N308" s="125"/>
    </row>
    <row r="309" spans="1:532" s="85" customFormat="1" ht="12.75" customHeight="1">
      <c r="A309" s="122"/>
      <c r="B309" s="240"/>
      <c r="C309" s="124"/>
      <c r="D309" s="124"/>
      <c r="E309" s="124"/>
      <c r="F309" s="146" t="s">
        <v>188</v>
      </c>
      <c r="G309" s="97" t="s">
        <v>290</v>
      </c>
      <c r="H309" s="98" t="s">
        <v>77</v>
      </c>
      <c r="I309" s="125">
        <v>261078465.63</v>
      </c>
      <c r="J309" s="125">
        <f>+I309</f>
        <v>261078465.63</v>
      </c>
      <c r="K309" s="125"/>
      <c r="L309" s="125"/>
      <c r="M309" s="125"/>
      <c r="N309" s="125">
        <f>-I309+[2]ordinario!I380+7000000+2000000</f>
        <v>82929400.376008689</v>
      </c>
    </row>
    <row r="310" spans="1:532" s="85" customFormat="1" ht="12.75" customHeight="1">
      <c r="A310" s="122"/>
      <c r="B310" s="240"/>
      <c r="C310" s="124"/>
      <c r="D310" s="124"/>
      <c r="E310" s="124"/>
      <c r="F310" s="146"/>
      <c r="G310" s="138"/>
      <c r="H310" s="98" t="s">
        <v>78</v>
      </c>
      <c r="I310" s="125">
        <f>254347184.86-I970</f>
        <v>0</v>
      </c>
      <c r="J310" s="125">
        <f>+I310</f>
        <v>0</v>
      </c>
      <c r="K310" s="125"/>
      <c r="L310" s="125"/>
      <c r="M310" s="125"/>
      <c r="N310" s="125">
        <f>-I310+[2]ordinario!I381-1000000-73620150.02-25712401.47</f>
        <v>134731029.42700002</v>
      </c>
    </row>
    <row r="311" spans="1:532" s="85" customFormat="1" ht="12.75" customHeight="1">
      <c r="A311" s="122"/>
      <c r="B311" s="240"/>
      <c r="C311" s="124"/>
      <c r="D311" s="124"/>
      <c r="E311" s="124"/>
      <c r="F311" s="146"/>
      <c r="G311" s="138"/>
      <c r="H311" s="98" t="s">
        <v>79</v>
      </c>
      <c r="I311" s="125">
        <f>164827696.65-I971</f>
        <v>46865757.950000003</v>
      </c>
      <c r="J311" s="125">
        <f>+I311</f>
        <v>46865757.950000003</v>
      </c>
      <c r="K311" s="125"/>
      <c r="L311" s="125"/>
      <c r="M311" s="125"/>
      <c r="N311" s="125">
        <f>-I311+[2]ordinario!I382-7000000-4000000</f>
        <v>151273533.87</v>
      </c>
    </row>
    <row r="312" spans="1:532" s="85" customFormat="1" ht="12.75" customHeight="1">
      <c r="A312" s="122"/>
      <c r="B312" s="240"/>
      <c r="C312" s="124"/>
      <c r="D312" s="124"/>
      <c r="E312" s="124"/>
      <c r="F312" s="146"/>
      <c r="G312" s="138"/>
      <c r="H312" s="98" t="s">
        <v>80</v>
      </c>
      <c r="I312" s="125">
        <f>245080683.91-I482</f>
        <v>29533301.870000005</v>
      </c>
      <c r="J312" s="125">
        <f>+I312</f>
        <v>29533301.870000005</v>
      </c>
      <c r="K312" s="125"/>
      <c r="L312" s="125"/>
      <c r="M312" s="125"/>
      <c r="N312" s="125">
        <f>-I312+[2]ordinario!I383+1000000+20529882.67+5182518.8+6000000</f>
        <v>3717008.9899999974</v>
      </c>
    </row>
    <row r="313" spans="1:532" s="85" customFormat="1" ht="12.75" customHeight="1">
      <c r="A313" s="122"/>
      <c r="B313" s="240"/>
      <c r="C313" s="124"/>
      <c r="D313" s="124"/>
      <c r="E313" s="124"/>
      <c r="F313" s="146"/>
      <c r="G313" s="138"/>
      <c r="H313" s="98" t="s">
        <v>81</v>
      </c>
      <c r="I313" s="125">
        <f>430586627.09-I545-I972</f>
        <v>26389928.629999995</v>
      </c>
      <c r="J313" s="125"/>
      <c r="K313" s="125">
        <f>+I313</f>
        <v>26389928.629999995</v>
      </c>
      <c r="L313" s="125"/>
      <c r="M313" s="125"/>
      <c r="N313" s="125">
        <f>-I313+[2]ordinario!I384+2000000</f>
        <v>610071.37000000477</v>
      </c>
    </row>
    <row r="314" spans="1:532" s="85" customFormat="1" ht="12.75" customHeight="1">
      <c r="A314" s="122"/>
      <c r="B314" s="240"/>
      <c r="C314" s="124"/>
      <c r="D314" s="124"/>
      <c r="E314" s="124"/>
      <c r="F314" s="146"/>
      <c r="G314" s="138"/>
      <c r="H314" s="98" t="s">
        <v>82</v>
      </c>
      <c r="I314" s="125">
        <v>4265224.32</v>
      </c>
      <c r="J314" s="125">
        <f>+I314</f>
        <v>4265224.32</v>
      </c>
      <c r="K314" s="125"/>
      <c r="L314" s="125"/>
      <c r="M314" s="125"/>
      <c r="N314" s="125">
        <f>-I314+[2]ordinario!I385</f>
        <v>23355365.759999998</v>
      </c>
    </row>
    <row r="315" spans="1:532" s="85" customFormat="1" ht="12.75" customHeight="1">
      <c r="A315" s="122"/>
      <c r="B315" s="240"/>
      <c r="C315" s="124"/>
      <c r="D315" s="124"/>
      <c r="E315" s="124"/>
      <c r="F315" s="146"/>
      <c r="G315" s="138"/>
      <c r="H315" s="98" t="s">
        <v>84</v>
      </c>
      <c r="I315" s="125">
        <f>199078400.39-I483</f>
        <v>151268201.33999997</v>
      </c>
      <c r="J315" s="125"/>
      <c r="K315" s="125"/>
      <c r="L315" s="125">
        <f>+I315</f>
        <v>151268201.33999997</v>
      </c>
      <c r="M315" s="125"/>
      <c r="N315" s="125">
        <f>-I315+[2]ordinario!I386-6000000</f>
        <v>362560.45000001788</v>
      </c>
    </row>
    <row r="316" spans="1:532" s="85" customFormat="1" ht="12.75" customHeight="1">
      <c r="A316" s="122"/>
      <c r="B316" s="240"/>
      <c r="C316" s="124"/>
      <c r="D316" s="124"/>
      <c r="E316" s="124"/>
      <c r="F316" s="146"/>
      <c r="G316" s="138"/>
      <c r="H316" s="98" t="s">
        <v>85</v>
      </c>
      <c r="I316" s="125"/>
      <c r="J316" s="125">
        <f>+I316</f>
        <v>0</v>
      </c>
      <c r="K316" s="125"/>
      <c r="L316" s="125"/>
      <c r="M316" s="125"/>
      <c r="N316" s="125"/>
    </row>
    <row r="317" spans="1:532" s="85" customFormat="1" ht="12.75" customHeight="1">
      <c r="A317" s="122"/>
      <c r="B317" s="240"/>
      <c r="C317" s="124"/>
      <c r="D317" s="124"/>
      <c r="E317" s="124"/>
      <c r="F317" s="146" t="s">
        <v>277</v>
      </c>
      <c r="G317" s="138"/>
      <c r="H317" s="98"/>
      <c r="I317" s="125"/>
      <c r="J317" s="125"/>
      <c r="K317" s="125"/>
      <c r="L317" s="125"/>
      <c r="M317" s="125"/>
      <c r="N317" s="125">
        <v>0</v>
      </c>
    </row>
    <row r="318" spans="1:532" s="135" customFormat="1" ht="12.75" customHeight="1">
      <c r="A318" s="111"/>
      <c r="B318" s="243"/>
      <c r="C318" s="112"/>
      <c r="D318" s="112"/>
      <c r="E318" s="112"/>
      <c r="F318" s="242"/>
      <c r="G318" s="113"/>
      <c r="H318" s="114"/>
      <c r="I318" s="115"/>
      <c r="J318" s="115"/>
      <c r="K318" s="115"/>
      <c r="L318" s="115"/>
      <c r="M318" s="115"/>
      <c r="N318" s="116"/>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c r="BD318" s="85"/>
      <c r="BE318" s="85"/>
      <c r="BF318" s="85"/>
      <c r="BG318" s="85"/>
      <c r="BH318" s="85"/>
      <c r="BI318" s="85"/>
      <c r="BJ318" s="85"/>
      <c r="BK318" s="85"/>
      <c r="BL318" s="85"/>
      <c r="BM318" s="85"/>
      <c r="BN318" s="85"/>
      <c r="BO318" s="85"/>
      <c r="BP318" s="85"/>
      <c r="BQ318" s="85"/>
      <c r="BR318" s="85"/>
      <c r="BS318" s="85"/>
      <c r="BT318" s="85"/>
      <c r="BU318" s="85"/>
      <c r="BV318" s="85"/>
      <c r="BW318" s="85"/>
      <c r="BX318" s="85"/>
      <c r="BY318" s="85"/>
      <c r="BZ318" s="85"/>
      <c r="CA318" s="85"/>
      <c r="CB318" s="85"/>
      <c r="CC318" s="85"/>
      <c r="CD318" s="85"/>
      <c r="CE318" s="85"/>
      <c r="CF318" s="85"/>
      <c r="CG318" s="85"/>
      <c r="CH318" s="85"/>
      <c r="CI318" s="85"/>
      <c r="CJ318" s="85"/>
      <c r="CK318" s="85"/>
      <c r="CL318" s="85"/>
      <c r="CM318" s="85"/>
      <c r="CN318" s="85"/>
      <c r="CO318" s="85"/>
      <c r="CP318" s="85"/>
      <c r="CQ318" s="85"/>
      <c r="CR318" s="85"/>
      <c r="CS318" s="85"/>
      <c r="CT318" s="85"/>
      <c r="CU318" s="85"/>
      <c r="CV318" s="85"/>
      <c r="CW318" s="85"/>
      <c r="CX318" s="85"/>
      <c r="CY318" s="85"/>
      <c r="CZ318" s="85"/>
      <c r="DA318" s="85"/>
      <c r="DB318" s="85"/>
      <c r="DC318" s="85"/>
      <c r="DD318" s="85"/>
      <c r="DE318" s="85"/>
      <c r="DF318" s="85"/>
      <c r="DG318" s="85"/>
      <c r="DH318" s="85"/>
      <c r="DI318" s="85"/>
      <c r="DJ318" s="85"/>
      <c r="DK318" s="85"/>
      <c r="DL318" s="85"/>
      <c r="DM318" s="85"/>
      <c r="DN318" s="85"/>
      <c r="DO318" s="85"/>
      <c r="DP318" s="85"/>
      <c r="DQ318" s="85"/>
      <c r="DR318" s="85"/>
      <c r="DS318" s="85"/>
      <c r="DT318" s="85"/>
      <c r="DU318" s="85"/>
      <c r="DV318" s="85"/>
      <c r="DW318" s="85"/>
      <c r="DX318" s="85"/>
      <c r="DY318" s="85"/>
      <c r="DZ318" s="85"/>
      <c r="EA318" s="85"/>
      <c r="EB318" s="85"/>
      <c r="EC318" s="85"/>
      <c r="ED318" s="85"/>
      <c r="EE318" s="85"/>
      <c r="EF318" s="85"/>
      <c r="EG318" s="85"/>
      <c r="EH318" s="85"/>
      <c r="EI318" s="85"/>
      <c r="EJ318" s="85"/>
      <c r="EK318" s="85"/>
      <c r="EL318" s="85"/>
      <c r="EM318" s="85"/>
      <c r="EN318" s="85"/>
      <c r="EO318" s="85"/>
      <c r="EP318" s="85"/>
      <c r="EQ318" s="85"/>
      <c r="ER318" s="85"/>
      <c r="ES318" s="85"/>
      <c r="ET318" s="85"/>
      <c r="EU318" s="85"/>
      <c r="EV318" s="85"/>
      <c r="EW318" s="85"/>
      <c r="EX318" s="85"/>
      <c r="EY318" s="85"/>
      <c r="EZ318" s="85"/>
      <c r="FA318" s="85"/>
      <c r="FB318" s="85"/>
      <c r="FC318" s="85"/>
      <c r="FD318" s="85"/>
      <c r="FE318" s="85"/>
      <c r="FF318" s="85"/>
      <c r="FG318" s="85"/>
      <c r="FH318" s="85"/>
      <c r="FI318" s="85"/>
      <c r="FJ318" s="85"/>
      <c r="FK318" s="85"/>
      <c r="FL318" s="85"/>
      <c r="FM318" s="85"/>
      <c r="FN318" s="85"/>
      <c r="FO318" s="85"/>
      <c r="FP318" s="85"/>
      <c r="FQ318" s="85"/>
      <c r="FR318" s="85"/>
      <c r="FS318" s="85"/>
      <c r="FT318" s="85"/>
      <c r="FU318" s="85"/>
      <c r="FV318" s="85"/>
      <c r="FW318" s="85"/>
      <c r="FX318" s="85"/>
      <c r="FY318" s="85"/>
      <c r="FZ318" s="85"/>
      <c r="GA318" s="85"/>
      <c r="GB318" s="85"/>
      <c r="GC318" s="85"/>
      <c r="GD318" s="85"/>
      <c r="GE318" s="85"/>
      <c r="GF318" s="85"/>
      <c r="GG318" s="85"/>
      <c r="GH318" s="85"/>
      <c r="GI318" s="85"/>
      <c r="GJ318" s="85"/>
      <c r="GK318" s="85"/>
      <c r="GL318" s="85"/>
      <c r="GM318" s="85"/>
      <c r="GN318" s="85"/>
      <c r="GO318" s="85"/>
      <c r="GP318" s="85"/>
      <c r="GQ318" s="85"/>
      <c r="GR318" s="85"/>
      <c r="GS318" s="85"/>
      <c r="GT318" s="85"/>
      <c r="GU318" s="85"/>
      <c r="GV318" s="85"/>
      <c r="GW318" s="85"/>
      <c r="GX318" s="85"/>
      <c r="GY318" s="85"/>
      <c r="GZ318" s="85"/>
      <c r="HA318" s="85"/>
      <c r="HB318" s="85"/>
      <c r="HC318" s="85"/>
      <c r="HD318" s="85"/>
      <c r="HE318" s="85"/>
      <c r="HF318" s="85"/>
      <c r="HG318" s="85"/>
      <c r="HH318" s="85"/>
      <c r="HI318" s="85"/>
      <c r="HJ318" s="85"/>
      <c r="HK318" s="85"/>
      <c r="HL318" s="85"/>
      <c r="HM318" s="85"/>
      <c r="HN318" s="85"/>
      <c r="HO318" s="85"/>
      <c r="HP318" s="85"/>
      <c r="HQ318" s="85"/>
      <c r="HR318" s="85"/>
      <c r="HS318" s="85"/>
      <c r="HT318" s="85"/>
      <c r="HU318" s="85"/>
      <c r="HV318" s="85"/>
      <c r="HW318" s="85"/>
      <c r="HX318" s="85"/>
      <c r="HY318" s="85"/>
      <c r="HZ318" s="85"/>
      <c r="IA318" s="85"/>
      <c r="IB318" s="85"/>
      <c r="IC318" s="85"/>
      <c r="ID318" s="85"/>
      <c r="IE318" s="85"/>
      <c r="IF318" s="85"/>
      <c r="IG318" s="85"/>
      <c r="IH318" s="85"/>
      <c r="II318" s="85"/>
      <c r="IJ318" s="85"/>
      <c r="IK318" s="85"/>
      <c r="IL318" s="85"/>
      <c r="IM318" s="85"/>
      <c r="IN318" s="85"/>
      <c r="IO318" s="85"/>
      <c r="IP318" s="85"/>
      <c r="IQ318" s="85"/>
      <c r="IR318" s="85"/>
      <c r="IS318" s="85"/>
      <c r="IT318" s="85"/>
      <c r="IU318" s="85"/>
      <c r="IV318" s="85"/>
      <c r="IW318" s="85"/>
      <c r="IX318" s="85"/>
      <c r="IY318" s="85"/>
      <c r="IZ318" s="85"/>
      <c r="JA318" s="85"/>
      <c r="JB318" s="85"/>
      <c r="JC318" s="85"/>
      <c r="JD318" s="85"/>
      <c r="JE318" s="85"/>
      <c r="JF318" s="85"/>
      <c r="JG318" s="85"/>
      <c r="JH318" s="85"/>
      <c r="JI318" s="85"/>
      <c r="JJ318" s="85"/>
      <c r="JK318" s="85"/>
      <c r="JL318" s="85"/>
      <c r="JM318" s="85"/>
      <c r="JN318" s="85"/>
      <c r="JO318" s="85"/>
      <c r="JP318" s="85"/>
      <c r="JQ318" s="85"/>
      <c r="JR318" s="85"/>
      <c r="JS318" s="85"/>
      <c r="JT318" s="85"/>
      <c r="JU318" s="85"/>
      <c r="JV318" s="85"/>
      <c r="JW318" s="85"/>
      <c r="JX318" s="85"/>
      <c r="JY318" s="85"/>
      <c r="JZ318" s="85"/>
      <c r="KA318" s="85"/>
      <c r="KB318" s="85"/>
      <c r="KC318" s="85"/>
      <c r="KD318" s="85"/>
      <c r="KE318" s="85"/>
      <c r="KF318" s="85"/>
      <c r="KG318" s="85"/>
      <c r="KH318" s="85"/>
      <c r="KI318" s="85"/>
      <c r="KJ318" s="85"/>
      <c r="KK318" s="85"/>
      <c r="KL318" s="85"/>
      <c r="KM318" s="85"/>
      <c r="KN318" s="85"/>
      <c r="KO318" s="85"/>
      <c r="KP318" s="85"/>
      <c r="KQ318" s="85"/>
      <c r="KR318" s="85"/>
      <c r="KS318" s="85"/>
      <c r="KT318" s="85"/>
      <c r="KU318" s="85"/>
      <c r="KV318" s="85"/>
      <c r="KW318" s="85"/>
      <c r="KX318" s="85"/>
      <c r="KY318" s="85"/>
      <c r="KZ318" s="85"/>
      <c r="LA318" s="85"/>
      <c r="LB318" s="85"/>
      <c r="LC318" s="85"/>
      <c r="LD318" s="85"/>
      <c r="LE318" s="85"/>
      <c r="LF318" s="85"/>
      <c r="LG318" s="85"/>
      <c r="LH318" s="85"/>
      <c r="LI318" s="85"/>
      <c r="LJ318" s="85"/>
      <c r="LK318" s="85"/>
      <c r="LL318" s="85"/>
      <c r="LM318" s="85"/>
      <c r="LN318" s="85"/>
      <c r="LO318" s="85"/>
      <c r="LP318" s="85"/>
      <c r="LQ318" s="85"/>
      <c r="LR318" s="85"/>
      <c r="LS318" s="85"/>
      <c r="LT318" s="85"/>
      <c r="LU318" s="85"/>
      <c r="LV318" s="85"/>
      <c r="LW318" s="85"/>
      <c r="LX318" s="85"/>
      <c r="LY318" s="85"/>
      <c r="LZ318" s="85"/>
      <c r="MA318" s="85"/>
      <c r="MB318" s="85"/>
      <c r="MC318" s="85"/>
      <c r="MD318" s="85"/>
      <c r="ME318" s="85"/>
      <c r="MF318" s="85"/>
      <c r="MG318" s="85"/>
      <c r="MH318" s="85"/>
      <c r="MI318" s="85"/>
      <c r="MJ318" s="85"/>
      <c r="MK318" s="85"/>
      <c r="ML318" s="85"/>
      <c r="MM318" s="85"/>
      <c r="MN318" s="85"/>
      <c r="MO318" s="85"/>
      <c r="MP318" s="85"/>
      <c r="MQ318" s="85"/>
      <c r="MR318" s="85"/>
      <c r="MS318" s="85"/>
      <c r="MT318" s="85"/>
      <c r="MU318" s="85"/>
      <c r="MV318" s="85"/>
      <c r="MW318" s="85"/>
      <c r="MX318" s="85"/>
      <c r="MY318" s="85"/>
      <c r="MZ318" s="85"/>
      <c r="NA318" s="85"/>
      <c r="NB318" s="85"/>
      <c r="NC318" s="85"/>
      <c r="ND318" s="85"/>
      <c r="NE318" s="85"/>
      <c r="NF318" s="85"/>
      <c r="NG318" s="85"/>
      <c r="NH318" s="85"/>
      <c r="NI318" s="85"/>
      <c r="NJ318" s="85"/>
      <c r="NK318" s="85"/>
      <c r="NL318" s="85"/>
      <c r="NM318" s="85"/>
      <c r="NN318" s="85"/>
      <c r="NO318" s="85"/>
      <c r="NP318" s="85"/>
      <c r="NQ318" s="85"/>
      <c r="NR318" s="85"/>
      <c r="NS318" s="85"/>
      <c r="NT318" s="85"/>
      <c r="NU318" s="85"/>
      <c r="NV318" s="85"/>
      <c r="NW318" s="85"/>
      <c r="NX318" s="85"/>
      <c r="NY318" s="85"/>
      <c r="NZ318" s="85"/>
      <c r="OA318" s="85"/>
      <c r="OB318" s="85"/>
      <c r="OC318" s="85"/>
      <c r="OD318" s="85"/>
      <c r="OE318" s="85"/>
      <c r="OF318" s="85"/>
      <c r="OG318" s="85"/>
      <c r="OH318" s="85"/>
      <c r="OI318" s="85"/>
      <c r="OJ318" s="85"/>
      <c r="OK318" s="85"/>
      <c r="OL318" s="85"/>
      <c r="OM318" s="85"/>
      <c r="ON318" s="85"/>
      <c r="OO318" s="85"/>
      <c r="OP318" s="85"/>
      <c r="OQ318" s="85"/>
      <c r="OR318" s="85"/>
      <c r="OS318" s="85"/>
      <c r="OT318" s="85"/>
      <c r="OU318" s="85"/>
      <c r="OV318" s="85"/>
      <c r="OW318" s="85"/>
      <c r="OX318" s="85"/>
      <c r="OY318" s="85"/>
      <c r="OZ318" s="85"/>
      <c r="PA318" s="85"/>
      <c r="PB318" s="85"/>
      <c r="PC318" s="85"/>
      <c r="PD318" s="85"/>
      <c r="PE318" s="85"/>
      <c r="PF318" s="85"/>
      <c r="PG318" s="85"/>
      <c r="PH318" s="85"/>
      <c r="PI318" s="85"/>
      <c r="PJ318" s="85"/>
      <c r="PK318" s="85"/>
      <c r="PL318" s="85"/>
      <c r="PM318" s="85"/>
      <c r="PN318" s="85"/>
      <c r="PO318" s="85"/>
      <c r="PP318" s="85"/>
      <c r="PQ318" s="85"/>
      <c r="PR318" s="85"/>
      <c r="PS318" s="85"/>
      <c r="PT318" s="85"/>
      <c r="PU318" s="85"/>
      <c r="PV318" s="85"/>
      <c r="PW318" s="85"/>
      <c r="PX318" s="85"/>
      <c r="PY318" s="85"/>
      <c r="PZ318" s="85"/>
      <c r="QA318" s="85"/>
      <c r="QB318" s="85"/>
      <c r="QC318" s="85"/>
      <c r="QD318" s="85"/>
      <c r="QE318" s="85"/>
      <c r="QF318" s="85"/>
      <c r="QG318" s="85"/>
      <c r="QH318" s="85"/>
      <c r="QI318" s="85"/>
      <c r="QJ318" s="85"/>
      <c r="QK318" s="85"/>
      <c r="QL318" s="85"/>
      <c r="QM318" s="85"/>
      <c r="QN318" s="85"/>
      <c r="QO318" s="85"/>
      <c r="QP318" s="85"/>
      <c r="QQ318" s="85"/>
      <c r="QR318" s="85"/>
      <c r="QS318" s="85"/>
      <c r="QT318" s="85"/>
      <c r="QU318" s="85"/>
      <c r="QV318" s="85"/>
      <c r="QW318" s="85"/>
      <c r="QX318" s="85"/>
      <c r="QY318" s="85"/>
      <c r="QZ318" s="85"/>
      <c r="RA318" s="85"/>
      <c r="RB318" s="85"/>
      <c r="RC318" s="85"/>
      <c r="RD318" s="85"/>
      <c r="RE318" s="85"/>
      <c r="RF318" s="85"/>
      <c r="RG318" s="85"/>
      <c r="RH318" s="85"/>
      <c r="RI318" s="85"/>
      <c r="RJ318" s="85"/>
      <c r="RK318" s="85"/>
      <c r="RL318" s="85"/>
      <c r="RM318" s="85"/>
      <c r="RN318" s="85"/>
      <c r="RO318" s="85"/>
      <c r="RP318" s="85"/>
      <c r="RQ318" s="85"/>
      <c r="RR318" s="85"/>
      <c r="RS318" s="85"/>
      <c r="RT318" s="85"/>
      <c r="RU318" s="85"/>
      <c r="RV318" s="85"/>
      <c r="RW318" s="85"/>
      <c r="RX318" s="85"/>
      <c r="RY318" s="85"/>
      <c r="RZ318" s="85"/>
      <c r="SA318" s="85"/>
      <c r="SB318" s="85"/>
      <c r="SC318" s="85"/>
      <c r="SD318" s="85"/>
      <c r="SE318" s="85"/>
      <c r="SF318" s="85"/>
      <c r="SG318" s="85"/>
      <c r="SH318" s="85"/>
      <c r="SI318" s="85"/>
      <c r="SJ318" s="85"/>
      <c r="SK318" s="85"/>
      <c r="SL318" s="85"/>
      <c r="SM318" s="85"/>
      <c r="SN318" s="85"/>
      <c r="SO318" s="85"/>
      <c r="SP318" s="85"/>
      <c r="SQ318" s="85"/>
      <c r="SR318" s="85"/>
      <c r="SS318" s="85"/>
      <c r="ST318" s="85"/>
      <c r="SU318" s="85"/>
      <c r="SV318" s="85"/>
      <c r="SW318" s="85"/>
      <c r="SX318" s="85"/>
      <c r="SY318" s="85"/>
      <c r="SZ318" s="85"/>
      <c r="TA318" s="85"/>
      <c r="TB318" s="85"/>
      <c r="TC318" s="85"/>
      <c r="TD318" s="85"/>
      <c r="TE318" s="85"/>
      <c r="TF318" s="85"/>
      <c r="TG318" s="85"/>
      <c r="TH318" s="85"/>
      <c r="TI318" s="85"/>
      <c r="TJ318" s="85"/>
      <c r="TK318" s="85"/>
      <c r="TL318" s="85"/>
    </row>
    <row r="319" spans="1:532" s="85" customFormat="1" ht="12.75" customHeight="1">
      <c r="A319" s="122" t="s">
        <v>292</v>
      </c>
      <c r="B319" s="240" t="s">
        <v>293</v>
      </c>
      <c r="C319" s="124"/>
      <c r="D319" s="266">
        <f>+[2]ordinario!C389</f>
        <v>300000000</v>
      </c>
      <c r="E319" s="266">
        <v>248609934.77000001</v>
      </c>
      <c r="F319" s="146"/>
      <c r="G319" s="138"/>
      <c r="H319" s="98"/>
      <c r="I319" s="140">
        <f t="shared" ref="I319:N319" si="14">SUM(I320:I324)</f>
        <v>248609934.76999998</v>
      </c>
      <c r="J319" s="140">
        <f t="shared" si="14"/>
        <v>24860993.48</v>
      </c>
      <c r="K319" s="140">
        <f t="shared" si="14"/>
        <v>223748941.28999999</v>
      </c>
      <c r="L319" s="140">
        <f t="shared" si="14"/>
        <v>0</v>
      </c>
      <c r="M319" s="140">
        <f t="shared" si="14"/>
        <v>0</v>
      </c>
      <c r="N319" s="140">
        <f t="shared" si="14"/>
        <v>-2.9999986290931702E-3</v>
      </c>
    </row>
    <row r="320" spans="1:532" s="85" customFormat="1" ht="12.75" customHeight="1">
      <c r="A320" s="122"/>
      <c r="B320" s="240"/>
      <c r="C320" s="124"/>
      <c r="D320" s="124"/>
      <c r="E320" s="124"/>
      <c r="F320" s="96" t="s">
        <v>178</v>
      </c>
      <c r="G320" s="97" t="s">
        <v>179</v>
      </c>
      <c r="H320" s="98" t="s">
        <v>77</v>
      </c>
      <c r="I320" s="125">
        <v>24860993.48</v>
      </c>
      <c r="J320" s="125">
        <f>+I320</f>
        <v>24860993.48</v>
      </c>
      <c r="K320" s="125"/>
      <c r="L320" s="125"/>
      <c r="M320" s="125"/>
      <c r="N320" s="126">
        <f>-I320+E319*0.1</f>
        <v>-2.9999986290931702E-3</v>
      </c>
    </row>
    <row r="321" spans="1:532" s="85" customFormat="1" ht="12.75" customHeight="1">
      <c r="A321" s="122"/>
      <c r="B321" s="240"/>
      <c r="C321" s="124"/>
      <c r="D321" s="124"/>
      <c r="E321" s="124"/>
      <c r="F321" s="146"/>
      <c r="G321" s="138"/>
      <c r="H321" s="98"/>
      <c r="I321" s="125"/>
      <c r="J321" s="125"/>
      <c r="K321" s="125"/>
      <c r="L321" s="125"/>
      <c r="M321" s="125"/>
      <c r="N321" s="125"/>
    </row>
    <row r="322" spans="1:532" s="85" customFormat="1" ht="12.75" customHeight="1">
      <c r="A322" s="122"/>
      <c r="B322" s="240"/>
      <c r="C322" s="124"/>
      <c r="D322" s="124"/>
      <c r="E322" s="124"/>
      <c r="F322" s="146" t="s">
        <v>157</v>
      </c>
      <c r="G322" s="97" t="s">
        <v>274</v>
      </c>
      <c r="H322" s="98" t="s">
        <v>81</v>
      </c>
      <c r="I322" s="125">
        <v>223748941.28999999</v>
      </c>
      <c r="J322" s="125"/>
      <c r="K322" s="125">
        <f>+I322</f>
        <v>223748941.28999999</v>
      </c>
      <c r="L322" s="125"/>
      <c r="M322" s="125"/>
      <c r="N322" s="148">
        <f>-I322+[2]ordinario!I394-46251058.71</f>
        <v>0</v>
      </c>
    </row>
    <row r="323" spans="1:532" s="85" customFormat="1" ht="12.75" customHeight="1">
      <c r="A323" s="122"/>
      <c r="B323" s="240"/>
      <c r="C323" s="124"/>
      <c r="D323" s="124"/>
      <c r="E323" s="124"/>
      <c r="F323" s="146"/>
      <c r="G323" s="138"/>
      <c r="H323" s="98" t="s">
        <v>82</v>
      </c>
      <c r="I323" s="125"/>
      <c r="J323" s="125">
        <f>+I323</f>
        <v>0</v>
      </c>
      <c r="K323" s="125"/>
      <c r="L323" s="125"/>
      <c r="M323" s="125"/>
      <c r="N323" s="148"/>
    </row>
    <row r="324" spans="1:532" s="85" customFormat="1" ht="12.75" customHeight="1">
      <c r="A324" s="122"/>
      <c r="B324" s="240"/>
      <c r="C324" s="124"/>
      <c r="D324" s="124"/>
      <c r="E324" s="124"/>
      <c r="F324" s="146" t="s">
        <v>277</v>
      </c>
      <c r="G324" s="138"/>
      <c r="H324" s="98"/>
      <c r="I324" s="125"/>
      <c r="J324" s="125"/>
      <c r="K324" s="125"/>
      <c r="L324" s="125"/>
      <c r="M324" s="125"/>
      <c r="N324" s="125"/>
    </row>
    <row r="325" spans="1:532" s="135" customFormat="1" ht="12.75" customHeight="1">
      <c r="A325" s="111"/>
      <c r="B325" s="243"/>
      <c r="C325" s="112"/>
      <c r="D325" s="112"/>
      <c r="E325" s="112"/>
      <c r="F325" s="242"/>
      <c r="G325" s="113"/>
      <c r="H325" s="114"/>
      <c r="I325" s="115"/>
      <c r="J325" s="115"/>
      <c r="K325" s="115"/>
      <c r="L325" s="115"/>
      <c r="M325" s="115"/>
      <c r="N325" s="116"/>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c r="BD325" s="85"/>
      <c r="BE325" s="85"/>
      <c r="BF325" s="85"/>
      <c r="BG325" s="85"/>
      <c r="BH325" s="85"/>
      <c r="BI325" s="85"/>
      <c r="BJ325" s="85"/>
      <c r="BK325" s="85"/>
      <c r="BL325" s="85"/>
      <c r="BM325" s="85"/>
      <c r="BN325" s="85"/>
      <c r="BO325" s="85"/>
      <c r="BP325" s="85"/>
      <c r="BQ325" s="85"/>
      <c r="BR325" s="85"/>
      <c r="BS325" s="85"/>
      <c r="BT325" s="85"/>
      <c r="BU325" s="85"/>
      <c r="BV325" s="85"/>
      <c r="BW325" s="85"/>
      <c r="BX325" s="85"/>
      <c r="BY325" s="85"/>
      <c r="BZ325" s="85"/>
      <c r="CA325" s="85"/>
      <c r="CB325" s="85"/>
      <c r="CC325" s="85"/>
      <c r="CD325" s="85"/>
      <c r="CE325" s="85"/>
      <c r="CF325" s="85"/>
      <c r="CG325" s="85"/>
      <c r="CH325" s="85"/>
      <c r="CI325" s="85"/>
      <c r="CJ325" s="85"/>
      <c r="CK325" s="85"/>
      <c r="CL325" s="85"/>
      <c r="CM325" s="85"/>
      <c r="CN325" s="85"/>
      <c r="CO325" s="85"/>
      <c r="CP325" s="85"/>
      <c r="CQ325" s="85"/>
      <c r="CR325" s="85"/>
      <c r="CS325" s="85"/>
      <c r="CT325" s="85"/>
      <c r="CU325" s="85"/>
      <c r="CV325" s="85"/>
      <c r="CW325" s="85"/>
      <c r="CX325" s="85"/>
      <c r="CY325" s="85"/>
      <c r="CZ325" s="85"/>
      <c r="DA325" s="85"/>
      <c r="DB325" s="85"/>
      <c r="DC325" s="85"/>
      <c r="DD325" s="85"/>
      <c r="DE325" s="85"/>
      <c r="DF325" s="85"/>
      <c r="DG325" s="85"/>
      <c r="DH325" s="85"/>
      <c r="DI325" s="85"/>
      <c r="DJ325" s="85"/>
      <c r="DK325" s="85"/>
      <c r="DL325" s="85"/>
      <c r="DM325" s="85"/>
      <c r="DN325" s="85"/>
      <c r="DO325" s="85"/>
      <c r="DP325" s="85"/>
      <c r="DQ325" s="85"/>
      <c r="DR325" s="85"/>
      <c r="DS325" s="85"/>
      <c r="DT325" s="85"/>
      <c r="DU325" s="85"/>
      <c r="DV325" s="85"/>
      <c r="DW325" s="85"/>
      <c r="DX325" s="85"/>
      <c r="DY325" s="85"/>
      <c r="DZ325" s="85"/>
      <c r="EA325" s="85"/>
      <c r="EB325" s="85"/>
      <c r="EC325" s="85"/>
      <c r="ED325" s="85"/>
      <c r="EE325" s="85"/>
      <c r="EF325" s="85"/>
      <c r="EG325" s="85"/>
      <c r="EH325" s="85"/>
      <c r="EI325" s="85"/>
      <c r="EJ325" s="85"/>
      <c r="EK325" s="85"/>
      <c r="EL325" s="85"/>
      <c r="EM325" s="85"/>
      <c r="EN325" s="85"/>
      <c r="EO325" s="85"/>
      <c r="EP325" s="85"/>
      <c r="EQ325" s="85"/>
      <c r="ER325" s="85"/>
      <c r="ES325" s="85"/>
      <c r="ET325" s="85"/>
      <c r="EU325" s="85"/>
      <c r="EV325" s="85"/>
      <c r="EW325" s="85"/>
      <c r="EX325" s="85"/>
      <c r="EY325" s="85"/>
      <c r="EZ325" s="85"/>
      <c r="FA325" s="85"/>
      <c r="FB325" s="85"/>
      <c r="FC325" s="85"/>
      <c r="FD325" s="85"/>
      <c r="FE325" s="85"/>
      <c r="FF325" s="85"/>
      <c r="FG325" s="85"/>
      <c r="FH325" s="85"/>
      <c r="FI325" s="85"/>
      <c r="FJ325" s="85"/>
      <c r="FK325" s="85"/>
      <c r="FL325" s="85"/>
      <c r="FM325" s="85"/>
      <c r="FN325" s="85"/>
      <c r="FO325" s="85"/>
      <c r="FP325" s="85"/>
      <c r="FQ325" s="85"/>
      <c r="FR325" s="85"/>
      <c r="FS325" s="85"/>
      <c r="FT325" s="85"/>
      <c r="FU325" s="85"/>
      <c r="FV325" s="85"/>
      <c r="FW325" s="85"/>
      <c r="FX325" s="85"/>
      <c r="FY325" s="85"/>
      <c r="FZ325" s="85"/>
      <c r="GA325" s="85"/>
      <c r="GB325" s="85"/>
      <c r="GC325" s="85"/>
      <c r="GD325" s="85"/>
      <c r="GE325" s="85"/>
      <c r="GF325" s="85"/>
      <c r="GG325" s="85"/>
      <c r="GH325" s="85"/>
      <c r="GI325" s="85"/>
      <c r="GJ325" s="85"/>
      <c r="GK325" s="85"/>
      <c r="GL325" s="85"/>
      <c r="GM325" s="85"/>
      <c r="GN325" s="85"/>
      <c r="GO325" s="85"/>
      <c r="GP325" s="85"/>
      <c r="GQ325" s="85"/>
      <c r="GR325" s="85"/>
      <c r="GS325" s="85"/>
      <c r="GT325" s="85"/>
      <c r="GU325" s="85"/>
      <c r="GV325" s="85"/>
      <c r="GW325" s="85"/>
      <c r="GX325" s="85"/>
      <c r="GY325" s="85"/>
      <c r="GZ325" s="85"/>
      <c r="HA325" s="85"/>
      <c r="HB325" s="85"/>
      <c r="HC325" s="85"/>
      <c r="HD325" s="85"/>
      <c r="HE325" s="85"/>
      <c r="HF325" s="85"/>
      <c r="HG325" s="85"/>
      <c r="HH325" s="85"/>
      <c r="HI325" s="85"/>
      <c r="HJ325" s="85"/>
      <c r="HK325" s="85"/>
      <c r="HL325" s="85"/>
      <c r="HM325" s="85"/>
      <c r="HN325" s="85"/>
      <c r="HO325" s="85"/>
      <c r="HP325" s="85"/>
      <c r="HQ325" s="85"/>
      <c r="HR325" s="85"/>
      <c r="HS325" s="85"/>
      <c r="HT325" s="85"/>
      <c r="HU325" s="85"/>
      <c r="HV325" s="85"/>
      <c r="HW325" s="85"/>
      <c r="HX325" s="85"/>
      <c r="HY325" s="85"/>
      <c r="HZ325" s="85"/>
      <c r="IA325" s="85"/>
      <c r="IB325" s="85"/>
      <c r="IC325" s="85"/>
      <c r="ID325" s="85"/>
      <c r="IE325" s="85"/>
      <c r="IF325" s="85"/>
      <c r="IG325" s="85"/>
      <c r="IH325" s="85"/>
      <c r="II325" s="85"/>
      <c r="IJ325" s="85"/>
      <c r="IK325" s="85"/>
      <c r="IL325" s="85"/>
      <c r="IM325" s="85"/>
      <c r="IN325" s="85"/>
      <c r="IO325" s="85"/>
      <c r="IP325" s="85"/>
      <c r="IQ325" s="85"/>
      <c r="IR325" s="85"/>
      <c r="IS325" s="85"/>
      <c r="IT325" s="85"/>
      <c r="IU325" s="85"/>
      <c r="IV325" s="85"/>
      <c r="IW325" s="85"/>
      <c r="IX325" s="85"/>
      <c r="IY325" s="85"/>
      <c r="IZ325" s="85"/>
      <c r="JA325" s="85"/>
      <c r="JB325" s="85"/>
      <c r="JC325" s="85"/>
      <c r="JD325" s="85"/>
      <c r="JE325" s="85"/>
      <c r="JF325" s="85"/>
      <c r="JG325" s="85"/>
      <c r="JH325" s="85"/>
      <c r="JI325" s="85"/>
      <c r="JJ325" s="85"/>
      <c r="JK325" s="85"/>
      <c r="JL325" s="85"/>
      <c r="JM325" s="85"/>
      <c r="JN325" s="85"/>
      <c r="JO325" s="85"/>
      <c r="JP325" s="85"/>
      <c r="JQ325" s="85"/>
      <c r="JR325" s="85"/>
      <c r="JS325" s="85"/>
      <c r="JT325" s="85"/>
      <c r="JU325" s="85"/>
      <c r="JV325" s="85"/>
      <c r="JW325" s="85"/>
      <c r="JX325" s="85"/>
      <c r="JY325" s="85"/>
      <c r="JZ325" s="85"/>
      <c r="KA325" s="85"/>
      <c r="KB325" s="85"/>
      <c r="KC325" s="85"/>
      <c r="KD325" s="85"/>
      <c r="KE325" s="85"/>
      <c r="KF325" s="85"/>
      <c r="KG325" s="85"/>
      <c r="KH325" s="85"/>
      <c r="KI325" s="85"/>
      <c r="KJ325" s="85"/>
      <c r="KK325" s="85"/>
      <c r="KL325" s="85"/>
      <c r="KM325" s="85"/>
      <c r="KN325" s="85"/>
      <c r="KO325" s="85"/>
      <c r="KP325" s="85"/>
      <c r="KQ325" s="85"/>
      <c r="KR325" s="85"/>
      <c r="KS325" s="85"/>
      <c r="KT325" s="85"/>
      <c r="KU325" s="85"/>
      <c r="KV325" s="85"/>
      <c r="KW325" s="85"/>
      <c r="KX325" s="85"/>
      <c r="KY325" s="85"/>
      <c r="KZ325" s="85"/>
      <c r="LA325" s="85"/>
      <c r="LB325" s="85"/>
      <c r="LC325" s="85"/>
      <c r="LD325" s="85"/>
      <c r="LE325" s="85"/>
      <c r="LF325" s="85"/>
      <c r="LG325" s="85"/>
      <c r="LH325" s="85"/>
      <c r="LI325" s="85"/>
      <c r="LJ325" s="85"/>
      <c r="LK325" s="85"/>
      <c r="LL325" s="85"/>
      <c r="LM325" s="85"/>
      <c r="LN325" s="85"/>
      <c r="LO325" s="85"/>
      <c r="LP325" s="85"/>
      <c r="LQ325" s="85"/>
      <c r="LR325" s="85"/>
      <c r="LS325" s="85"/>
      <c r="LT325" s="85"/>
      <c r="LU325" s="85"/>
      <c r="LV325" s="85"/>
      <c r="LW325" s="85"/>
      <c r="LX325" s="85"/>
      <c r="LY325" s="85"/>
      <c r="LZ325" s="85"/>
      <c r="MA325" s="85"/>
      <c r="MB325" s="85"/>
      <c r="MC325" s="85"/>
      <c r="MD325" s="85"/>
      <c r="ME325" s="85"/>
      <c r="MF325" s="85"/>
      <c r="MG325" s="85"/>
      <c r="MH325" s="85"/>
      <c r="MI325" s="85"/>
      <c r="MJ325" s="85"/>
      <c r="MK325" s="85"/>
      <c r="ML325" s="85"/>
      <c r="MM325" s="85"/>
      <c r="MN325" s="85"/>
      <c r="MO325" s="85"/>
      <c r="MP325" s="85"/>
      <c r="MQ325" s="85"/>
      <c r="MR325" s="85"/>
      <c r="MS325" s="85"/>
      <c r="MT325" s="85"/>
      <c r="MU325" s="85"/>
      <c r="MV325" s="85"/>
      <c r="MW325" s="85"/>
      <c r="MX325" s="85"/>
      <c r="MY325" s="85"/>
      <c r="MZ325" s="85"/>
      <c r="NA325" s="85"/>
      <c r="NB325" s="85"/>
      <c r="NC325" s="85"/>
      <c r="ND325" s="85"/>
      <c r="NE325" s="85"/>
      <c r="NF325" s="85"/>
      <c r="NG325" s="85"/>
      <c r="NH325" s="85"/>
      <c r="NI325" s="85"/>
      <c r="NJ325" s="85"/>
      <c r="NK325" s="85"/>
      <c r="NL325" s="85"/>
      <c r="NM325" s="85"/>
      <c r="NN325" s="85"/>
      <c r="NO325" s="85"/>
      <c r="NP325" s="85"/>
      <c r="NQ325" s="85"/>
      <c r="NR325" s="85"/>
      <c r="NS325" s="85"/>
      <c r="NT325" s="85"/>
      <c r="NU325" s="85"/>
      <c r="NV325" s="85"/>
      <c r="NW325" s="85"/>
      <c r="NX325" s="85"/>
      <c r="NY325" s="85"/>
      <c r="NZ325" s="85"/>
      <c r="OA325" s="85"/>
      <c r="OB325" s="85"/>
      <c r="OC325" s="85"/>
      <c r="OD325" s="85"/>
      <c r="OE325" s="85"/>
      <c r="OF325" s="85"/>
      <c r="OG325" s="85"/>
      <c r="OH325" s="85"/>
      <c r="OI325" s="85"/>
      <c r="OJ325" s="85"/>
      <c r="OK325" s="85"/>
      <c r="OL325" s="85"/>
      <c r="OM325" s="85"/>
      <c r="ON325" s="85"/>
      <c r="OO325" s="85"/>
      <c r="OP325" s="85"/>
      <c r="OQ325" s="85"/>
      <c r="OR325" s="85"/>
      <c r="OS325" s="85"/>
      <c r="OT325" s="85"/>
      <c r="OU325" s="85"/>
      <c r="OV325" s="85"/>
      <c r="OW325" s="85"/>
      <c r="OX325" s="85"/>
      <c r="OY325" s="85"/>
      <c r="OZ325" s="85"/>
      <c r="PA325" s="85"/>
      <c r="PB325" s="85"/>
      <c r="PC325" s="85"/>
      <c r="PD325" s="85"/>
      <c r="PE325" s="85"/>
      <c r="PF325" s="85"/>
      <c r="PG325" s="85"/>
      <c r="PH325" s="85"/>
      <c r="PI325" s="85"/>
      <c r="PJ325" s="85"/>
      <c r="PK325" s="85"/>
      <c r="PL325" s="85"/>
      <c r="PM325" s="85"/>
      <c r="PN325" s="85"/>
      <c r="PO325" s="85"/>
      <c r="PP325" s="85"/>
      <c r="PQ325" s="85"/>
      <c r="PR325" s="85"/>
      <c r="PS325" s="85"/>
      <c r="PT325" s="85"/>
      <c r="PU325" s="85"/>
      <c r="PV325" s="85"/>
      <c r="PW325" s="85"/>
      <c r="PX325" s="85"/>
      <c r="PY325" s="85"/>
      <c r="PZ325" s="85"/>
      <c r="QA325" s="85"/>
      <c r="QB325" s="85"/>
      <c r="QC325" s="85"/>
      <c r="QD325" s="85"/>
      <c r="QE325" s="85"/>
      <c r="QF325" s="85"/>
      <c r="QG325" s="85"/>
      <c r="QH325" s="85"/>
      <c r="QI325" s="85"/>
      <c r="QJ325" s="85"/>
      <c r="QK325" s="85"/>
      <c r="QL325" s="85"/>
      <c r="QM325" s="85"/>
      <c r="QN325" s="85"/>
      <c r="QO325" s="85"/>
      <c r="QP325" s="85"/>
      <c r="QQ325" s="85"/>
      <c r="QR325" s="85"/>
      <c r="QS325" s="85"/>
      <c r="QT325" s="85"/>
      <c r="QU325" s="85"/>
      <c r="QV325" s="85"/>
      <c r="QW325" s="85"/>
      <c r="QX325" s="85"/>
      <c r="QY325" s="85"/>
      <c r="QZ325" s="85"/>
      <c r="RA325" s="85"/>
      <c r="RB325" s="85"/>
      <c r="RC325" s="85"/>
      <c r="RD325" s="85"/>
      <c r="RE325" s="85"/>
      <c r="RF325" s="85"/>
      <c r="RG325" s="85"/>
      <c r="RH325" s="85"/>
      <c r="RI325" s="85"/>
      <c r="RJ325" s="85"/>
      <c r="RK325" s="85"/>
      <c r="RL325" s="85"/>
      <c r="RM325" s="85"/>
      <c r="RN325" s="85"/>
      <c r="RO325" s="85"/>
      <c r="RP325" s="85"/>
      <c r="RQ325" s="85"/>
      <c r="RR325" s="85"/>
      <c r="RS325" s="85"/>
      <c r="RT325" s="85"/>
      <c r="RU325" s="85"/>
      <c r="RV325" s="85"/>
      <c r="RW325" s="85"/>
      <c r="RX325" s="85"/>
      <c r="RY325" s="85"/>
      <c r="RZ325" s="85"/>
      <c r="SA325" s="85"/>
      <c r="SB325" s="85"/>
      <c r="SC325" s="85"/>
      <c r="SD325" s="85"/>
      <c r="SE325" s="85"/>
      <c r="SF325" s="85"/>
      <c r="SG325" s="85"/>
      <c r="SH325" s="85"/>
      <c r="SI325" s="85"/>
      <c r="SJ325" s="85"/>
      <c r="SK325" s="85"/>
      <c r="SL325" s="85"/>
      <c r="SM325" s="85"/>
      <c r="SN325" s="85"/>
      <c r="SO325" s="85"/>
      <c r="SP325" s="85"/>
      <c r="SQ325" s="85"/>
      <c r="SR325" s="85"/>
      <c r="SS325" s="85"/>
      <c r="ST325" s="85"/>
      <c r="SU325" s="85"/>
      <c r="SV325" s="85"/>
      <c r="SW325" s="85"/>
      <c r="SX325" s="85"/>
      <c r="SY325" s="85"/>
      <c r="SZ325" s="85"/>
      <c r="TA325" s="85"/>
      <c r="TB325" s="85"/>
      <c r="TC325" s="85"/>
      <c r="TD325" s="85"/>
      <c r="TE325" s="85"/>
      <c r="TF325" s="85"/>
      <c r="TG325" s="85"/>
      <c r="TH325" s="85"/>
      <c r="TI325" s="85"/>
      <c r="TJ325" s="85"/>
      <c r="TK325" s="85"/>
      <c r="TL325" s="85"/>
    </row>
    <row r="326" spans="1:532" s="85" customFormat="1" ht="12.75" customHeight="1">
      <c r="A326" s="122" t="s">
        <v>294</v>
      </c>
      <c r="B326" s="240" t="s">
        <v>295</v>
      </c>
      <c r="C326" s="124"/>
      <c r="D326" s="143">
        <f>+[2]ordinario!C399</f>
        <v>4400000000</v>
      </c>
      <c r="E326" s="143">
        <v>4623257543.3400002</v>
      </c>
      <c r="F326" s="146"/>
      <c r="G326" s="138"/>
      <c r="H326" s="98"/>
      <c r="I326" s="140">
        <f t="shared" ref="I326:N326" si="15">SUM(I327:I337)</f>
        <v>2578508030.6300001</v>
      </c>
      <c r="J326" s="140">
        <f t="shared" si="15"/>
        <v>2578508030.6300001</v>
      </c>
      <c r="K326" s="140">
        <f t="shared" si="15"/>
        <v>0</v>
      </c>
      <c r="L326" s="140">
        <f t="shared" si="15"/>
        <v>0</v>
      </c>
      <c r="M326" s="140">
        <f t="shared" si="15"/>
        <v>0</v>
      </c>
      <c r="N326" s="140">
        <f t="shared" si="15"/>
        <v>2044749512.7125683</v>
      </c>
    </row>
    <row r="327" spans="1:532" s="85" customFormat="1" ht="12.75" customHeight="1">
      <c r="A327" s="122"/>
      <c r="B327" s="240"/>
      <c r="C327" s="124"/>
      <c r="D327" s="124"/>
      <c r="E327" s="124"/>
      <c r="F327" s="96" t="s">
        <v>178</v>
      </c>
      <c r="G327" s="97" t="s">
        <v>179</v>
      </c>
      <c r="H327" s="98" t="s">
        <v>77</v>
      </c>
      <c r="I327" s="125">
        <v>462325754.32999998</v>
      </c>
      <c r="J327" s="125">
        <f>+I327</f>
        <v>462325754.32999998</v>
      </c>
      <c r="K327" s="125"/>
      <c r="L327" s="125"/>
      <c r="M327" s="125"/>
      <c r="N327" s="126">
        <f>-I327+E326*0.1</f>
        <v>4.0000677108764648E-3</v>
      </c>
    </row>
    <row r="328" spans="1:532" s="85" customFormat="1" ht="12.75" customHeight="1">
      <c r="A328" s="122"/>
      <c r="B328" s="240"/>
      <c r="C328" s="124"/>
      <c r="D328" s="124"/>
      <c r="E328" s="124"/>
      <c r="F328" s="146"/>
      <c r="G328" s="97"/>
      <c r="H328" s="98"/>
      <c r="I328" s="125"/>
      <c r="J328" s="125"/>
      <c r="K328" s="125"/>
      <c r="L328" s="125"/>
      <c r="M328" s="125"/>
      <c r="N328" s="125"/>
    </row>
    <row r="329" spans="1:532" s="85" customFormat="1" ht="12.75" customHeight="1">
      <c r="A329" s="122"/>
      <c r="B329" s="240"/>
      <c r="C329" s="124"/>
      <c r="D329" s="124"/>
      <c r="E329" s="124"/>
      <c r="F329" s="146" t="s">
        <v>154</v>
      </c>
      <c r="G329" s="97" t="s">
        <v>296</v>
      </c>
      <c r="H329" s="98" t="s">
        <v>77</v>
      </c>
      <c r="I329" s="125">
        <v>256010358.37</v>
      </c>
      <c r="J329" s="125">
        <f>+I329</f>
        <v>256010358.37</v>
      </c>
      <c r="K329" s="125"/>
      <c r="L329" s="125"/>
      <c r="M329" s="125"/>
      <c r="N329" s="148">
        <f>-I329+[2]ordinario!I404</f>
        <v>57344359.160167634</v>
      </c>
    </row>
    <row r="330" spans="1:532" s="85" customFormat="1" ht="12.75" customHeight="1">
      <c r="A330" s="122"/>
      <c r="B330" s="240"/>
      <c r="C330" s="124"/>
      <c r="D330" s="124"/>
      <c r="E330" s="124"/>
      <c r="F330" s="146"/>
      <c r="G330" s="138"/>
      <c r="H330" s="98" t="s">
        <v>78</v>
      </c>
      <c r="I330" s="125">
        <f>4004293518.99-I923</f>
        <v>1514092495.7099996</v>
      </c>
      <c r="J330" s="125">
        <f>+I330</f>
        <v>1514092495.7099996</v>
      </c>
      <c r="K330" s="125"/>
      <c r="L330" s="125"/>
      <c r="M330" s="125"/>
      <c r="N330" s="148">
        <f>-I330+[2]ordinario!I405-305394.46</f>
        <v>1698521897.8624005</v>
      </c>
    </row>
    <row r="331" spans="1:532" s="85" customFormat="1" ht="12.75" customHeight="1">
      <c r="A331" s="122"/>
      <c r="B331" s="240"/>
      <c r="C331" s="124"/>
      <c r="D331" s="124"/>
      <c r="E331" s="124"/>
      <c r="F331" s="146"/>
      <c r="G331" s="138"/>
      <c r="H331" s="98" t="s">
        <v>79</v>
      </c>
      <c r="I331" s="125">
        <f>19159452.46-I924</f>
        <v>19159452.460000001</v>
      </c>
      <c r="J331" s="125">
        <f>+I331</f>
        <v>19159452.460000001</v>
      </c>
      <c r="K331" s="125"/>
      <c r="L331" s="125"/>
      <c r="M331" s="125"/>
      <c r="N331" s="148">
        <f>-I331+[2]ordinario!I406+305394.46</f>
        <v>4645941.9999999991</v>
      </c>
    </row>
    <row r="332" spans="1:532" s="85" customFormat="1" ht="12.75" customHeight="1">
      <c r="A332" s="122"/>
      <c r="B332" s="240"/>
      <c r="C332" s="124"/>
      <c r="D332" s="124"/>
      <c r="E332" s="124"/>
      <c r="F332" s="146"/>
      <c r="G332" s="138"/>
      <c r="H332" s="98" t="s">
        <v>81</v>
      </c>
      <c r="I332" s="125">
        <f>6242583.1-I925</f>
        <v>0</v>
      </c>
      <c r="J332" s="125"/>
      <c r="K332" s="125">
        <f>+I332</f>
        <v>0</v>
      </c>
      <c r="L332" s="125"/>
      <c r="M332" s="125"/>
      <c r="N332" s="148">
        <f>-I332+[2]ordinario!I407</f>
        <v>0</v>
      </c>
    </row>
    <row r="333" spans="1:532" s="85" customFormat="1" ht="12.75" customHeight="1">
      <c r="A333" s="122"/>
      <c r="B333" s="240"/>
      <c r="C333" s="124"/>
      <c r="D333" s="124"/>
      <c r="E333" s="124"/>
      <c r="F333" s="146"/>
      <c r="G333" s="138"/>
      <c r="H333" s="98" t="s">
        <v>82</v>
      </c>
      <c r="I333" s="125">
        <f>1538675.16-I926</f>
        <v>0</v>
      </c>
      <c r="J333" s="125">
        <f>+I333</f>
        <v>0</v>
      </c>
      <c r="K333" s="125"/>
      <c r="L333" s="125"/>
      <c r="M333" s="125"/>
      <c r="N333" s="148">
        <f>-I333+[2]ordinario!I408</f>
        <v>9712121.629999999</v>
      </c>
    </row>
    <row r="334" spans="1:532" s="85" customFormat="1" ht="12.75" customHeight="1">
      <c r="A334" s="122"/>
      <c r="B334" s="240"/>
      <c r="C334" s="124"/>
      <c r="D334" s="124"/>
      <c r="E334" s="124"/>
      <c r="F334" s="146"/>
      <c r="G334" s="138"/>
      <c r="H334" s="98" t="s">
        <v>85</v>
      </c>
      <c r="I334" s="125"/>
      <c r="J334" s="125">
        <f>+I334</f>
        <v>0</v>
      </c>
      <c r="K334" s="125"/>
      <c r="L334" s="125"/>
      <c r="M334" s="125"/>
      <c r="N334" s="148"/>
    </row>
    <row r="335" spans="1:532" s="85" customFormat="1" ht="12.75" customHeight="1">
      <c r="A335" s="122"/>
      <c r="B335" s="240"/>
      <c r="C335" s="124"/>
      <c r="D335" s="124"/>
      <c r="E335" s="124"/>
      <c r="F335" s="146"/>
      <c r="G335" s="138"/>
      <c r="H335" s="98"/>
      <c r="I335" s="125"/>
      <c r="J335" s="125"/>
      <c r="K335" s="125"/>
      <c r="L335" s="125"/>
      <c r="M335" s="125"/>
      <c r="N335" s="148"/>
    </row>
    <row r="336" spans="1:532" s="85" customFormat="1" ht="12.75" customHeight="1">
      <c r="A336" s="122"/>
      <c r="B336" s="240"/>
      <c r="C336" s="124"/>
      <c r="D336" s="124"/>
      <c r="E336" s="124"/>
      <c r="F336" s="146" t="s">
        <v>297</v>
      </c>
      <c r="G336" s="97" t="s">
        <v>298</v>
      </c>
      <c r="H336" s="98" t="s">
        <v>78</v>
      </c>
      <c r="I336" s="125">
        <f>645166791.96-I928</f>
        <v>326919969.76000005</v>
      </c>
      <c r="J336" s="125">
        <f>+I336</f>
        <v>326919969.76000005</v>
      </c>
      <c r="K336" s="125"/>
      <c r="L336" s="125"/>
      <c r="M336" s="125"/>
      <c r="N336" s="148">
        <f>-I336+[2]ordinario!I410</f>
        <v>73593403.049999952</v>
      </c>
    </row>
    <row r="337" spans="1:532" s="85" customFormat="1" ht="12.75" customHeight="1">
      <c r="A337" s="122"/>
      <c r="B337" s="240"/>
      <c r="C337" s="124"/>
      <c r="D337" s="124"/>
      <c r="E337" s="124"/>
      <c r="F337" s="146" t="s">
        <v>277</v>
      </c>
      <c r="G337" s="138"/>
      <c r="H337" s="98"/>
      <c r="I337" s="125"/>
      <c r="J337" s="125"/>
      <c r="K337" s="125"/>
      <c r="L337" s="125"/>
      <c r="M337" s="125"/>
      <c r="N337" s="125">
        <f>(+E326-D326)*0.9</f>
        <v>200931789.00600013</v>
      </c>
    </row>
    <row r="338" spans="1:532" s="135" customFormat="1" ht="12.75" customHeight="1">
      <c r="A338" s="111"/>
      <c r="B338" s="243"/>
      <c r="C338" s="112"/>
      <c r="D338" s="112"/>
      <c r="E338" s="112"/>
      <c r="F338" s="242"/>
      <c r="G338" s="113"/>
      <c r="H338" s="114"/>
      <c r="I338" s="115"/>
      <c r="J338" s="115"/>
      <c r="K338" s="115"/>
      <c r="L338" s="115"/>
      <c r="M338" s="115"/>
      <c r="N338" s="116"/>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c r="BD338" s="85"/>
      <c r="BE338" s="85"/>
      <c r="BF338" s="85"/>
      <c r="BG338" s="85"/>
      <c r="BH338" s="85"/>
      <c r="BI338" s="85"/>
      <c r="BJ338" s="85"/>
      <c r="BK338" s="85"/>
      <c r="BL338" s="85"/>
      <c r="BM338" s="85"/>
      <c r="BN338" s="85"/>
      <c r="BO338" s="85"/>
      <c r="BP338" s="85"/>
      <c r="BQ338" s="85"/>
      <c r="BR338" s="85"/>
      <c r="BS338" s="85"/>
      <c r="BT338" s="85"/>
      <c r="BU338" s="85"/>
      <c r="BV338" s="85"/>
      <c r="BW338" s="85"/>
      <c r="BX338" s="85"/>
      <c r="BY338" s="85"/>
      <c r="BZ338" s="85"/>
      <c r="CA338" s="85"/>
      <c r="CB338" s="85"/>
      <c r="CC338" s="85"/>
      <c r="CD338" s="85"/>
      <c r="CE338" s="85"/>
      <c r="CF338" s="85"/>
      <c r="CG338" s="85"/>
      <c r="CH338" s="85"/>
      <c r="CI338" s="85"/>
      <c r="CJ338" s="85"/>
      <c r="CK338" s="85"/>
      <c r="CL338" s="85"/>
      <c r="CM338" s="85"/>
      <c r="CN338" s="85"/>
      <c r="CO338" s="85"/>
      <c r="CP338" s="85"/>
      <c r="CQ338" s="85"/>
      <c r="CR338" s="85"/>
      <c r="CS338" s="85"/>
      <c r="CT338" s="85"/>
      <c r="CU338" s="85"/>
      <c r="CV338" s="85"/>
      <c r="CW338" s="85"/>
      <c r="CX338" s="85"/>
      <c r="CY338" s="85"/>
      <c r="CZ338" s="85"/>
      <c r="DA338" s="85"/>
      <c r="DB338" s="85"/>
      <c r="DC338" s="85"/>
      <c r="DD338" s="85"/>
      <c r="DE338" s="85"/>
      <c r="DF338" s="85"/>
      <c r="DG338" s="85"/>
      <c r="DH338" s="85"/>
      <c r="DI338" s="85"/>
      <c r="DJ338" s="85"/>
      <c r="DK338" s="85"/>
      <c r="DL338" s="85"/>
      <c r="DM338" s="85"/>
      <c r="DN338" s="85"/>
      <c r="DO338" s="85"/>
      <c r="DP338" s="85"/>
      <c r="DQ338" s="85"/>
      <c r="DR338" s="85"/>
      <c r="DS338" s="85"/>
      <c r="DT338" s="85"/>
      <c r="DU338" s="85"/>
      <c r="DV338" s="85"/>
      <c r="DW338" s="85"/>
      <c r="DX338" s="85"/>
      <c r="DY338" s="85"/>
      <c r="DZ338" s="85"/>
      <c r="EA338" s="85"/>
      <c r="EB338" s="85"/>
      <c r="EC338" s="85"/>
      <c r="ED338" s="85"/>
      <c r="EE338" s="85"/>
      <c r="EF338" s="85"/>
      <c r="EG338" s="85"/>
      <c r="EH338" s="85"/>
      <c r="EI338" s="85"/>
      <c r="EJ338" s="85"/>
      <c r="EK338" s="85"/>
      <c r="EL338" s="85"/>
      <c r="EM338" s="85"/>
      <c r="EN338" s="85"/>
      <c r="EO338" s="85"/>
      <c r="EP338" s="85"/>
      <c r="EQ338" s="85"/>
      <c r="ER338" s="85"/>
      <c r="ES338" s="85"/>
      <c r="ET338" s="85"/>
      <c r="EU338" s="85"/>
      <c r="EV338" s="85"/>
      <c r="EW338" s="85"/>
      <c r="EX338" s="85"/>
      <c r="EY338" s="85"/>
      <c r="EZ338" s="85"/>
      <c r="FA338" s="85"/>
      <c r="FB338" s="85"/>
      <c r="FC338" s="85"/>
      <c r="FD338" s="85"/>
      <c r="FE338" s="85"/>
      <c r="FF338" s="85"/>
      <c r="FG338" s="85"/>
      <c r="FH338" s="85"/>
      <c r="FI338" s="85"/>
      <c r="FJ338" s="85"/>
      <c r="FK338" s="85"/>
      <c r="FL338" s="85"/>
      <c r="FM338" s="85"/>
      <c r="FN338" s="85"/>
      <c r="FO338" s="85"/>
      <c r="FP338" s="85"/>
      <c r="FQ338" s="85"/>
      <c r="FR338" s="85"/>
      <c r="FS338" s="85"/>
      <c r="FT338" s="85"/>
      <c r="FU338" s="85"/>
      <c r="FV338" s="85"/>
      <c r="FW338" s="85"/>
      <c r="FX338" s="85"/>
      <c r="FY338" s="85"/>
      <c r="FZ338" s="85"/>
      <c r="GA338" s="85"/>
      <c r="GB338" s="85"/>
      <c r="GC338" s="85"/>
      <c r="GD338" s="85"/>
      <c r="GE338" s="85"/>
      <c r="GF338" s="85"/>
      <c r="GG338" s="85"/>
      <c r="GH338" s="85"/>
      <c r="GI338" s="85"/>
      <c r="GJ338" s="85"/>
      <c r="GK338" s="85"/>
      <c r="GL338" s="85"/>
      <c r="GM338" s="85"/>
      <c r="GN338" s="85"/>
      <c r="GO338" s="85"/>
      <c r="GP338" s="85"/>
      <c r="GQ338" s="85"/>
      <c r="GR338" s="85"/>
      <c r="GS338" s="85"/>
      <c r="GT338" s="85"/>
      <c r="GU338" s="85"/>
      <c r="GV338" s="85"/>
      <c r="GW338" s="85"/>
      <c r="GX338" s="85"/>
      <c r="GY338" s="85"/>
      <c r="GZ338" s="85"/>
      <c r="HA338" s="85"/>
      <c r="HB338" s="85"/>
      <c r="HC338" s="85"/>
      <c r="HD338" s="85"/>
      <c r="HE338" s="85"/>
      <c r="HF338" s="85"/>
      <c r="HG338" s="85"/>
      <c r="HH338" s="85"/>
      <c r="HI338" s="85"/>
      <c r="HJ338" s="85"/>
      <c r="HK338" s="85"/>
      <c r="HL338" s="85"/>
      <c r="HM338" s="85"/>
      <c r="HN338" s="85"/>
      <c r="HO338" s="85"/>
      <c r="HP338" s="85"/>
      <c r="HQ338" s="85"/>
      <c r="HR338" s="85"/>
      <c r="HS338" s="85"/>
      <c r="HT338" s="85"/>
      <c r="HU338" s="85"/>
      <c r="HV338" s="85"/>
      <c r="HW338" s="85"/>
      <c r="HX338" s="85"/>
      <c r="HY338" s="85"/>
      <c r="HZ338" s="85"/>
      <c r="IA338" s="85"/>
      <c r="IB338" s="85"/>
      <c r="IC338" s="85"/>
      <c r="ID338" s="85"/>
      <c r="IE338" s="85"/>
      <c r="IF338" s="85"/>
      <c r="IG338" s="85"/>
      <c r="IH338" s="85"/>
      <c r="II338" s="85"/>
      <c r="IJ338" s="85"/>
      <c r="IK338" s="85"/>
      <c r="IL338" s="85"/>
      <c r="IM338" s="85"/>
      <c r="IN338" s="85"/>
      <c r="IO338" s="85"/>
      <c r="IP338" s="85"/>
      <c r="IQ338" s="85"/>
      <c r="IR338" s="85"/>
      <c r="IS338" s="85"/>
      <c r="IT338" s="85"/>
      <c r="IU338" s="85"/>
      <c r="IV338" s="85"/>
      <c r="IW338" s="85"/>
      <c r="IX338" s="85"/>
      <c r="IY338" s="85"/>
      <c r="IZ338" s="85"/>
      <c r="JA338" s="85"/>
      <c r="JB338" s="85"/>
      <c r="JC338" s="85"/>
      <c r="JD338" s="85"/>
      <c r="JE338" s="85"/>
      <c r="JF338" s="85"/>
      <c r="JG338" s="85"/>
      <c r="JH338" s="85"/>
      <c r="JI338" s="85"/>
      <c r="JJ338" s="85"/>
      <c r="JK338" s="85"/>
      <c r="JL338" s="85"/>
      <c r="JM338" s="85"/>
      <c r="JN338" s="85"/>
      <c r="JO338" s="85"/>
      <c r="JP338" s="85"/>
      <c r="JQ338" s="85"/>
      <c r="JR338" s="85"/>
      <c r="JS338" s="85"/>
      <c r="JT338" s="85"/>
      <c r="JU338" s="85"/>
      <c r="JV338" s="85"/>
      <c r="JW338" s="85"/>
      <c r="JX338" s="85"/>
      <c r="JY338" s="85"/>
      <c r="JZ338" s="85"/>
      <c r="KA338" s="85"/>
      <c r="KB338" s="85"/>
      <c r="KC338" s="85"/>
      <c r="KD338" s="85"/>
      <c r="KE338" s="85"/>
      <c r="KF338" s="85"/>
      <c r="KG338" s="85"/>
      <c r="KH338" s="85"/>
      <c r="KI338" s="85"/>
      <c r="KJ338" s="85"/>
      <c r="KK338" s="85"/>
      <c r="KL338" s="85"/>
      <c r="KM338" s="85"/>
      <c r="KN338" s="85"/>
      <c r="KO338" s="85"/>
      <c r="KP338" s="85"/>
      <c r="KQ338" s="85"/>
      <c r="KR338" s="85"/>
      <c r="KS338" s="85"/>
      <c r="KT338" s="85"/>
      <c r="KU338" s="85"/>
      <c r="KV338" s="85"/>
      <c r="KW338" s="85"/>
      <c r="KX338" s="85"/>
      <c r="KY338" s="85"/>
      <c r="KZ338" s="85"/>
      <c r="LA338" s="85"/>
      <c r="LB338" s="85"/>
      <c r="LC338" s="85"/>
      <c r="LD338" s="85"/>
      <c r="LE338" s="85"/>
      <c r="LF338" s="85"/>
      <c r="LG338" s="85"/>
      <c r="LH338" s="85"/>
      <c r="LI338" s="85"/>
      <c r="LJ338" s="85"/>
      <c r="LK338" s="85"/>
      <c r="LL338" s="85"/>
      <c r="LM338" s="85"/>
      <c r="LN338" s="85"/>
      <c r="LO338" s="85"/>
      <c r="LP338" s="85"/>
      <c r="LQ338" s="85"/>
      <c r="LR338" s="85"/>
      <c r="LS338" s="85"/>
      <c r="LT338" s="85"/>
      <c r="LU338" s="85"/>
      <c r="LV338" s="85"/>
      <c r="LW338" s="85"/>
      <c r="LX338" s="85"/>
      <c r="LY338" s="85"/>
      <c r="LZ338" s="85"/>
      <c r="MA338" s="85"/>
      <c r="MB338" s="85"/>
      <c r="MC338" s="85"/>
      <c r="MD338" s="85"/>
      <c r="ME338" s="85"/>
      <c r="MF338" s="85"/>
      <c r="MG338" s="85"/>
      <c r="MH338" s="85"/>
      <c r="MI338" s="85"/>
      <c r="MJ338" s="85"/>
      <c r="MK338" s="85"/>
      <c r="ML338" s="85"/>
      <c r="MM338" s="85"/>
      <c r="MN338" s="85"/>
      <c r="MO338" s="85"/>
      <c r="MP338" s="85"/>
      <c r="MQ338" s="85"/>
      <c r="MR338" s="85"/>
      <c r="MS338" s="85"/>
      <c r="MT338" s="85"/>
      <c r="MU338" s="85"/>
      <c r="MV338" s="85"/>
      <c r="MW338" s="85"/>
      <c r="MX338" s="85"/>
      <c r="MY338" s="85"/>
      <c r="MZ338" s="85"/>
      <c r="NA338" s="85"/>
      <c r="NB338" s="85"/>
      <c r="NC338" s="85"/>
      <c r="ND338" s="85"/>
      <c r="NE338" s="85"/>
      <c r="NF338" s="85"/>
      <c r="NG338" s="85"/>
      <c r="NH338" s="85"/>
      <c r="NI338" s="85"/>
      <c r="NJ338" s="85"/>
      <c r="NK338" s="85"/>
      <c r="NL338" s="85"/>
      <c r="NM338" s="85"/>
      <c r="NN338" s="85"/>
      <c r="NO338" s="85"/>
      <c r="NP338" s="85"/>
      <c r="NQ338" s="85"/>
      <c r="NR338" s="85"/>
      <c r="NS338" s="85"/>
      <c r="NT338" s="85"/>
      <c r="NU338" s="85"/>
      <c r="NV338" s="85"/>
      <c r="NW338" s="85"/>
      <c r="NX338" s="85"/>
      <c r="NY338" s="85"/>
      <c r="NZ338" s="85"/>
      <c r="OA338" s="85"/>
      <c r="OB338" s="85"/>
      <c r="OC338" s="85"/>
      <c r="OD338" s="85"/>
      <c r="OE338" s="85"/>
      <c r="OF338" s="85"/>
      <c r="OG338" s="85"/>
      <c r="OH338" s="85"/>
      <c r="OI338" s="85"/>
      <c r="OJ338" s="85"/>
      <c r="OK338" s="85"/>
      <c r="OL338" s="85"/>
      <c r="OM338" s="85"/>
      <c r="ON338" s="85"/>
      <c r="OO338" s="85"/>
      <c r="OP338" s="85"/>
      <c r="OQ338" s="85"/>
      <c r="OR338" s="85"/>
      <c r="OS338" s="85"/>
      <c r="OT338" s="85"/>
      <c r="OU338" s="85"/>
      <c r="OV338" s="85"/>
      <c r="OW338" s="85"/>
      <c r="OX338" s="85"/>
      <c r="OY338" s="85"/>
      <c r="OZ338" s="85"/>
      <c r="PA338" s="85"/>
      <c r="PB338" s="85"/>
      <c r="PC338" s="85"/>
      <c r="PD338" s="85"/>
      <c r="PE338" s="85"/>
      <c r="PF338" s="85"/>
      <c r="PG338" s="85"/>
      <c r="PH338" s="85"/>
      <c r="PI338" s="85"/>
      <c r="PJ338" s="85"/>
      <c r="PK338" s="85"/>
      <c r="PL338" s="85"/>
      <c r="PM338" s="85"/>
      <c r="PN338" s="85"/>
      <c r="PO338" s="85"/>
      <c r="PP338" s="85"/>
      <c r="PQ338" s="85"/>
      <c r="PR338" s="85"/>
      <c r="PS338" s="85"/>
      <c r="PT338" s="85"/>
      <c r="PU338" s="85"/>
      <c r="PV338" s="85"/>
      <c r="PW338" s="85"/>
      <c r="PX338" s="85"/>
      <c r="PY338" s="85"/>
      <c r="PZ338" s="85"/>
      <c r="QA338" s="85"/>
      <c r="QB338" s="85"/>
      <c r="QC338" s="85"/>
      <c r="QD338" s="85"/>
      <c r="QE338" s="85"/>
      <c r="QF338" s="85"/>
      <c r="QG338" s="85"/>
      <c r="QH338" s="85"/>
      <c r="QI338" s="85"/>
      <c r="QJ338" s="85"/>
      <c r="QK338" s="85"/>
      <c r="QL338" s="85"/>
      <c r="QM338" s="85"/>
      <c r="QN338" s="85"/>
      <c r="QO338" s="85"/>
      <c r="QP338" s="85"/>
      <c r="QQ338" s="85"/>
      <c r="QR338" s="85"/>
      <c r="QS338" s="85"/>
      <c r="QT338" s="85"/>
      <c r="QU338" s="85"/>
      <c r="QV338" s="85"/>
      <c r="QW338" s="85"/>
      <c r="QX338" s="85"/>
      <c r="QY338" s="85"/>
      <c r="QZ338" s="85"/>
      <c r="RA338" s="85"/>
      <c r="RB338" s="85"/>
      <c r="RC338" s="85"/>
      <c r="RD338" s="85"/>
      <c r="RE338" s="85"/>
      <c r="RF338" s="85"/>
      <c r="RG338" s="85"/>
      <c r="RH338" s="85"/>
      <c r="RI338" s="85"/>
      <c r="RJ338" s="85"/>
      <c r="RK338" s="85"/>
      <c r="RL338" s="85"/>
      <c r="RM338" s="85"/>
      <c r="RN338" s="85"/>
      <c r="RO338" s="85"/>
      <c r="RP338" s="85"/>
      <c r="RQ338" s="85"/>
      <c r="RR338" s="85"/>
      <c r="RS338" s="85"/>
      <c r="RT338" s="85"/>
      <c r="RU338" s="85"/>
      <c r="RV338" s="85"/>
      <c r="RW338" s="85"/>
      <c r="RX338" s="85"/>
      <c r="RY338" s="85"/>
      <c r="RZ338" s="85"/>
      <c r="SA338" s="85"/>
      <c r="SB338" s="85"/>
      <c r="SC338" s="85"/>
      <c r="SD338" s="85"/>
      <c r="SE338" s="85"/>
      <c r="SF338" s="85"/>
      <c r="SG338" s="85"/>
      <c r="SH338" s="85"/>
      <c r="SI338" s="85"/>
      <c r="SJ338" s="85"/>
      <c r="SK338" s="85"/>
      <c r="SL338" s="85"/>
      <c r="SM338" s="85"/>
      <c r="SN338" s="85"/>
      <c r="SO338" s="85"/>
      <c r="SP338" s="85"/>
      <c r="SQ338" s="85"/>
      <c r="SR338" s="85"/>
      <c r="SS338" s="85"/>
      <c r="ST338" s="85"/>
      <c r="SU338" s="85"/>
      <c r="SV338" s="85"/>
      <c r="SW338" s="85"/>
      <c r="SX338" s="85"/>
      <c r="SY338" s="85"/>
      <c r="SZ338" s="85"/>
      <c r="TA338" s="85"/>
      <c r="TB338" s="85"/>
      <c r="TC338" s="85"/>
      <c r="TD338" s="85"/>
      <c r="TE338" s="85"/>
      <c r="TF338" s="85"/>
      <c r="TG338" s="85"/>
      <c r="TH338" s="85"/>
      <c r="TI338" s="85"/>
      <c r="TJ338" s="85"/>
      <c r="TK338" s="85"/>
      <c r="TL338" s="85"/>
    </row>
    <row r="339" spans="1:532" s="85" customFormat="1" ht="12.75" customHeight="1">
      <c r="A339" s="122" t="s">
        <v>288</v>
      </c>
      <c r="B339" s="240" t="s">
        <v>299</v>
      </c>
      <c r="C339" s="124"/>
      <c r="D339" s="266">
        <f>+[2]ordinario!C414</f>
        <v>900000000</v>
      </c>
      <c r="E339" s="266">
        <v>1345491145.04</v>
      </c>
      <c r="F339" s="146"/>
      <c r="G339" s="138"/>
      <c r="H339" s="98"/>
      <c r="I339" s="140">
        <f>SUM(I340:I348)</f>
        <v>374103526.19999999</v>
      </c>
      <c r="J339" s="140">
        <f>SUM(J340:J348)</f>
        <v>374103526</v>
      </c>
      <c r="K339" s="140">
        <f>SUM(K340:K348)</f>
        <v>0.20000000001164153</v>
      </c>
      <c r="L339" s="140">
        <f>SUM(L340:L348)</f>
        <v>0</v>
      </c>
      <c r="M339" s="140">
        <f>SUM(M340:M348)</f>
        <v>0</v>
      </c>
      <c r="N339" s="140">
        <f>SUM(N340:N348)+0.01</f>
        <v>971387618.84344673</v>
      </c>
    </row>
    <row r="340" spans="1:532" s="85" customFormat="1" ht="12.75" customHeight="1">
      <c r="A340" s="122"/>
      <c r="B340" s="240"/>
      <c r="C340" s="124"/>
      <c r="D340" s="124"/>
      <c r="E340" s="124"/>
      <c r="F340" s="96" t="s">
        <v>178</v>
      </c>
      <c r="G340" s="97" t="s">
        <v>179</v>
      </c>
      <c r="H340" s="98" t="s">
        <v>77</v>
      </c>
      <c r="I340" s="125">
        <v>134549114.5</v>
      </c>
      <c r="J340" s="125">
        <f>+I340</f>
        <v>134549114.5</v>
      </c>
      <c r="K340" s="125"/>
      <c r="L340" s="125"/>
      <c r="M340" s="125"/>
      <c r="N340" s="126">
        <f>-I340+E339*0.1</f>
        <v>4.0000081062316895E-3</v>
      </c>
    </row>
    <row r="341" spans="1:532" s="85" customFormat="1" ht="12.75" customHeight="1">
      <c r="A341" s="122"/>
      <c r="B341" s="240"/>
      <c r="C341" s="124"/>
      <c r="D341" s="124"/>
      <c r="E341" s="124"/>
      <c r="F341" s="146"/>
      <c r="G341" s="138"/>
      <c r="H341" s="98"/>
      <c r="I341" s="125"/>
      <c r="J341" s="125"/>
      <c r="K341" s="125"/>
      <c r="L341" s="125"/>
      <c r="M341" s="125"/>
      <c r="N341" s="125"/>
    </row>
    <row r="342" spans="1:532" s="85" customFormat="1" ht="12.75" customHeight="1">
      <c r="A342" s="122"/>
      <c r="B342" s="240"/>
      <c r="C342" s="124"/>
      <c r="D342" s="124"/>
      <c r="E342" s="124"/>
      <c r="F342" s="146" t="s">
        <v>153</v>
      </c>
      <c r="G342" s="97" t="s">
        <v>300</v>
      </c>
      <c r="H342" s="98" t="s">
        <v>77</v>
      </c>
      <c r="I342" s="148">
        <v>203271213.51000002</v>
      </c>
      <c r="J342" s="125">
        <f>+I342</f>
        <v>203271213.51000002</v>
      </c>
      <c r="K342" s="125"/>
      <c r="L342" s="125"/>
      <c r="M342" s="125"/>
      <c r="N342" s="148">
        <f>-I342+[2]ordinario!I419-1900000</f>
        <v>53287838.023546875</v>
      </c>
    </row>
    <row r="343" spans="1:532" s="85" customFormat="1" ht="12.75" customHeight="1">
      <c r="A343" s="122"/>
      <c r="B343" s="240"/>
      <c r="C343" s="124"/>
      <c r="D343" s="124"/>
      <c r="E343" s="124"/>
      <c r="F343" s="146"/>
      <c r="G343" s="138"/>
      <c r="H343" s="98" t="s">
        <v>78</v>
      </c>
      <c r="I343" s="148">
        <f>646252250.77-I917</f>
        <v>0</v>
      </c>
      <c r="J343" s="125">
        <f>+I343</f>
        <v>0</v>
      </c>
      <c r="K343" s="125"/>
      <c r="L343" s="125"/>
      <c r="M343" s="125"/>
      <c r="N343" s="148">
        <f>-I343+[2]ordinario!I420</f>
        <v>494218117.55989993</v>
      </c>
    </row>
    <row r="344" spans="1:532" s="85" customFormat="1" ht="12.75" customHeight="1">
      <c r="A344" s="122"/>
      <c r="B344" s="240"/>
      <c r="C344" s="124"/>
      <c r="D344" s="124"/>
      <c r="E344" s="124"/>
      <c r="F344" s="146"/>
      <c r="G344" s="138"/>
      <c r="H344" s="98" t="s">
        <v>79</v>
      </c>
      <c r="I344" s="148">
        <f>9346100-I918</f>
        <v>6801100</v>
      </c>
      <c r="J344" s="125">
        <f>+I344</f>
        <v>6801100</v>
      </c>
      <c r="K344" s="125"/>
      <c r="L344" s="125"/>
      <c r="M344" s="125"/>
      <c r="N344" s="148">
        <f>-I344+[2]ordinario!I421</f>
        <v>7181900</v>
      </c>
    </row>
    <row r="345" spans="1:532" s="85" customFormat="1" ht="12.75" customHeight="1">
      <c r="A345" s="122"/>
      <c r="B345" s="240"/>
      <c r="C345" s="124"/>
      <c r="D345" s="124"/>
      <c r="E345" s="124"/>
      <c r="F345" s="146"/>
      <c r="G345" s="138"/>
      <c r="H345" s="98" t="s">
        <v>81</v>
      </c>
      <c r="I345" s="148">
        <f>286717.2-I919</f>
        <v>0.20000000001164153</v>
      </c>
      <c r="J345" s="125"/>
      <c r="K345" s="125">
        <f>+I345</f>
        <v>0.20000000001164153</v>
      </c>
      <c r="L345" s="125"/>
      <c r="M345" s="125"/>
      <c r="N345" s="148">
        <f>-I345+1900000</f>
        <v>1899999.8</v>
      </c>
    </row>
    <row r="346" spans="1:532" s="85" customFormat="1" ht="12.75" customHeight="1">
      <c r="A346" s="122"/>
      <c r="B346" s="240"/>
      <c r="C346" s="124"/>
      <c r="D346" s="124"/>
      <c r="E346" s="124"/>
      <c r="F346" s="146"/>
      <c r="G346" s="138"/>
      <c r="H346" s="98" t="s">
        <v>82</v>
      </c>
      <c r="I346" s="148">
        <v>29482097.990000002</v>
      </c>
      <c r="J346" s="125">
        <f>+I346</f>
        <v>29482097.990000002</v>
      </c>
      <c r="K346" s="125"/>
      <c r="L346" s="125"/>
      <c r="M346" s="125"/>
      <c r="N346" s="148">
        <f>-I346+[2]ordinario!I422</f>
        <v>13857732.909999996</v>
      </c>
    </row>
    <row r="347" spans="1:532" s="85" customFormat="1" ht="12.75" customHeight="1">
      <c r="A347" s="122"/>
      <c r="B347" s="240"/>
      <c r="C347" s="124"/>
      <c r="D347" s="124"/>
      <c r="E347" s="124"/>
      <c r="F347" s="146"/>
      <c r="G347" s="138"/>
      <c r="H347" s="98" t="s">
        <v>85</v>
      </c>
      <c r="I347" s="148"/>
      <c r="J347" s="125">
        <f>+I347</f>
        <v>0</v>
      </c>
      <c r="K347" s="125"/>
      <c r="L347" s="125"/>
      <c r="M347" s="125"/>
      <c r="N347" s="148"/>
    </row>
    <row r="348" spans="1:532" s="85" customFormat="1" ht="12.75" customHeight="1">
      <c r="A348" s="122"/>
      <c r="B348" s="240"/>
      <c r="C348" s="124"/>
      <c r="D348" s="124"/>
      <c r="E348" s="124"/>
      <c r="F348" s="146" t="s">
        <v>277</v>
      </c>
      <c r="G348" s="138"/>
      <c r="H348" s="98"/>
      <c r="I348" s="148"/>
      <c r="J348" s="125"/>
      <c r="K348" s="125"/>
      <c r="L348" s="125"/>
      <c r="M348" s="125"/>
      <c r="N348" s="148">
        <f>(+E339-D339)*0.9</f>
        <v>400942030.53599995</v>
      </c>
    </row>
    <row r="349" spans="1:532" s="135" customFormat="1" ht="12.75" customHeight="1">
      <c r="A349" s="111"/>
      <c r="B349" s="243"/>
      <c r="C349" s="112"/>
      <c r="D349" s="112"/>
      <c r="E349" s="112"/>
      <c r="F349" s="242"/>
      <c r="G349" s="113"/>
      <c r="H349" s="114"/>
      <c r="I349" s="115"/>
      <c r="J349" s="115"/>
      <c r="K349" s="115"/>
      <c r="L349" s="115"/>
      <c r="M349" s="115"/>
      <c r="N349" s="116"/>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c r="BD349" s="85"/>
      <c r="BE349" s="85"/>
      <c r="BF349" s="85"/>
      <c r="BG349" s="85"/>
      <c r="BH349" s="85"/>
      <c r="BI349" s="85"/>
      <c r="BJ349" s="85"/>
      <c r="BK349" s="85"/>
      <c r="BL349" s="85"/>
      <c r="BM349" s="85"/>
      <c r="BN349" s="85"/>
      <c r="BO349" s="85"/>
      <c r="BP349" s="85"/>
      <c r="BQ349" s="85"/>
      <c r="BR349" s="85"/>
      <c r="BS349" s="85"/>
      <c r="BT349" s="85"/>
      <c r="BU349" s="85"/>
      <c r="BV349" s="85"/>
      <c r="BW349" s="85"/>
      <c r="BX349" s="85"/>
      <c r="BY349" s="85"/>
      <c r="BZ349" s="85"/>
      <c r="CA349" s="85"/>
      <c r="CB349" s="85"/>
      <c r="CC349" s="85"/>
      <c r="CD349" s="85"/>
      <c r="CE349" s="85"/>
      <c r="CF349" s="85"/>
      <c r="CG349" s="85"/>
      <c r="CH349" s="85"/>
      <c r="CI349" s="85"/>
      <c r="CJ349" s="85"/>
      <c r="CK349" s="85"/>
      <c r="CL349" s="85"/>
      <c r="CM349" s="85"/>
      <c r="CN349" s="85"/>
      <c r="CO349" s="85"/>
      <c r="CP349" s="85"/>
      <c r="CQ349" s="85"/>
      <c r="CR349" s="85"/>
      <c r="CS349" s="85"/>
      <c r="CT349" s="85"/>
      <c r="CU349" s="85"/>
      <c r="CV349" s="85"/>
      <c r="CW349" s="85"/>
      <c r="CX349" s="85"/>
      <c r="CY349" s="85"/>
      <c r="CZ349" s="85"/>
      <c r="DA349" s="85"/>
      <c r="DB349" s="85"/>
      <c r="DC349" s="85"/>
      <c r="DD349" s="85"/>
      <c r="DE349" s="85"/>
      <c r="DF349" s="85"/>
      <c r="DG349" s="85"/>
      <c r="DH349" s="85"/>
      <c r="DI349" s="85"/>
      <c r="DJ349" s="85"/>
      <c r="DK349" s="85"/>
      <c r="DL349" s="85"/>
      <c r="DM349" s="85"/>
      <c r="DN349" s="85"/>
      <c r="DO349" s="85"/>
      <c r="DP349" s="85"/>
      <c r="DQ349" s="85"/>
      <c r="DR349" s="85"/>
      <c r="DS349" s="85"/>
      <c r="DT349" s="85"/>
      <c r="DU349" s="85"/>
      <c r="DV349" s="85"/>
      <c r="DW349" s="85"/>
      <c r="DX349" s="85"/>
      <c r="DY349" s="85"/>
      <c r="DZ349" s="85"/>
      <c r="EA349" s="85"/>
      <c r="EB349" s="85"/>
      <c r="EC349" s="85"/>
      <c r="ED349" s="85"/>
      <c r="EE349" s="85"/>
      <c r="EF349" s="85"/>
      <c r="EG349" s="85"/>
      <c r="EH349" s="85"/>
      <c r="EI349" s="85"/>
      <c r="EJ349" s="85"/>
      <c r="EK349" s="85"/>
      <c r="EL349" s="85"/>
      <c r="EM349" s="85"/>
      <c r="EN349" s="85"/>
      <c r="EO349" s="85"/>
      <c r="EP349" s="85"/>
      <c r="EQ349" s="85"/>
      <c r="ER349" s="85"/>
      <c r="ES349" s="85"/>
      <c r="ET349" s="85"/>
      <c r="EU349" s="85"/>
      <c r="EV349" s="85"/>
      <c r="EW349" s="85"/>
      <c r="EX349" s="85"/>
      <c r="EY349" s="85"/>
      <c r="EZ349" s="85"/>
      <c r="FA349" s="85"/>
      <c r="FB349" s="85"/>
      <c r="FC349" s="85"/>
      <c r="FD349" s="85"/>
      <c r="FE349" s="85"/>
      <c r="FF349" s="85"/>
      <c r="FG349" s="85"/>
      <c r="FH349" s="85"/>
      <c r="FI349" s="85"/>
      <c r="FJ349" s="85"/>
      <c r="FK349" s="85"/>
      <c r="FL349" s="85"/>
      <c r="FM349" s="85"/>
      <c r="FN349" s="85"/>
      <c r="FO349" s="85"/>
      <c r="FP349" s="85"/>
      <c r="FQ349" s="85"/>
      <c r="FR349" s="85"/>
      <c r="FS349" s="85"/>
      <c r="FT349" s="85"/>
      <c r="FU349" s="85"/>
      <c r="FV349" s="85"/>
      <c r="FW349" s="85"/>
      <c r="FX349" s="85"/>
      <c r="FY349" s="85"/>
      <c r="FZ349" s="85"/>
      <c r="GA349" s="85"/>
      <c r="GB349" s="85"/>
      <c r="GC349" s="85"/>
      <c r="GD349" s="85"/>
      <c r="GE349" s="85"/>
      <c r="GF349" s="85"/>
      <c r="GG349" s="85"/>
      <c r="GH349" s="85"/>
      <c r="GI349" s="85"/>
      <c r="GJ349" s="85"/>
      <c r="GK349" s="85"/>
      <c r="GL349" s="85"/>
      <c r="GM349" s="85"/>
      <c r="GN349" s="85"/>
      <c r="GO349" s="85"/>
      <c r="GP349" s="85"/>
      <c r="GQ349" s="85"/>
      <c r="GR349" s="85"/>
      <c r="GS349" s="85"/>
      <c r="GT349" s="85"/>
      <c r="GU349" s="85"/>
      <c r="GV349" s="85"/>
      <c r="GW349" s="85"/>
      <c r="GX349" s="85"/>
      <c r="GY349" s="85"/>
      <c r="GZ349" s="85"/>
      <c r="HA349" s="85"/>
      <c r="HB349" s="85"/>
      <c r="HC349" s="85"/>
      <c r="HD349" s="85"/>
      <c r="HE349" s="85"/>
      <c r="HF349" s="85"/>
      <c r="HG349" s="85"/>
      <c r="HH349" s="85"/>
      <c r="HI349" s="85"/>
      <c r="HJ349" s="85"/>
      <c r="HK349" s="85"/>
      <c r="HL349" s="85"/>
      <c r="HM349" s="85"/>
      <c r="HN349" s="85"/>
      <c r="HO349" s="85"/>
      <c r="HP349" s="85"/>
      <c r="HQ349" s="85"/>
      <c r="HR349" s="85"/>
      <c r="HS349" s="85"/>
      <c r="HT349" s="85"/>
      <c r="HU349" s="85"/>
      <c r="HV349" s="85"/>
      <c r="HW349" s="85"/>
      <c r="HX349" s="85"/>
      <c r="HY349" s="85"/>
      <c r="HZ349" s="85"/>
      <c r="IA349" s="85"/>
      <c r="IB349" s="85"/>
      <c r="IC349" s="85"/>
      <c r="ID349" s="85"/>
      <c r="IE349" s="85"/>
      <c r="IF349" s="85"/>
      <c r="IG349" s="85"/>
      <c r="IH349" s="85"/>
      <c r="II349" s="85"/>
      <c r="IJ349" s="85"/>
      <c r="IK349" s="85"/>
      <c r="IL349" s="85"/>
      <c r="IM349" s="85"/>
      <c r="IN349" s="85"/>
      <c r="IO349" s="85"/>
      <c r="IP349" s="85"/>
      <c r="IQ349" s="85"/>
      <c r="IR349" s="85"/>
      <c r="IS349" s="85"/>
      <c r="IT349" s="85"/>
      <c r="IU349" s="85"/>
      <c r="IV349" s="85"/>
      <c r="IW349" s="85"/>
      <c r="IX349" s="85"/>
      <c r="IY349" s="85"/>
      <c r="IZ349" s="85"/>
      <c r="JA349" s="85"/>
      <c r="JB349" s="85"/>
      <c r="JC349" s="85"/>
      <c r="JD349" s="85"/>
      <c r="JE349" s="85"/>
      <c r="JF349" s="85"/>
      <c r="JG349" s="85"/>
      <c r="JH349" s="85"/>
      <c r="JI349" s="85"/>
      <c r="JJ349" s="85"/>
      <c r="JK349" s="85"/>
      <c r="JL349" s="85"/>
      <c r="JM349" s="85"/>
      <c r="JN349" s="85"/>
      <c r="JO349" s="85"/>
      <c r="JP349" s="85"/>
      <c r="JQ349" s="85"/>
      <c r="JR349" s="85"/>
      <c r="JS349" s="85"/>
      <c r="JT349" s="85"/>
      <c r="JU349" s="85"/>
      <c r="JV349" s="85"/>
      <c r="JW349" s="85"/>
      <c r="JX349" s="85"/>
      <c r="JY349" s="85"/>
      <c r="JZ349" s="85"/>
      <c r="KA349" s="85"/>
      <c r="KB349" s="85"/>
      <c r="KC349" s="85"/>
      <c r="KD349" s="85"/>
      <c r="KE349" s="85"/>
      <c r="KF349" s="85"/>
      <c r="KG349" s="85"/>
      <c r="KH349" s="85"/>
      <c r="KI349" s="85"/>
      <c r="KJ349" s="85"/>
      <c r="KK349" s="85"/>
      <c r="KL349" s="85"/>
      <c r="KM349" s="85"/>
      <c r="KN349" s="85"/>
      <c r="KO349" s="85"/>
      <c r="KP349" s="85"/>
      <c r="KQ349" s="85"/>
      <c r="KR349" s="85"/>
      <c r="KS349" s="85"/>
      <c r="KT349" s="85"/>
      <c r="KU349" s="85"/>
      <c r="KV349" s="85"/>
      <c r="KW349" s="85"/>
      <c r="KX349" s="85"/>
      <c r="KY349" s="85"/>
      <c r="KZ349" s="85"/>
      <c r="LA349" s="85"/>
      <c r="LB349" s="85"/>
      <c r="LC349" s="85"/>
      <c r="LD349" s="85"/>
      <c r="LE349" s="85"/>
      <c r="LF349" s="85"/>
      <c r="LG349" s="85"/>
      <c r="LH349" s="85"/>
      <c r="LI349" s="85"/>
      <c r="LJ349" s="85"/>
      <c r="LK349" s="85"/>
      <c r="LL349" s="85"/>
      <c r="LM349" s="85"/>
      <c r="LN349" s="85"/>
      <c r="LO349" s="85"/>
      <c r="LP349" s="85"/>
      <c r="LQ349" s="85"/>
      <c r="LR349" s="85"/>
      <c r="LS349" s="85"/>
      <c r="LT349" s="85"/>
      <c r="LU349" s="85"/>
      <c r="LV349" s="85"/>
      <c r="LW349" s="85"/>
      <c r="LX349" s="85"/>
      <c r="LY349" s="85"/>
      <c r="LZ349" s="85"/>
      <c r="MA349" s="85"/>
      <c r="MB349" s="85"/>
      <c r="MC349" s="85"/>
      <c r="MD349" s="85"/>
      <c r="ME349" s="85"/>
      <c r="MF349" s="85"/>
      <c r="MG349" s="85"/>
      <c r="MH349" s="85"/>
      <c r="MI349" s="85"/>
      <c r="MJ349" s="85"/>
      <c r="MK349" s="85"/>
      <c r="ML349" s="85"/>
      <c r="MM349" s="85"/>
      <c r="MN349" s="85"/>
      <c r="MO349" s="85"/>
      <c r="MP349" s="85"/>
      <c r="MQ349" s="85"/>
      <c r="MR349" s="85"/>
      <c r="MS349" s="85"/>
      <c r="MT349" s="85"/>
      <c r="MU349" s="85"/>
      <c r="MV349" s="85"/>
      <c r="MW349" s="85"/>
      <c r="MX349" s="85"/>
      <c r="MY349" s="85"/>
      <c r="MZ349" s="85"/>
      <c r="NA349" s="85"/>
      <c r="NB349" s="85"/>
      <c r="NC349" s="85"/>
      <c r="ND349" s="85"/>
      <c r="NE349" s="85"/>
      <c r="NF349" s="85"/>
      <c r="NG349" s="85"/>
      <c r="NH349" s="85"/>
      <c r="NI349" s="85"/>
      <c r="NJ349" s="85"/>
      <c r="NK349" s="85"/>
      <c r="NL349" s="85"/>
      <c r="NM349" s="85"/>
      <c r="NN349" s="85"/>
      <c r="NO349" s="85"/>
      <c r="NP349" s="85"/>
      <c r="NQ349" s="85"/>
      <c r="NR349" s="85"/>
      <c r="NS349" s="85"/>
      <c r="NT349" s="85"/>
      <c r="NU349" s="85"/>
      <c r="NV349" s="85"/>
      <c r="NW349" s="85"/>
      <c r="NX349" s="85"/>
      <c r="NY349" s="85"/>
      <c r="NZ349" s="85"/>
      <c r="OA349" s="85"/>
      <c r="OB349" s="85"/>
      <c r="OC349" s="85"/>
      <c r="OD349" s="85"/>
      <c r="OE349" s="85"/>
      <c r="OF349" s="85"/>
      <c r="OG349" s="85"/>
      <c r="OH349" s="85"/>
      <c r="OI349" s="85"/>
      <c r="OJ349" s="85"/>
      <c r="OK349" s="85"/>
      <c r="OL349" s="85"/>
      <c r="OM349" s="85"/>
      <c r="ON349" s="85"/>
      <c r="OO349" s="85"/>
      <c r="OP349" s="85"/>
      <c r="OQ349" s="85"/>
      <c r="OR349" s="85"/>
      <c r="OS349" s="85"/>
      <c r="OT349" s="85"/>
      <c r="OU349" s="85"/>
      <c r="OV349" s="85"/>
      <c r="OW349" s="85"/>
      <c r="OX349" s="85"/>
      <c r="OY349" s="85"/>
      <c r="OZ349" s="85"/>
      <c r="PA349" s="85"/>
      <c r="PB349" s="85"/>
      <c r="PC349" s="85"/>
      <c r="PD349" s="85"/>
      <c r="PE349" s="85"/>
      <c r="PF349" s="85"/>
      <c r="PG349" s="85"/>
      <c r="PH349" s="85"/>
      <c r="PI349" s="85"/>
      <c r="PJ349" s="85"/>
      <c r="PK349" s="85"/>
      <c r="PL349" s="85"/>
      <c r="PM349" s="85"/>
      <c r="PN349" s="85"/>
      <c r="PO349" s="85"/>
      <c r="PP349" s="85"/>
      <c r="PQ349" s="85"/>
      <c r="PR349" s="85"/>
      <c r="PS349" s="85"/>
      <c r="PT349" s="85"/>
      <c r="PU349" s="85"/>
      <c r="PV349" s="85"/>
      <c r="PW349" s="85"/>
      <c r="PX349" s="85"/>
      <c r="PY349" s="85"/>
      <c r="PZ349" s="85"/>
      <c r="QA349" s="85"/>
      <c r="QB349" s="85"/>
      <c r="QC349" s="85"/>
      <c r="QD349" s="85"/>
      <c r="QE349" s="85"/>
      <c r="QF349" s="85"/>
      <c r="QG349" s="85"/>
      <c r="QH349" s="85"/>
      <c r="QI349" s="85"/>
      <c r="QJ349" s="85"/>
      <c r="QK349" s="85"/>
      <c r="QL349" s="85"/>
      <c r="QM349" s="85"/>
      <c r="QN349" s="85"/>
      <c r="QO349" s="85"/>
      <c r="QP349" s="85"/>
      <c r="QQ349" s="85"/>
      <c r="QR349" s="85"/>
      <c r="QS349" s="85"/>
      <c r="QT349" s="85"/>
      <c r="QU349" s="85"/>
      <c r="QV349" s="85"/>
      <c r="QW349" s="85"/>
      <c r="QX349" s="85"/>
      <c r="QY349" s="85"/>
      <c r="QZ349" s="85"/>
      <c r="RA349" s="85"/>
      <c r="RB349" s="85"/>
      <c r="RC349" s="85"/>
      <c r="RD349" s="85"/>
      <c r="RE349" s="85"/>
      <c r="RF349" s="85"/>
      <c r="RG349" s="85"/>
      <c r="RH349" s="85"/>
      <c r="RI349" s="85"/>
      <c r="RJ349" s="85"/>
      <c r="RK349" s="85"/>
      <c r="RL349" s="85"/>
      <c r="RM349" s="85"/>
      <c r="RN349" s="85"/>
      <c r="RO349" s="85"/>
      <c r="RP349" s="85"/>
      <c r="RQ349" s="85"/>
      <c r="RR349" s="85"/>
      <c r="RS349" s="85"/>
      <c r="RT349" s="85"/>
      <c r="RU349" s="85"/>
      <c r="RV349" s="85"/>
      <c r="RW349" s="85"/>
      <c r="RX349" s="85"/>
      <c r="RY349" s="85"/>
      <c r="RZ349" s="85"/>
      <c r="SA349" s="85"/>
      <c r="SB349" s="85"/>
      <c r="SC349" s="85"/>
      <c r="SD349" s="85"/>
      <c r="SE349" s="85"/>
      <c r="SF349" s="85"/>
      <c r="SG349" s="85"/>
      <c r="SH349" s="85"/>
      <c r="SI349" s="85"/>
      <c r="SJ349" s="85"/>
      <c r="SK349" s="85"/>
      <c r="SL349" s="85"/>
      <c r="SM349" s="85"/>
      <c r="SN349" s="85"/>
      <c r="SO349" s="85"/>
      <c r="SP349" s="85"/>
      <c r="SQ349" s="85"/>
      <c r="SR349" s="85"/>
      <c r="SS349" s="85"/>
      <c r="ST349" s="85"/>
      <c r="SU349" s="85"/>
      <c r="SV349" s="85"/>
      <c r="SW349" s="85"/>
      <c r="SX349" s="85"/>
      <c r="SY349" s="85"/>
      <c r="SZ349" s="85"/>
      <c r="TA349" s="85"/>
      <c r="TB349" s="85"/>
      <c r="TC349" s="85"/>
      <c r="TD349" s="85"/>
      <c r="TE349" s="85"/>
      <c r="TF349" s="85"/>
      <c r="TG349" s="85"/>
      <c r="TH349" s="85"/>
      <c r="TI349" s="85"/>
      <c r="TJ349" s="85"/>
      <c r="TK349" s="85"/>
      <c r="TL349" s="85"/>
    </row>
    <row r="350" spans="1:532" s="85" customFormat="1" ht="12.75" customHeight="1">
      <c r="A350" s="122" t="s">
        <v>301</v>
      </c>
      <c r="B350" s="240" t="s">
        <v>302</v>
      </c>
      <c r="C350" s="124"/>
      <c r="D350" s="124">
        <f>+[2]ordinario!C426</f>
        <v>350000000</v>
      </c>
      <c r="E350" s="124">
        <v>367836918.44999999</v>
      </c>
      <c r="F350" s="146"/>
      <c r="G350" s="138"/>
      <c r="H350" s="98"/>
      <c r="I350" s="140">
        <f t="shared" ref="I350:N350" si="16">SUM(I351:I359)</f>
        <v>334666612.34000003</v>
      </c>
      <c r="J350" s="140">
        <f t="shared" si="16"/>
        <v>334666612.34000003</v>
      </c>
      <c r="K350" s="140">
        <f t="shared" si="16"/>
        <v>0</v>
      </c>
      <c r="L350" s="140">
        <f t="shared" si="16"/>
        <v>0</v>
      </c>
      <c r="M350" s="140">
        <f t="shared" si="16"/>
        <v>0</v>
      </c>
      <c r="N350" s="140">
        <f t="shared" si="16"/>
        <v>33170306.11146225</v>
      </c>
    </row>
    <row r="351" spans="1:532" s="85" customFormat="1" ht="12.75" customHeight="1">
      <c r="A351" s="122"/>
      <c r="B351" s="240"/>
      <c r="C351" s="124"/>
      <c r="D351" s="124"/>
      <c r="E351" s="124"/>
      <c r="F351" s="96" t="s">
        <v>178</v>
      </c>
      <c r="G351" s="97" t="s">
        <v>179</v>
      </c>
      <c r="H351" s="98" t="s">
        <v>77</v>
      </c>
      <c r="I351" s="125">
        <v>36783691.840000004</v>
      </c>
      <c r="J351" s="125">
        <f>+I351</f>
        <v>36783691.840000004</v>
      </c>
      <c r="K351" s="125"/>
      <c r="L351" s="125"/>
      <c r="M351" s="125"/>
      <c r="N351" s="126">
        <f>-I351+E350*0.1</f>
        <v>4.999995231628418E-3</v>
      </c>
    </row>
    <row r="352" spans="1:532" s="85" customFormat="1" ht="12.75" customHeight="1">
      <c r="A352" s="122"/>
      <c r="B352" s="240"/>
      <c r="C352" s="124"/>
      <c r="D352" s="124"/>
      <c r="E352" s="124"/>
      <c r="F352" s="146"/>
      <c r="G352" s="138"/>
      <c r="H352" s="98"/>
      <c r="I352" s="125"/>
      <c r="J352" s="125"/>
      <c r="K352" s="125"/>
      <c r="L352" s="125"/>
      <c r="M352" s="125"/>
      <c r="N352" s="125"/>
    </row>
    <row r="353" spans="1:532" s="85" customFormat="1" ht="12.75" customHeight="1">
      <c r="A353" s="122"/>
      <c r="B353" s="124"/>
      <c r="C353" s="124"/>
      <c r="D353" s="124"/>
      <c r="E353" s="124"/>
      <c r="F353" s="146" t="s">
        <v>156</v>
      </c>
      <c r="G353" s="97" t="s">
        <v>303</v>
      </c>
      <c r="H353" s="98" t="s">
        <v>77</v>
      </c>
      <c r="I353" s="125">
        <v>123789402.83</v>
      </c>
      <c r="J353" s="125">
        <f>+I353</f>
        <v>123789402.83</v>
      </c>
      <c r="K353" s="125"/>
      <c r="L353" s="125"/>
      <c r="M353" s="125"/>
      <c r="N353" s="125">
        <f>-I353+[2]ordinario!I431-21798857.32</f>
        <v>3.0622556805610657E-3</v>
      </c>
    </row>
    <row r="354" spans="1:532" s="85" customFormat="1" ht="12.75" customHeight="1">
      <c r="A354" s="122"/>
      <c r="B354" s="240"/>
      <c r="C354" s="124"/>
      <c r="D354" s="124"/>
      <c r="E354" s="124"/>
      <c r="F354" s="146"/>
      <c r="G354" s="97"/>
      <c r="H354" s="98" t="s">
        <v>78</v>
      </c>
      <c r="I354" s="125">
        <f>243802177.18-I932</f>
        <v>161469979.28</v>
      </c>
      <c r="J354" s="125">
        <f>+I354</f>
        <v>161469979.28</v>
      </c>
      <c r="K354" s="125"/>
      <c r="L354" s="125"/>
      <c r="M354" s="125"/>
      <c r="N354" s="125">
        <f>-I354+[2]ordinario!I432-12000000+21798857.32+1403417.72</f>
        <v>-1.599988667294383E-3</v>
      </c>
    </row>
    <row r="355" spans="1:532" s="85" customFormat="1" ht="12.75" customHeight="1">
      <c r="A355" s="122"/>
      <c r="B355" s="240"/>
      <c r="C355" s="124"/>
      <c r="D355" s="124"/>
      <c r="E355" s="124"/>
      <c r="F355" s="146"/>
      <c r="G355" s="138"/>
      <c r="H355" s="98" t="s">
        <v>79</v>
      </c>
      <c r="I355" s="125">
        <f>3598376.95-I933</f>
        <v>3598376.95</v>
      </c>
      <c r="J355" s="125">
        <f>+I355</f>
        <v>3598376.95</v>
      </c>
      <c r="K355" s="125"/>
      <c r="L355" s="125"/>
      <c r="M355" s="125"/>
      <c r="N355" s="125">
        <f>-I355+[2]ordinario!I433+2000000-1403417.72</f>
        <v>1791126.5999999994</v>
      </c>
    </row>
    <row r="356" spans="1:532" s="85" customFormat="1" ht="12.75" customHeight="1">
      <c r="A356" s="122"/>
      <c r="B356" s="240"/>
      <c r="C356" s="124"/>
      <c r="D356" s="124"/>
      <c r="E356" s="124"/>
      <c r="F356" s="146"/>
      <c r="G356" s="138"/>
      <c r="H356" s="98" t="s">
        <v>81</v>
      </c>
      <c r="I356" s="125">
        <f>21138096-I934</f>
        <v>0</v>
      </c>
      <c r="J356" s="125"/>
      <c r="K356" s="125">
        <f>+I356</f>
        <v>0</v>
      </c>
      <c r="L356" s="125"/>
      <c r="M356" s="125"/>
      <c r="N356" s="125">
        <v>10000000</v>
      </c>
    </row>
    <row r="357" spans="1:532" s="85" customFormat="1" ht="12.75" customHeight="1">
      <c r="A357" s="122"/>
      <c r="B357" s="240"/>
      <c r="C357" s="124"/>
      <c r="D357" s="124"/>
      <c r="E357" s="124"/>
      <c r="F357" s="146"/>
      <c r="G357" s="138"/>
      <c r="H357" s="98" t="s">
        <v>82</v>
      </c>
      <c r="I357" s="125">
        <v>9025161.4400000013</v>
      </c>
      <c r="J357" s="125">
        <f>+I357</f>
        <v>9025161.4400000013</v>
      </c>
      <c r="K357" s="125"/>
      <c r="L357" s="125"/>
      <c r="M357" s="125"/>
      <c r="N357" s="125">
        <f>-I357+[2]ordinario!I435</f>
        <v>5325952.8999999985</v>
      </c>
    </row>
    <row r="358" spans="1:532" s="85" customFormat="1" ht="12.75" customHeight="1">
      <c r="A358" s="122"/>
      <c r="B358" s="240"/>
      <c r="C358" s="124"/>
      <c r="D358" s="124"/>
      <c r="E358" s="124"/>
      <c r="F358" s="146"/>
      <c r="G358" s="138"/>
      <c r="H358" s="98" t="s">
        <v>85</v>
      </c>
      <c r="I358" s="125"/>
      <c r="J358" s="125">
        <f>+I358</f>
        <v>0</v>
      </c>
      <c r="K358" s="125"/>
      <c r="L358" s="125"/>
      <c r="M358" s="125"/>
      <c r="N358" s="125"/>
    </row>
    <row r="359" spans="1:532" s="85" customFormat="1" ht="12.75" customHeight="1">
      <c r="A359" s="122"/>
      <c r="B359" s="240"/>
      <c r="C359" s="124"/>
      <c r="D359" s="124"/>
      <c r="E359" s="124"/>
      <c r="F359" s="146" t="s">
        <v>277</v>
      </c>
      <c r="G359" s="138"/>
      <c r="H359" s="98"/>
      <c r="I359" s="125"/>
      <c r="J359" s="125"/>
      <c r="K359" s="125"/>
      <c r="L359" s="125"/>
      <c r="M359" s="125"/>
      <c r="N359" s="125">
        <f>(+E350-D350)*0.9</f>
        <v>16053226.604999989</v>
      </c>
    </row>
    <row r="360" spans="1:532" s="135" customFormat="1" ht="12.75" customHeight="1">
      <c r="A360" s="111"/>
      <c r="B360" s="243"/>
      <c r="C360" s="112"/>
      <c r="D360" s="112"/>
      <c r="E360" s="112"/>
      <c r="F360" s="242"/>
      <c r="G360" s="113"/>
      <c r="H360" s="114"/>
      <c r="I360" s="115"/>
      <c r="J360" s="115"/>
      <c r="K360" s="115"/>
      <c r="L360" s="115"/>
      <c r="M360" s="115"/>
      <c r="N360" s="116"/>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c r="BD360" s="85"/>
      <c r="BE360" s="85"/>
      <c r="BF360" s="85"/>
      <c r="BG360" s="85"/>
      <c r="BH360" s="85"/>
      <c r="BI360" s="85"/>
      <c r="BJ360" s="85"/>
      <c r="BK360" s="85"/>
      <c r="BL360" s="85"/>
      <c r="BM360" s="85"/>
      <c r="BN360" s="85"/>
      <c r="BO360" s="85"/>
      <c r="BP360" s="85"/>
      <c r="BQ360" s="85"/>
      <c r="BR360" s="85"/>
      <c r="BS360" s="85"/>
      <c r="BT360" s="85"/>
      <c r="BU360" s="85"/>
      <c r="BV360" s="85"/>
      <c r="BW360" s="85"/>
      <c r="BX360" s="85"/>
      <c r="BY360" s="85"/>
      <c r="BZ360" s="85"/>
      <c r="CA360" s="85"/>
      <c r="CB360" s="85"/>
      <c r="CC360" s="85"/>
      <c r="CD360" s="85"/>
      <c r="CE360" s="85"/>
      <c r="CF360" s="85"/>
      <c r="CG360" s="85"/>
      <c r="CH360" s="85"/>
      <c r="CI360" s="85"/>
      <c r="CJ360" s="85"/>
      <c r="CK360" s="85"/>
      <c r="CL360" s="85"/>
      <c r="CM360" s="85"/>
      <c r="CN360" s="85"/>
      <c r="CO360" s="85"/>
      <c r="CP360" s="85"/>
      <c r="CQ360" s="85"/>
      <c r="CR360" s="85"/>
      <c r="CS360" s="85"/>
      <c r="CT360" s="85"/>
      <c r="CU360" s="85"/>
      <c r="CV360" s="85"/>
      <c r="CW360" s="85"/>
      <c r="CX360" s="85"/>
      <c r="CY360" s="85"/>
      <c r="CZ360" s="85"/>
      <c r="DA360" s="85"/>
      <c r="DB360" s="85"/>
      <c r="DC360" s="85"/>
      <c r="DD360" s="85"/>
      <c r="DE360" s="85"/>
      <c r="DF360" s="85"/>
      <c r="DG360" s="85"/>
      <c r="DH360" s="85"/>
      <c r="DI360" s="85"/>
      <c r="DJ360" s="85"/>
      <c r="DK360" s="85"/>
      <c r="DL360" s="85"/>
      <c r="DM360" s="85"/>
      <c r="DN360" s="85"/>
      <c r="DO360" s="85"/>
      <c r="DP360" s="85"/>
      <c r="DQ360" s="85"/>
      <c r="DR360" s="85"/>
      <c r="DS360" s="85"/>
      <c r="DT360" s="85"/>
      <c r="DU360" s="85"/>
      <c r="DV360" s="85"/>
      <c r="DW360" s="85"/>
      <c r="DX360" s="85"/>
      <c r="DY360" s="85"/>
      <c r="DZ360" s="85"/>
      <c r="EA360" s="85"/>
      <c r="EB360" s="85"/>
      <c r="EC360" s="85"/>
      <c r="ED360" s="85"/>
      <c r="EE360" s="85"/>
      <c r="EF360" s="85"/>
      <c r="EG360" s="85"/>
      <c r="EH360" s="85"/>
      <c r="EI360" s="85"/>
      <c r="EJ360" s="85"/>
      <c r="EK360" s="85"/>
      <c r="EL360" s="85"/>
      <c r="EM360" s="85"/>
      <c r="EN360" s="85"/>
      <c r="EO360" s="85"/>
      <c r="EP360" s="85"/>
      <c r="EQ360" s="85"/>
      <c r="ER360" s="85"/>
      <c r="ES360" s="85"/>
      <c r="ET360" s="85"/>
      <c r="EU360" s="85"/>
      <c r="EV360" s="85"/>
      <c r="EW360" s="85"/>
      <c r="EX360" s="85"/>
      <c r="EY360" s="85"/>
      <c r="EZ360" s="85"/>
      <c r="FA360" s="85"/>
      <c r="FB360" s="85"/>
      <c r="FC360" s="85"/>
      <c r="FD360" s="85"/>
      <c r="FE360" s="85"/>
      <c r="FF360" s="85"/>
      <c r="FG360" s="85"/>
      <c r="FH360" s="85"/>
      <c r="FI360" s="85"/>
      <c r="FJ360" s="85"/>
      <c r="FK360" s="85"/>
      <c r="FL360" s="85"/>
      <c r="FM360" s="85"/>
      <c r="FN360" s="85"/>
      <c r="FO360" s="85"/>
      <c r="FP360" s="85"/>
      <c r="FQ360" s="85"/>
      <c r="FR360" s="85"/>
      <c r="FS360" s="85"/>
      <c r="FT360" s="85"/>
      <c r="FU360" s="85"/>
      <c r="FV360" s="85"/>
      <c r="FW360" s="85"/>
      <c r="FX360" s="85"/>
      <c r="FY360" s="85"/>
      <c r="FZ360" s="85"/>
      <c r="GA360" s="85"/>
      <c r="GB360" s="85"/>
      <c r="GC360" s="85"/>
      <c r="GD360" s="85"/>
      <c r="GE360" s="85"/>
      <c r="GF360" s="85"/>
      <c r="GG360" s="85"/>
      <c r="GH360" s="85"/>
      <c r="GI360" s="85"/>
      <c r="GJ360" s="85"/>
      <c r="GK360" s="85"/>
      <c r="GL360" s="85"/>
      <c r="GM360" s="85"/>
      <c r="GN360" s="85"/>
      <c r="GO360" s="85"/>
      <c r="GP360" s="85"/>
      <c r="GQ360" s="85"/>
      <c r="GR360" s="85"/>
      <c r="GS360" s="85"/>
      <c r="GT360" s="85"/>
      <c r="GU360" s="85"/>
      <c r="GV360" s="85"/>
      <c r="GW360" s="85"/>
      <c r="GX360" s="85"/>
      <c r="GY360" s="85"/>
      <c r="GZ360" s="85"/>
      <c r="HA360" s="85"/>
      <c r="HB360" s="85"/>
      <c r="HC360" s="85"/>
      <c r="HD360" s="85"/>
      <c r="HE360" s="85"/>
      <c r="HF360" s="85"/>
      <c r="HG360" s="85"/>
      <c r="HH360" s="85"/>
      <c r="HI360" s="85"/>
      <c r="HJ360" s="85"/>
      <c r="HK360" s="85"/>
      <c r="HL360" s="85"/>
      <c r="HM360" s="85"/>
      <c r="HN360" s="85"/>
      <c r="HO360" s="85"/>
      <c r="HP360" s="85"/>
      <c r="HQ360" s="85"/>
      <c r="HR360" s="85"/>
      <c r="HS360" s="85"/>
      <c r="HT360" s="85"/>
      <c r="HU360" s="85"/>
      <c r="HV360" s="85"/>
      <c r="HW360" s="85"/>
      <c r="HX360" s="85"/>
      <c r="HY360" s="85"/>
      <c r="HZ360" s="85"/>
      <c r="IA360" s="85"/>
      <c r="IB360" s="85"/>
      <c r="IC360" s="85"/>
      <c r="ID360" s="85"/>
      <c r="IE360" s="85"/>
      <c r="IF360" s="85"/>
      <c r="IG360" s="85"/>
      <c r="IH360" s="85"/>
      <c r="II360" s="85"/>
      <c r="IJ360" s="85"/>
      <c r="IK360" s="85"/>
      <c r="IL360" s="85"/>
      <c r="IM360" s="85"/>
      <c r="IN360" s="85"/>
      <c r="IO360" s="85"/>
      <c r="IP360" s="85"/>
      <c r="IQ360" s="85"/>
      <c r="IR360" s="85"/>
      <c r="IS360" s="85"/>
      <c r="IT360" s="85"/>
      <c r="IU360" s="85"/>
      <c r="IV360" s="85"/>
      <c r="IW360" s="85"/>
      <c r="IX360" s="85"/>
      <c r="IY360" s="85"/>
      <c r="IZ360" s="85"/>
      <c r="JA360" s="85"/>
      <c r="JB360" s="85"/>
      <c r="JC360" s="85"/>
      <c r="JD360" s="85"/>
      <c r="JE360" s="85"/>
      <c r="JF360" s="85"/>
      <c r="JG360" s="85"/>
      <c r="JH360" s="85"/>
      <c r="JI360" s="85"/>
      <c r="JJ360" s="85"/>
      <c r="JK360" s="85"/>
      <c r="JL360" s="85"/>
      <c r="JM360" s="85"/>
      <c r="JN360" s="85"/>
      <c r="JO360" s="85"/>
      <c r="JP360" s="85"/>
      <c r="JQ360" s="85"/>
      <c r="JR360" s="85"/>
      <c r="JS360" s="85"/>
      <c r="JT360" s="85"/>
      <c r="JU360" s="85"/>
      <c r="JV360" s="85"/>
      <c r="JW360" s="85"/>
      <c r="JX360" s="85"/>
      <c r="JY360" s="85"/>
      <c r="JZ360" s="85"/>
      <c r="KA360" s="85"/>
      <c r="KB360" s="85"/>
      <c r="KC360" s="85"/>
      <c r="KD360" s="85"/>
      <c r="KE360" s="85"/>
      <c r="KF360" s="85"/>
      <c r="KG360" s="85"/>
      <c r="KH360" s="85"/>
      <c r="KI360" s="85"/>
      <c r="KJ360" s="85"/>
      <c r="KK360" s="85"/>
      <c r="KL360" s="85"/>
      <c r="KM360" s="85"/>
      <c r="KN360" s="85"/>
      <c r="KO360" s="85"/>
      <c r="KP360" s="85"/>
      <c r="KQ360" s="85"/>
      <c r="KR360" s="85"/>
      <c r="KS360" s="85"/>
      <c r="KT360" s="85"/>
      <c r="KU360" s="85"/>
      <c r="KV360" s="85"/>
      <c r="KW360" s="85"/>
      <c r="KX360" s="85"/>
      <c r="KY360" s="85"/>
      <c r="KZ360" s="85"/>
      <c r="LA360" s="85"/>
      <c r="LB360" s="85"/>
      <c r="LC360" s="85"/>
      <c r="LD360" s="85"/>
      <c r="LE360" s="85"/>
      <c r="LF360" s="85"/>
      <c r="LG360" s="85"/>
      <c r="LH360" s="85"/>
      <c r="LI360" s="85"/>
      <c r="LJ360" s="85"/>
      <c r="LK360" s="85"/>
      <c r="LL360" s="85"/>
      <c r="LM360" s="85"/>
      <c r="LN360" s="85"/>
      <c r="LO360" s="85"/>
      <c r="LP360" s="85"/>
      <c r="LQ360" s="85"/>
      <c r="LR360" s="85"/>
      <c r="LS360" s="85"/>
      <c r="LT360" s="85"/>
      <c r="LU360" s="85"/>
      <c r="LV360" s="85"/>
      <c r="LW360" s="85"/>
      <c r="LX360" s="85"/>
      <c r="LY360" s="85"/>
      <c r="LZ360" s="85"/>
      <c r="MA360" s="85"/>
      <c r="MB360" s="85"/>
      <c r="MC360" s="85"/>
      <c r="MD360" s="85"/>
      <c r="ME360" s="85"/>
      <c r="MF360" s="85"/>
      <c r="MG360" s="85"/>
      <c r="MH360" s="85"/>
      <c r="MI360" s="85"/>
      <c r="MJ360" s="85"/>
      <c r="MK360" s="85"/>
      <c r="ML360" s="85"/>
      <c r="MM360" s="85"/>
      <c r="MN360" s="85"/>
      <c r="MO360" s="85"/>
      <c r="MP360" s="85"/>
      <c r="MQ360" s="85"/>
      <c r="MR360" s="85"/>
      <c r="MS360" s="85"/>
      <c r="MT360" s="85"/>
      <c r="MU360" s="85"/>
      <c r="MV360" s="85"/>
      <c r="MW360" s="85"/>
      <c r="MX360" s="85"/>
      <c r="MY360" s="85"/>
      <c r="MZ360" s="85"/>
      <c r="NA360" s="85"/>
      <c r="NB360" s="85"/>
      <c r="NC360" s="85"/>
      <c r="ND360" s="85"/>
      <c r="NE360" s="85"/>
      <c r="NF360" s="85"/>
      <c r="NG360" s="85"/>
      <c r="NH360" s="85"/>
      <c r="NI360" s="85"/>
      <c r="NJ360" s="85"/>
      <c r="NK360" s="85"/>
      <c r="NL360" s="85"/>
      <c r="NM360" s="85"/>
      <c r="NN360" s="85"/>
      <c r="NO360" s="85"/>
      <c r="NP360" s="85"/>
      <c r="NQ360" s="85"/>
      <c r="NR360" s="85"/>
      <c r="NS360" s="85"/>
      <c r="NT360" s="85"/>
      <c r="NU360" s="85"/>
      <c r="NV360" s="85"/>
      <c r="NW360" s="85"/>
      <c r="NX360" s="85"/>
      <c r="NY360" s="85"/>
      <c r="NZ360" s="85"/>
      <c r="OA360" s="85"/>
      <c r="OB360" s="85"/>
      <c r="OC360" s="85"/>
      <c r="OD360" s="85"/>
      <c r="OE360" s="85"/>
      <c r="OF360" s="85"/>
      <c r="OG360" s="85"/>
      <c r="OH360" s="85"/>
      <c r="OI360" s="85"/>
      <c r="OJ360" s="85"/>
      <c r="OK360" s="85"/>
      <c r="OL360" s="85"/>
      <c r="OM360" s="85"/>
      <c r="ON360" s="85"/>
      <c r="OO360" s="85"/>
      <c r="OP360" s="85"/>
      <c r="OQ360" s="85"/>
      <c r="OR360" s="85"/>
      <c r="OS360" s="85"/>
      <c r="OT360" s="85"/>
      <c r="OU360" s="85"/>
      <c r="OV360" s="85"/>
      <c r="OW360" s="85"/>
      <c r="OX360" s="85"/>
      <c r="OY360" s="85"/>
      <c r="OZ360" s="85"/>
      <c r="PA360" s="85"/>
      <c r="PB360" s="85"/>
      <c r="PC360" s="85"/>
      <c r="PD360" s="85"/>
      <c r="PE360" s="85"/>
      <c r="PF360" s="85"/>
      <c r="PG360" s="85"/>
      <c r="PH360" s="85"/>
      <c r="PI360" s="85"/>
      <c r="PJ360" s="85"/>
      <c r="PK360" s="85"/>
      <c r="PL360" s="85"/>
      <c r="PM360" s="85"/>
      <c r="PN360" s="85"/>
      <c r="PO360" s="85"/>
      <c r="PP360" s="85"/>
      <c r="PQ360" s="85"/>
      <c r="PR360" s="85"/>
      <c r="PS360" s="85"/>
      <c r="PT360" s="85"/>
      <c r="PU360" s="85"/>
      <c r="PV360" s="85"/>
      <c r="PW360" s="85"/>
      <c r="PX360" s="85"/>
      <c r="PY360" s="85"/>
      <c r="PZ360" s="85"/>
      <c r="QA360" s="85"/>
      <c r="QB360" s="85"/>
      <c r="QC360" s="85"/>
      <c r="QD360" s="85"/>
      <c r="QE360" s="85"/>
      <c r="QF360" s="85"/>
      <c r="QG360" s="85"/>
      <c r="QH360" s="85"/>
      <c r="QI360" s="85"/>
      <c r="QJ360" s="85"/>
      <c r="QK360" s="85"/>
      <c r="QL360" s="85"/>
      <c r="QM360" s="85"/>
      <c r="QN360" s="85"/>
      <c r="QO360" s="85"/>
      <c r="QP360" s="85"/>
      <c r="QQ360" s="85"/>
      <c r="QR360" s="85"/>
      <c r="QS360" s="85"/>
      <c r="QT360" s="85"/>
      <c r="QU360" s="85"/>
      <c r="QV360" s="85"/>
      <c r="QW360" s="85"/>
      <c r="QX360" s="85"/>
      <c r="QY360" s="85"/>
      <c r="QZ360" s="85"/>
      <c r="RA360" s="85"/>
      <c r="RB360" s="85"/>
      <c r="RC360" s="85"/>
      <c r="RD360" s="85"/>
      <c r="RE360" s="85"/>
      <c r="RF360" s="85"/>
      <c r="RG360" s="85"/>
      <c r="RH360" s="85"/>
      <c r="RI360" s="85"/>
      <c r="RJ360" s="85"/>
      <c r="RK360" s="85"/>
      <c r="RL360" s="85"/>
      <c r="RM360" s="85"/>
      <c r="RN360" s="85"/>
      <c r="RO360" s="85"/>
      <c r="RP360" s="85"/>
      <c r="RQ360" s="85"/>
      <c r="RR360" s="85"/>
      <c r="RS360" s="85"/>
      <c r="RT360" s="85"/>
      <c r="RU360" s="85"/>
      <c r="RV360" s="85"/>
      <c r="RW360" s="85"/>
      <c r="RX360" s="85"/>
      <c r="RY360" s="85"/>
      <c r="RZ360" s="85"/>
      <c r="SA360" s="85"/>
      <c r="SB360" s="85"/>
      <c r="SC360" s="85"/>
      <c r="SD360" s="85"/>
      <c r="SE360" s="85"/>
      <c r="SF360" s="85"/>
      <c r="SG360" s="85"/>
      <c r="SH360" s="85"/>
      <c r="SI360" s="85"/>
      <c r="SJ360" s="85"/>
      <c r="SK360" s="85"/>
      <c r="SL360" s="85"/>
      <c r="SM360" s="85"/>
      <c r="SN360" s="85"/>
      <c r="SO360" s="85"/>
      <c r="SP360" s="85"/>
      <c r="SQ360" s="85"/>
      <c r="SR360" s="85"/>
      <c r="SS360" s="85"/>
      <c r="ST360" s="85"/>
      <c r="SU360" s="85"/>
      <c r="SV360" s="85"/>
      <c r="SW360" s="85"/>
      <c r="SX360" s="85"/>
      <c r="SY360" s="85"/>
      <c r="SZ360" s="85"/>
      <c r="TA360" s="85"/>
      <c r="TB360" s="85"/>
      <c r="TC360" s="85"/>
      <c r="TD360" s="85"/>
      <c r="TE360" s="85"/>
      <c r="TF360" s="85"/>
      <c r="TG360" s="85"/>
      <c r="TH360" s="85"/>
      <c r="TI360" s="85"/>
      <c r="TJ360" s="85"/>
      <c r="TK360" s="85"/>
      <c r="TL360" s="85"/>
    </row>
    <row r="361" spans="1:532" s="85" customFormat="1" ht="12.75" customHeight="1">
      <c r="A361" s="144" t="s">
        <v>304</v>
      </c>
      <c r="B361" s="150" t="s">
        <v>305</v>
      </c>
      <c r="C361" s="143"/>
      <c r="D361" s="124">
        <f>+[2]ordinario!C440</f>
        <v>1000000</v>
      </c>
      <c r="E361" s="124">
        <v>3939279</v>
      </c>
      <c r="F361" s="146"/>
      <c r="G361" s="138"/>
      <c r="H361" s="98"/>
      <c r="I361" s="140">
        <f>SUM(I362:I364)</f>
        <v>3939279</v>
      </c>
      <c r="J361" s="140">
        <f>SUM(J362:J364)</f>
        <v>3939279</v>
      </c>
      <c r="K361" s="140">
        <f>SUM(K362:K364)</f>
        <v>0</v>
      </c>
      <c r="L361" s="140">
        <f>SUM(L362:L364)</f>
        <v>0</v>
      </c>
      <c r="M361" s="140">
        <f>SUM(M362:M364)</f>
        <v>0</v>
      </c>
      <c r="N361" s="140">
        <f>SUM(N362:N365)</f>
        <v>0</v>
      </c>
    </row>
    <row r="362" spans="1:532" s="85" customFormat="1" ht="12.75" customHeight="1">
      <c r="A362" s="122"/>
      <c r="B362" s="240"/>
      <c r="C362" s="124"/>
      <c r="D362" s="124"/>
      <c r="E362" s="124"/>
      <c r="F362" s="96" t="s">
        <v>178</v>
      </c>
      <c r="G362" s="97" t="s">
        <v>179</v>
      </c>
      <c r="H362" s="98" t="s">
        <v>77</v>
      </c>
      <c r="I362" s="125">
        <v>393927.9</v>
      </c>
      <c r="J362" s="125">
        <f>+I362</f>
        <v>393927.9</v>
      </c>
      <c r="K362" s="125"/>
      <c r="L362" s="125"/>
      <c r="M362" s="125"/>
      <c r="N362" s="126">
        <f>-I362+E361*0.1</f>
        <v>0</v>
      </c>
    </row>
    <row r="363" spans="1:532" s="85" customFormat="1" ht="12.75" customHeight="1">
      <c r="A363" s="122"/>
      <c r="B363" s="240"/>
      <c r="C363" s="124"/>
      <c r="D363" s="124"/>
      <c r="E363" s="124"/>
      <c r="F363" s="146"/>
      <c r="G363" s="138"/>
      <c r="H363" s="98"/>
      <c r="I363" s="125"/>
      <c r="J363" s="125"/>
      <c r="K363" s="125"/>
      <c r="L363" s="125"/>
      <c r="M363" s="125"/>
      <c r="N363" s="125"/>
    </row>
    <row r="364" spans="1:532" s="85" customFormat="1" ht="12.75" customHeight="1">
      <c r="A364" s="122"/>
      <c r="B364" s="240"/>
      <c r="C364" s="124"/>
      <c r="D364" s="124"/>
      <c r="E364" s="124"/>
      <c r="F364" s="146" t="s">
        <v>186</v>
      </c>
      <c r="G364" s="97" t="s">
        <v>306</v>
      </c>
      <c r="H364" s="98" t="s">
        <v>77</v>
      </c>
      <c r="I364" s="249">
        <f>900000+2645351.1</f>
        <v>3545351.1</v>
      </c>
      <c r="J364" s="125">
        <f>+I364</f>
        <v>3545351.1</v>
      </c>
      <c r="K364" s="125"/>
      <c r="L364" s="125"/>
      <c r="M364" s="125"/>
      <c r="N364" s="125">
        <f>-I364+[2]ordinario!I444+2645351.1</f>
        <v>0</v>
      </c>
    </row>
    <row r="365" spans="1:532" s="85" customFormat="1" ht="12.75" customHeight="1">
      <c r="A365" s="122"/>
      <c r="B365" s="240"/>
      <c r="C365" s="124"/>
      <c r="D365" s="124"/>
      <c r="E365" s="124"/>
      <c r="F365" s="146"/>
      <c r="G365" s="97"/>
      <c r="H365" s="98"/>
      <c r="I365" s="249"/>
      <c r="J365" s="125"/>
      <c r="K365" s="125"/>
      <c r="L365" s="125"/>
      <c r="M365" s="125"/>
      <c r="N365" s="125">
        <v>0</v>
      </c>
    </row>
    <row r="366" spans="1:532" s="135" customFormat="1" ht="12.75" customHeight="1">
      <c r="A366" s="111"/>
      <c r="B366" s="243"/>
      <c r="C366" s="112"/>
      <c r="D366" s="112"/>
      <c r="E366" s="112"/>
      <c r="F366" s="242"/>
      <c r="G366" s="113"/>
      <c r="H366" s="114"/>
      <c r="I366" s="115"/>
      <c r="J366" s="115"/>
      <c r="K366" s="115"/>
      <c r="L366" s="115"/>
      <c r="M366" s="115"/>
      <c r="N366" s="116"/>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c r="BD366" s="85"/>
      <c r="BE366" s="85"/>
      <c r="BF366" s="85"/>
      <c r="BG366" s="85"/>
      <c r="BH366" s="85"/>
      <c r="BI366" s="85"/>
      <c r="BJ366" s="85"/>
      <c r="BK366" s="85"/>
      <c r="BL366" s="85"/>
      <c r="BM366" s="85"/>
      <c r="BN366" s="85"/>
      <c r="BO366" s="85"/>
      <c r="BP366" s="85"/>
      <c r="BQ366" s="85"/>
      <c r="BR366" s="85"/>
      <c r="BS366" s="85"/>
      <c r="BT366" s="85"/>
      <c r="BU366" s="85"/>
      <c r="BV366" s="85"/>
      <c r="BW366" s="85"/>
      <c r="BX366" s="85"/>
      <c r="BY366" s="85"/>
      <c r="BZ366" s="85"/>
      <c r="CA366" s="85"/>
      <c r="CB366" s="85"/>
      <c r="CC366" s="85"/>
      <c r="CD366" s="85"/>
      <c r="CE366" s="85"/>
      <c r="CF366" s="85"/>
      <c r="CG366" s="85"/>
      <c r="CH366" s="85"/>
      <c r="CI366" s="85"/>
      <c r="CJ366" s="85"/>
      <c r="CK366" s="85"/>
      <c r="CL366" s="85"/>
      <c r="CM366" s="85"/>
      <c r="CN366" s="85"/>
      <c r="CO366" s="85"/>
      <c r="CP366" s="85"/>
      <c r="CQ366" s="85"/>
      <c r="CR366" s="85"/>
      <c r="CS366" s="85"/>
      <c r="CT366" s="85"/>
      <c r="CU366" s="85"/>
      <c r="CV366" s="85"/>
      <c r="CW366" s="85"/>
      <c r="CX366" s="85"/>
      <c r="CY366" s="85"/>
      <c r="CZ366" s="85"/>
      <c r="DA366" s="85"/>
      <c r="DB366" s="85"/>
      <c r="DC366" s="85"/>
      <c r="DD366" s="85"/>
      <c r="DE366" s="85"/>
      <c r="DF366" s="85"/>
      <c r="DG366" s="85"/>
      <c r="DH366" s="85"/>
      <c r="DI366" s="85"/>
      <c r="DJ366" s="85"/>
      <c r="DK366" s="85"/>
      <c r="DL366" s="85"/>
      <c r="DM366" s="85"/>
      <c r="DN366" s="85"/>
      <c r="DO366" s="85"/>
      <c r="DP366" s="85"/>
      <c r="DQ366" s="85"/>
      <c r="DR366" s="85"/>
      <c r="DS366" s="85"/>
      <c r="DT366" s="85"/>
      <c r="DU366" s="85"/>
      <c r="DV366" s="85"/>
      <c r="DW366" s="85"/>
      <c r="DX366" s="85"/>
      <c r="DY366" s="85"/>
      <c r="DZ366" s="85"/>
      <c r="EA366" s="85"/>
      <c r="EB366" s="85"/>
      <c r="EC366" s="85"/>
      <c r="ED366" s="85"/>
      <c r="EE366" s="85"/>
      <c r="EF366" s="85"/>
      <c r="EG366" s="85"/>
      <c r="EH366" s="85"/>
      <c r="EI366" s="85"/>
      <c r="EJ366" s="85"/>
      <c r="EK366" s="85"/>
      <c r="EL366" s="85"/>
      <c r="EM366" s="85"/>
      <c r="EN366" s="85"/>
      <c r="EO366" s="85"/>
      <c r="EP366" s="85"/>
      <c r="EQ366" s="85"/>
      <c r="ER366" s="85"/>
      <c r="ES366" s="85"/>
      <c r="ET366" s="85"/>
      <c r="EU366" s="85"/>
      <c r="EV366" s="85"/>
      <c r="EW366" s="85"/>
      <c r="EX366" s="85"/>
      <c r="EY366" s="85"/>
      <c r="EZ366" s="85"/>
      <c r="FA366" s="85"/>
      <c r="FB366" s="85"/>
      <c r="FC366" s="85"/>
      <c r="FD366" s="85"/>
      <c r="FE366" s="85"/>
      <c r="FF366" s="85"/>
      <c r="FG366" s="85"/>
      <c r="FH366" s="85"/>
      <c r="FI366" s="85"/>
      <c r="FJ366" s="85"/>
      <c r="FK366" s="85"/>
      <c r="FL366" s="85"/>
      <c r="FM366" s="85"/>
      <c r="FN366" s="85"/>
      <c r="FO366" s="85"/>
      <c r="FP366" s="85"/>
      <c r="FQ366" s="85"/>
      <c r="FR366" s="85"/>
      <c r="FS366" s="85"/>
      <c r="FT366" s="85"/>
      <c r="FU366" s="85"/>
      <c r="FV366" s="85"/>
      <c r="FW366" s="85"/>
      <c r="FX366" s="85"/>
      <c r="FY366" s="85"/>
      <c r="FZ366" s="85"/>
      <c r="GA366" s="85"/>
      <c r="GB366" s="85"/>
      <c r="GC366" s="85"/>
      <c r="GD366" s="85"/>
      <c r="GE366" s="85"/>
      <c r="GF366" s="85"/>
      <c r="GG366" s="85"/>
      <c r="GH366" s="85"/>
      <c r="GI366" s="85"/>
      <c r="GJ366" s="85"/>
      <c r="GK366" s="85"/>
      <c r="GL366" s="85"/>
      <c r="GM366" s="85"/>
      <c r="GN366" s="85"/>
      <c r="GO366" s="85"/>
      <c r="GP366" s="85"/>
      <c r="GQ366" s="85"/>
      <c r="GR366" s="85"/>
      <c r="GS366" s="85"/>
      <c r="GT366" s="85"/>
      <c r="GU366" s="85"/>
      <c r="GV366" s="85"/>
      <c r="GW366" s="85"/>
      <c r="GX366" s="85"/>
      <c r="GY366" s="85"/>
      <c r="GZ366" s="85"/>
      <c r="HA366" s="85"/>
      <c r="HB366" s="85"/>
      <c r="HC366" s="85"/>
      <c r="HD366" s="85"/>
      <c r="HE366" s="85"/>
      <c r="HF366" s="85"/>
      <c r="HG366" s="85"/>
      <c r="HH366" s="85"/>
      <c r="HI366" s="85"/>
      <c r="HJ366" s="85"/>
      <c r="HK366" s="85"/>
      <c r="HL366" s="85"/>
      <c r="HM366" s="85"/>
      <c r="HN366" s="85"/>
      <c r="HO366" s="85"/>
      <c r="HP366" s="85"/>
      <c r="HQ366" s="85"/>
      <c r="HR366" s="85"/>
      <c r="HS366" s="85"/>
      <c r="HT366" s="85"/>
      <c r="HU366" s="85"/>
      <c r="HV366" s="85"/>
      <c r="HW366" s="85"/>
      <c r="HX366" s="85"/>
      <c r="HY366" s="85"/>
      <c r="HZ366" s="85"/>
      <c r="IA366" s="85"/>
      <c r="IB366" s="85"/>
      <c r="IC366" s="85"/>
      <c r="ID366" s="85"/>
      <c r="IE366" s="85"/>
      <c r="IF366" s="85"/>
      <c r="IG366" s="85"/>
      <c r="IH366" s="85"/>
      <c r="II366" s="85"/>
      <c r="IJ366" s="85"/>
      <c r="IK366" s="85"/>
      <c r="IL366" s="85"/>
      <c r="IM366" s="85"/>
      <c r="IN366" s="85"/>
      <c r="IO366" s="85"/>
      <c r="IP366" s="85"/>
      <c r="IQ366" s="85"/>
      <c r="IR366" s="85"/>
      <c r="IS366" s="85"/>
      <c r="IT366" s="85"/>
      <c r="IU366" s="85"/>
      <c r="IV366" s="85"/>
      <c r="IW366" s="85"/>
      <c r="IX366" s="85"/>
      <c r="IY366" s="85"/>
      <c r="IZ366" s="85"/>
      <c r="JA366" s="85"/>
      <c r="JB366" s="85"/>
      <c r="JC366" s="85"/>
      <c r="JD366" s="85"/>
      <c r="JE366" s="85"/>
      <c r="JF366" s="85"/>
      <c r="JG366" s="85"/>
      <c r="JH366" s="85"/>
      <c r="JI366" s="85"/>
      <c r="JJ366" s="85"/>
      <c r="JK366" s="85"/>
      <c r="JL366" s="85"/>
      <c r="JM366" s="85"/>
      <c r="JN366" s="85"/>
      <c r="JO366" s="85"/>
      <c r="JP366" s="85"/>
      <c r="JQ366" s="85"/>
      <c r="JR366" s="85"/>
      <c r="JS366" s="85"/>
      <c r="JT366" s="85"/>
      <c r="JU366" s="85"/>
      <c r="JV366" s="85"/>
      <c r="JW366" s="85"/>
      <c r="JX366" s="85"/>
      <c r="JY366" s="85"/>
      <c r="JZ366" s="85"/>
      <c r="KA366" s="85"/>
      <c r="KB366" s="85"/>
      <c r="KC366" s="85"/>
      <c r="KD366" s="85"/>
      <c r="KE366" s="85"/>
      <c r="KF366" s="85"/>
      <c r="KG366" s="85"/>
      <c r="KH366" s="85"/>
      <c r="KI366" s="85"/>
      <c r="KJ366" s="85"/>
      <c r="KK366" s="85"/>
      <c r="KL366" s="85"/>
      <c r="KM366" s="85"/>
      <c r="KN366" s="85"/>
      <c r="KO366" s="85"/>
      <c r="KP366" s="85"/>
      <c r="KQ366" s="85"/>
      <c r="KR366" s="85"/>
      <c r="KS366" s="85"/>
      <c r="KT366" s="85"/>
      <c r="KU366" s="85"/>
      <c r="KV366" s="85"/>
      <c r="KW366" s="85"/>
      <c r="KX366" s="85"/>
      <c r="KY366" s="85"/>
      <c r="KZ366" s="85"/>
      <c r="LA366" s="85"/>
      <c r="LB366" s="85"/>
      <c r="LC366" s="85"/>
      <c r="LD366" s="85"/>
      <c r="LE366" s="85"/>
      <c r="LF366" s="85"/>
      <c r="LG366" s="85"/>
      <c r="LH366" s="85"/>
      <c r="LI366" s="85"/>
      <c r="LJ366" s="85"/>
      <c r="LK366" s="85"/>
      <c r="LL366" s="85"/>
      <c r="LM366" s="85"/>
      <c r="LN366" s="85"/>
      <c r="LO366" s="85"/>
      <c r="LP366" s="85"/>
      <c r="LQ366" s="85"/>
      <c r="LR366" s="85"/>
      <c r="LS366" s="85"/>
      <c r="LT366" s="85"/>
      <c r="LU366" s="85"/>
      <c r="LV366" s="85"/>
      <c r="LW366" s="85"/>
      <c r="LX366" s="85"/>
      <c r="LY366" s="85"/>
      <c r="LZ366" s="85"/>
      <c r="MA366" s="85"/>
      <c r="MB366" s="85"/>
      <c r="MC366" s="85"/>
      <c r="MD366" s="85"/>
      <c r="ME366" s="85"/>
      <c r="MF366" s="85"/>
      <c r="MG366" s="85"/>
      <c r="MH366" s="85"/>
      <c r="MI366" s="85"/>
      <c r="MJ366" s="85"/>
      <c r="MK366" s="85"/>
      <c r="ML366" s="85"/>
      <c r="MM366" s="85"/>
      <c r="MN366" s="85"/>
      <c r="MO366" s="85"/>
      <c r="MP366" s="85"/>
      <c r="MQ366" s="85"/>
      <c r="MR366" s="85"/>
      <c r="MS366" s="85"/>
      <c r="MT366" s="85"/>
      <c r="MU366" s="85"/>
      <c r="MV366" s="85"/>
      <c r="MW366" s="85"/>
      <c r="MX366" s="85"/>
      <c r="MY366" s="85"/>
      <c r="MZ366" s="85"/>
      <c r="NA366" s="85"/>
      <c r="NB366" s="85"/>
      <c r="NC366" s="85"/>
      <c r="ND366" s="85"/>
      <c r="NE366" s="85"/>
      <c r="NF366" s="85"/>
      <c r="NG366" s="85"/>
      <c r="NH366" s="85"/>
      <c r="NI366" s="85"/>
      <c r="NJ366" s="85"/>
      <c r="NK366" s="85"/>
      <c r="NL366" s="85"/>
      <c r="NM366" s="85"/>
      <c r="NN366" s="85"/>
      <c r="NO366" s="85"/>
      <c r="NP366" s="85"/>
      <c r="NQ366" s="85"/>
      <c r="NR366" s="85"/>
      <c r="NS366" s="85"/>
      <c r="NT366" s="85"/>
      <c r="NU366" s="85"/>
      <c r="NV366" s="85"/>
      <c r="NW366" s="85"/>
      <c r="NX366" s="85"/>
      <c r="NY366" s="85"/>
      <c r="NZ366" s="85"/>
      <c r="OA366" s="85"/>
      <c r="OB366" s="85"/>
      <c r="OC366" s="85"/>
      <c r="OD366" s="85"/>
      <c r="OE366" s="85"/>
      <c r="OF366" s="85"/>
      <c r="OG366" s="85"/>
      <c r="OH366" s="85"/>
      <c r="OI366" s="85"/>
      <c r="OJ366" s="85"/>
      <c r="OK366" s="85"/>
      <c r="OL366" s="85"/>
      <c r="OM366" s="85"/>
      <c r="ON366" s="85"/>
      <c r="OO366" s="85"/>
      <c r="OP366" s="85"/>
      <c r="OQ366" s="85"/>
      <c r="OR366" s="85"/>
      <c r="OS366" s="85"/>
      <c r="OT366" s="85"/>
      <c r="OU366" s="85"/>
      <c r="OV366" s="85"/>
      <c r="OW366" s="85"/>
      <c r="OX366" s="85"/>
      <c r="OY366" s="85"/>
      <c r="OZ366" s="85"/>
      <c r="PA366" s="85"/>
      <c r="PB366" s="85"/>
      <c r="PC366" s="85"/>
      <c r="PD366" s="85"/>
      <c r="PE366" s="85"/>
      <c r="PF366" s="85"/>
      <c r="PG366" s="85"/>
      <c r="PH366" s="85"/>
      <c r="PI366" s="85"/>
      <c r="PJ366" s="85"/>
      <c r="PK366" s="85"/>
      <c r="PL366" s="85"/>
      <c r="PM366" s="85"/>
      <c r="PN366" s="85"/>
      <c r="PO366" s="85"/>
      <c r="PP366" s="85"/>
      <c r="PQ366" s="85"/>
      <c r="PR366" s="85"/>
      <c r="PS366" s="85"/>
      <c r="PT366" s="85"/>
      <c r="PU366" s="85"/>
      <c r="PV366" s="85"/>
      <c r="PW366" s="85"/>
      <c r="PX366" s="85"/>
      <c r="PY366" s="85"/>
      <c r="PZ366" s="85"/>
      <c r="QA366" s="85"/>
      <c r="QB366" s="85"/>
      <c r="QC366" s="85"/>
      <c r="QD366" s="85"/>
      <c r="QE366" s="85"/>
      <c r="QF366" s="85"/>
      <c r="QG366" s="85"/>
      <c r="QH366" s="85"/>
      <c r="QI366" s="85"/>
      <c r="QJ366" s="85"/>
      <c r="QK366" s="85"/>
      <c r="QL366" s="85"/>
      <c r="QM366" s="85"/>
      <c r="QN366" s="85"/>
      <c r="QO366" s="85"/>
      <c r="QP366" s="85"/>
      <c r="QQ366" s="85"/>
      <c r="QR366" s="85"/>
      <c r="QS366" s="85"/>
      <c r="QT366" s="85"/>
      <c r="QU366" s="85"/>
      <c r="QV366" s="85"/>
      <c r="QW366" s="85"/>
      <c r="QX366" s="85"/>
      <c r="QY366" s="85"/>
      <c r="QZ366" s="85"/>
      <c r="RA366" s="85"/>
      <c r="RB366" s="85"/>
      <c r="RC366" s="85"/>
      <c r="RD366" s="85"/>
      <c r="RE366" s="85"/>
      <c r="RF366" s="85"/>
      <c r="RG366" s="85"/>
      <c r="RH366" s="85"/>
      <c r="RI366" s="85"/>
      <c r="RJ366" s="85"/>
      <c r="RK366" s="85"/>
      <c r="RL366" s="85"/>
      <c r="RM366" s="85"/>
      <c r="RN366" s="85"/>
      <c r="RO366" s="85"/>
      <c r="RP366" s="85"/>
      <c r="RQ366" s="85"/>
      <c r="RR366" s="85"/>
      <c r="RS366" s="85"/>
      <c r="RT366" s="85"/>
      <c r="RU366" s="85"/>
      <c r="RV366" s="85"/>
      <c r="RW366" s="85"/>
      <c r="RX366" s="85"/>
      <c r="RY366" s="85"/>
      <c r="RZ366" s="85"/>
      <c r="SA366" s="85"/>
      <c r="SB366" s="85"/>
      <c r="SC366" s="85"/>
      <c r="SD366" s="85"/>
      <c r="SE366" s="85"/>
      <c r="SF366" s="85"/>
      <c r="SG366" s="85"/>
      <c r="SH366" s="85"/>
      <c r="SI366" s="85"/>
      <c r="SJ366" s="85"/>
      <c r="SK366" s="85"/>
      <c r="SL366" s="85"/>
      <c r="SM366" s="85"/>
      <c r="SN366" s="85"/>
      <c r="SO366" s="85"/>
      <c r="SP366" s="85"/>
      <c r="SQ366" s="85"/>
      <c r="SR366" s="85"/>
      <c r="SS366" s="85"/>
      <c r="ST366" s="85"/>
      <c r="SU366" s="85"/>
      <c r="SV366" s="85"/>
      <c r="SW366" s="85"/>
      <c r="SX366" s="85"/>
      <c r="SY366" s="85"/>
      <c r="SZ366" s="85"/>
      <c r="TA366" s="85"/>
      <c r="TB366" s="85"/>
      <c r="TC366" s="85"/>
      <c r="TD366" s="85"/>
      <c r="TE366" s="85"/>
      <c r="TF366" s="85"/>
      <c r="TG366" s="85"/>
      <c r="TH366" s="85"/>
      <c r="TI366" s="85"/>
      <c r="TJ366" s="85"/>
      <c r="TK366" s="85"/>
      <c r="TL366" s="85"/>
    </row>
    <row r="367" spans="1:532" s="85" customFormat="1" ht="12.75" customHeight="1">
      <c r="A367" s="151" t="s">
        <v>307</v>
      </c>
      <c r="B367" s="152" t="s">
        <v>308</v>
      </c>
      <c r="C367" s="124"/>
      <c r="D367" s="124"/>
      <c r="E367" s="124"/>
      <c r="F367" s="146"/>
      <c r="G367" s="138"/>
      <c r="H367" s="98"/>
      <c r="I367" s="140">
        <f t="shared" ref="I367:N367" si="17">SUM(I368:I369)</f>
        <v>0</v>
      </c>
      <c r="J367" s="140">
        <f t="shared" si="17"/>
        <v>0</v>
      </c>
      <c r="K367" s="140">
        <f t="shared" si="17"/>
        <v>0</v>
      </c>
      <c r="L367" s="140">
        <f t="shared" si="17"/>
        <v>0</v>
      </c>
      <c r="M367" s="140">
        <f t="shared" si="17"/>
        <v>0</v>
      </c>
      <c r="N367" s="140">
        <f t="shared" si="17"/>
        <v>0</v>
      </c>
    </row>
    <row r="368" spans="1:532" s="85" customFormat="1" ht="12.75" customHeight="1">
      <c r="A368" s="122"/>
      <c r="B368" s="240"/>
      <c r="C368" s="124"/>
      <c r="D368" s="124"/>
      <c r="E368" s="124"/>
      <c r="F368" s="96" t="s">
        <v>178</v>
      </c>
      <c r="G368" s="97" t="s">
        <v>179</v>
      </c>
      <c r="H368" s="98" t="s">
        <v>77</v>
      </c>
      <c r="I368" s="125">
        <v>0</v>
      </c>
      <c r="J368" s="125">
        <v>0</v>
      </c>
      <c r="K368" s="125"/>
      <c r="L368" s="125"/>
      <c r="M368" s="125"/>
      <c r="N368" s="125"/>
    </row>
    <row r="369" spans="1:532" s="85" customFormat="1" ht="12.75" customHeight="1">
      <c r="A369" s="122"/>
      <c r="B369" s="240"/>
      <c r="C369" s="124"/>
      <c r="D369" s="124"/>
      <c r="E369" s="124"/>
      <c r="F369" s="146" t="s">
        <v>277</v>
      </c>
      <c r="G369" s="138"/>
      <c r="H369" s="98"/>
      <c r="I369" s="125"/>
      <c r="J369" s="125"/>
      <c r="K369" s="125"/>
      <c r="L369" s="125"/>
      <c r="M369" s="125"/>
      <c r="N369" s="125">
        <f>+E367-D367</f>
        <v>0</v>
      </c>
    </row>
    <row r="370" spans="1:532" s="135" customFormat="1" ht="12.75" customHeight="1">
      <c r="A370" s="111"/>
      <c r="B370" s="243"/>
      <c r="C370" s="112"/>
      <c r="D370" s="112"/>
      <c r="E370" s="112"/>
      <c r="F370" s="242"/>
      <c r="G370" s="113"/>
      <c r="H370" s="114"/>
      <c r="I370" s="115"/>
      <c r="J370" s="115"/>
      <c r="K370" s="115"/>
      <c r="L370" s="115"/>
      <c r="M370" s="115"/>
      <c r="N370" s="116"/>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c r="BD370" s="85"/>
      <c r="BE370" s="85"/>
      <c r="BF370" s="85"/>
      <c r="BG370" s="85"/>
      <c r="BH370" s="85"/>
      <c r="BI370" s="85"/>
      <c r="BJ370" s="85"/>
      <c r="BK370" s="85"/>
      <c r="BL370" s="85"/>
      <c r="BM370" s="85"/>
      <c r="BN370" s="85"/>
      <c r="BO370" s="85"/>
      <c r="BP370" s="85"/>
      <c r="BQ370" s="85"/>
      <c r="BR370" s="85"/>
      <c r="BS370" s="85"/>
      <c r="BT370" s="85"/>
      <c r="BU370" s="85"/>
      <c r="BV370" s="85"/>
      <c r="BW370" s="85"/>
      <c r="BX370" s="85"/>
      <c r="BY370" s="85"/>
      <c r="BZ370" s="85"/>
      <c r="CA370" s="85"/>
      <c r="CB370" s="85"/>
      <c r="CC370" s="85"/>
      <c r="CD370" s="85"/>
      <c r="CE370" s="85"/>
      <c r="CF370" s="85"/>
      <c r="CG370" s="85"/>
      <c r="CH370" s="85"/>
      <c r="CI370" s="85"/>
      <c r="CJ370" s="85"/>
      <c r="CK370" s="85"/>
      <c r="CL370" s="85"/>
      <c r="CM370" s="85"/>
      <c r="CN370" s="85"/>
      <c r="CO370" s="85"/>
      <c r="CP370" s="85"/>
      <c r="CQ370" s="85"/>
      <c r="CR370" s="85"/>
      <c r="CS370" s="85"/>
      <c r="CT370" s="85"/>
      <c r="CU370" s="85"/>
      <c r="CV370" s="85"/>
      <c r="CW370" s="85"/>
      <c r="CX370" s="85"/>
      <c r="CY370" s="85"/>
      <c r="CZ370" s="85"/>
      <c r="DA370" s="85"/>
      <c r="DB370" s="85"/>
      <c r="DC370" s="85"/>
      <c r="DD370" s="85"/>
      <c r="DE370" s="85"/>
      <c r="DF370" s="85"/>
      <c r="DG370" s="85"/>
      <c r="DH370" s="85"/>
      <c r="DI370" s="85"/>
      <c r="DJ370" s="85"/>
      <c r="DK370" s="85"/>
      <c r="DL370" s="85"/>
      <c r="DM370" s="85"/>
      <c r="DN370" s="85"/>
      <c r="DO370" s="85"/>
      <c r="DP370" s="85"/>
      <c r="DQ370" s="85"/>
      <c r="DR370" s="85"/>
      <c r="DS370" s="85"/>
      <c r="DT370" s="85"/>
      <c r="DU370" s="85"/>
      <c r="DV370" s="85"/>
      <c r="DW370" s="85"/>
      <c r="DX370" s="85"/>
      <c r="DY370" s="85"/>
      <c r="DZ370" s="85"/>
      <c r="EA370" s="85"/>
      <c r="EB370" s="85"/>
      <c r="EC370" s="85"/>
      <c r="ED370" s="85"/>
      <c r="EE370" s="85"/>
      <c r="EF370" s="85"/>
      <c r="EG370" s="85"/>
      <c r="EH370" s="85"/>
      <c r="EI370" s="85"/>
      <c r="EJ370" s="85"/>
      <c r="EK370" s="85"/>
      <c r="EL370" s="85"/>
      <c r="EM370" s="85"/>
      <c r="EN370" s="85"/>
      <c r="EO370" s="85"/>
      <c r="EP370" s="85"/>
      <c r="EQ370" s="85"/>
      <c r="ER370" s="85"/>
      <c r="ES370" s="85"/>
      <c r="ET370" s="85"/>
      <c r="EU370" s="85"/>
      <c r="EV370" s="85"/>
      <c r="EW370" s="85"/>
      <c r="EX370" s="85"/>
      <c r="EY370" s="85"/>
      <c r="EZ370" s="85"/>
      <c r="FA370" s="85"/>
      <c r="FB370" s="85"/>
      <c r="FC370" s="85"/>
      <c r="FD370" s="85"/>
      <c r="FE370" s="85"/>
      <c r="FF370" s="85"/>
      <c r="FG370" s="85"/>
      <c r="FH370" s="85"/>
      <c r="FI370" s="85"/>
      <c r="FJ370" s="85"/>
      <c r="FK370" s="85"/>
      <c r="FL370" s="85"/>
      <c r="FM370" s="85"/>
      <c r="FN370" s="85"/>
      <c r="FO370" s="85"/>
      <c r="FP370" s="85"/>
      <c r="FQ370" s="85"/>
      <c r="FR370" s="85"/>
      <c r="FS370" s="85"/>
      <c r="FT370" s="85"/>
      <c r="FU370" s="85"/>
      <c r="FV370" s="85"/>
      <c r="FW370" s="85"/>
      <c r="FX370" s="85"/>
      <c r="FY370" s="85"/>
      <c r="FZ370" s="85"/>
      <c r="GA370" s="85"/>
      <c r="GB370" s="85"/>
      <c r="GC370" s="85"/>
      <c r="GD370" s="85"/>
      <c r="GE370" s="85"/>
      <c r="GF370" s="85"/>
      <c r="GG370" s="85"/>
      <c r="GH370" s="85"/>
      <c r="GI370" s="85"/>
      <c r="GJ370" s="85"/>
      <c r="GK370" s="85"/>
      <c r="GL370" s="85"/>
      <c r="GM370" s="85"/>
      <c r="GN370" s="85"/>
      <c r="GO370" s="85"/>
      <c r="GP370" s="85"/>
      <c r="GQ370" s="85"/>
      <c r="GR370" s="85"/>
      <c r="GS370" s="85"/>
      <c r="GT370" s="85"/>
      <c r="GU370" s="85"/>
      <c r="GV370" s="85"/>
      <c r="GW370" s="85"/>
      <c r="GX370" s="85"/>
      <c r="GY370" s="85"/>
      <c r="GZ370" s="85"/>
      <c r="HA370" s="85"/>
      <c r="HB370" s="85"/>
      <c r="HC370" s="85"/>
      <c r="HD370" s="85"/>
      <c r="HE370" s="85"/>
      <c r="HF370" s="85"/>
      <c r="HG370" s="85"/>
      <c r="HH370" s="85"/>
      <c r="HI370" s="85"/>
      <c r="HJ370" s="85"/>
      <c r="HK370" s="85"/>
      <c r="HL370" s="85"/>
      <c r="HM370" s="85"/>
      <c r="HN370" s="85"/>
      <c r="HO370" s="85"/>
      <c r="HP370" s="85"/>
      <c r="HQ370" s="85"/>
      <c r="HR370" s="85"/>
      <c r="HS370" s="85"/>
      <c r="HT370" s="85"/>
      <c r="HU370" s="85"/>
      <c r="HV370" s="85"/>
      <c r="HW370" s="85"/>
      <c r="HX370" s="85"/>
      <c r="HY370" s="85"/>
      <c r="HZ370" s="85"/>
      <c r="IA370" s="85"/>
      <c r="IB370" s="85"/>
      <c r="IC370" s="85"/>
      <c r="ID370" s="85"/>
      <c r="IE370" s="85"/>
      <c r="IF370" s="85"/>
      <c r="IG370" s="85"/>
      <c r="IH370" s="85"/>
      <c r="II370" s="85"/>
      <c r="IJ370" s="85"/>
      <c r="IK370" s="85"/>
      <c r="IL370" s="85"/>
      <c r="IM370" s="85"/>
      <c r="IN370" s="85"/>
      <c r="IO370" s="85"/>
      <c r="IP370" s="85"/>
      <c r="IQ370" s="85"/>
      <c r="IR370" s="85"/>
      <c r="IS370" s="85"/>
      <c r="IT370" s="85"/>
      <c r="IU370" s="85"/>
      <c r="IV370" s="85"/>
      <c r="IW370" s="85"/>
      <c r="IX370" s="85"/>
      <c r="IY370" s="85"/>
      <c r="IZ370" s="85"/>
      <c r="JA370" s="85"/>
      <c r="JB370" s="85"/>
      <c r="JC370" s="85"/>
      <c r="JD370" s="85"/>
      <c r="JE370" s="85"/>
      <c r="JF370" s="85"/>
      <c r="JG370" s="85"/>
      <c r="JH370" s="85"/>
      <c r="JI370" s="85"/>
      <c r="JJ370" s="85"/>
      <c r="JK370" s="85"/>
      <c r="JL370" s="85"/>
      <c r="JM370" s="85"/>
      <c r="JN370" s="85"/>
      <c r="JO370" s="85"/>
      <c r="JP370" s="85"/>
      <c r="JQ370" s="85"/>
      <c r="JR370" s="85"/>
      <c r="JS370" s="85"/>
      <c r="JT370" s="85"/>
      <c r="JU370" s="85"/>
      <c r="JV370" s="85"/>
      <c r="JW370" s="85"/>
      <c r="JX370" s="85"/>
      <c r="JY370" s="85"/>
      <c r="JZ370" s="85"/>
      <c r="KA370" s="85"/>
      <c r="KB370" s="85"/>
      <c r="KC370" s="85"/>
      <c r="KD370" s="85"/>
      <c r="KE370" s="85"/>
      <c r="KF370" s="85"/>
      <c r="KG370" s="85"/>
      <c r="KH370" s="85"/>
      <c r="KI370" s="85"/>
      <c r="KJ370" s="85"/>
      <c r="KK370" s="85"/>
      <c r="KL370" s="85"/>
      <c r="KM370" s="85"/>
      <c r="KN370" s="85"/>
      <c r="KO370" s="85"/>
      <c r="KP370" s="85"/>
      <c r="KQ370" s="85"/>
      <c r="KR370" s="85"/>
      <c r="KS370" s="85"/>
      <c r="KT370" s="85"/>
      <c r="KU370" s="85"/>
      <c r="KV370" s="85"/>
      <c r="KW370" s="85"/>
      <c r="KX370" s="85"/>
      <c r="KY370" s="85"/>
      <c r="KZ370" s="85"/>
      <c r="LA370" s="85"/>
      <c r="LB370" s="85"/>
      <c r="LC370" s="85"/>
      <c r="LD370" s="85"/>
      <c r="LE370" s="85"/>
      <c r="LF370" s="85"/>
      <c r="LG370" s="85"/>
      <c r="LH370" s="85"/>
      <c r="LI370" s="85"/>
      <c r="LJ370" s="85"/>
      <c r="LK370" s="85"/>
      <c r="LL370" s="85"/>
      <c r="LM370" s="85"/>
      <c r="LN370" s="85"/>
      <c r="LO370" s="85"/>
      <c r="LP370" s="85"/>
      <c r="LQ370" s="85"/>
      <c r="LR370" s="85"/>
      <c r="LS370" s="85"/>
      <c r="LT370" s="85"/>
      <c r="LU370" s="85"/>
      <c r="LV370" s="85"/>
      <c r="LW370" s="85"/>
      <c r="LX370" s="85"/>
      <c r="LY370" s="85"/>
      <c r="LZ370" s="85"/>
      <c r="MA370" s="85"/>
      <c r="MB370" s="85"/>
      <c r="MC370" s="85"/>
      <c r="MD370" s="85"/>
      <c r="ME370" s="85"/>
      <c r="MF370" s="85"/>
      <c r="MG370" s="85"/>
      <c r="MH370" s="85"/>
      <c r="MI370" s="85"/>
      <c r="MJ370" s="85"/>
      <c r="MK370" s="85"/>
      <c r="ML370" s="85"/>
      <c r="MM370" s="85"/>
      <c r="MN370" s="85"/>
      <c r="MO370" s="85"/>
      <c r="MP370" s="85"/>
      <c r="MQ370" s="85"/>
      <c r="MR370" s="85"/>
      <c r="MS370" s="85"/>
      <c r="MT370" s="85"/>
      <c r="MU370" s="85"/>
      <c r="MV370" s="85"/>
      <c r="MW370" s="85"/>
      <c r="MX370" s="85"/>
      <c r="MY370" s="85"/>
      <c r="MZ370" s="85"/>
      <c r="NA370" s="85"/>
      <c r="NB370" s="85"/>
      <c r="NC370" s="85"/>
      <c r="ND370" s="85"/>
      <c r="NE370" s="85"/>
      <c r="NF370" s="85"/>
      <c r="NG370" s="85"/>
      <c r="NH370" s="85"/>
      <c r="NI370" s="85"/>
      <c r="NJ370" s="85"/>
      <c r="NK370" s="85"/>
      <c r="NL370" s="85"/>
      <c r="NM370" s="85"/>
      <c r="NN370" s="85"/>
      <c r="NO370" s="85"/>
      <c r="NP370" s="85"/>
      <c r="NQ370" s="85"/>
      <c r="NR370" s="85"/>
      <c r="NS370" s="85"/>
      <c r="NT370" s="85"/>
      <c r="NU370" s="85"/>
      <c r="NV370" s="85"/>
      <c r="NW370" s="85"/>
      <c r="NX370" s="85"/>
      <c r="NY370" s="85"/>
      <c r="NZ370" s="85"/>
      <c r="OA370" s="85"/>
      <c r="OB370" s="85"/>
      <c r="OC370" s="85"/>
      <c r="OD370" s="85"/>
      <c r="OE370" s="85"/>
      <c r="OF370" s="85"/>
      <c r="OG370" s="85"/>
      <c r="OH370" s="85"/>
      <c r="OI370" s="85"/>
      <c r="OJ370" s="85"/>
      <c r="OK370" s="85"/>
      <c r="OL370" s="85"/>
      <c r="OM370" s="85"/>
      <c r="ON370" s="85"/>
      <c r="OO370" s="85"/>
      <c r="OP370" s="85"/>
      <c r="OQ370" s="85"/>
      <c r="OR370" s="85"/>
      <c r="OS370" s="85"/>
      <c r="OT370" s="85"/>
      <c r="OU370" s="85"/>
      <c r="OV370" s="85"/>
      <c r="OW370" s="85"/>
      <c r="OX370" s="85"/>
      <c r="OY370" s="85"/>
      <c r="OZ370" s="85"/>
      <c r="PA370" s="85"/>
      <c r="PB370" s="85"/>
      <c r="PC370" s="85"/>
      <c r="PD370" s="85"/>
      <c r="PE370" s="85"/>
      <c r="PF370" s="85"/>
      <c r="PG370" s="85"/>
      <c r="PH370" s="85"/>
      <c r="PI370" s="85"/>
      <c r="PJ370" s="85"/>
      <c r="PK370" s="85"/>
      <c r="PL370" s="85"/>
      <c r="PM370" s="85"/>
      <c r="PN370" s="85"/>
      <c r="PO370" s="85"/>
      <c r="PP370" s="85"/>
      <c r="PQ370" s="85"/>
      <c r="PR370" s="85"/>
      <c r="PS370" s="85"/>
      <c r="PT370" s="85"/>
      <c r="PU370" s="85"/>
      <c r="PV370" s="85"/>
      <c r="PW370" s="85"/>
      <c r="PX370" s="85"/>
      <c r="PY370" s="85"/>
      <c r="PZ370" s="85"/>
      <c r="QA370" s="85"/>
      <c r="QB370" s="85"/>
      <c r="QC370" s="85"/>
      <c r="QD370" s="85"/>
      <c r="QE370" s="85"/>
      <c r="QF370" s="85"/>
      <c r="QG370" s="85"/>
      <c r="QH370" s="85"/>
      <c r="QI370" s="85"/>
      <c r="QJ370" s="85"/>
      <c r="QK370" s="85"/>
      <c r="QL370" s="85"/>
      <c r="QM370" s="85"/>
      <c r="QN370" s="85"/>
      <c r="QO370" s="85"/>
      <c r="QP370" s="85"/>
      <c r="QQ370" s="85"/>
      <c r="QR370" s="85"/>
      <c r="QS370" s="85"/>
      <c r="QT370" s="85"/>
      <c r="QU370" s="85"/>
      <c r="QV370" s="85"/>
      <c r="QW370" s="85"/>
      <c r="QX370" s="85"/>
      <c r="QY370" s="85"/>
      <c r="QZ370" s="85"/>
      <c r="RA370" s="85"/>
      <c r="RB370" s="85"/>
      <c r="RC370" s="85"/>
      <c r="RD370" s="85"/>
      <c r="RE370" s="85"/>
      <c r="RF370" s="85"/>
      <c r="RG370" s="85"/>
      <c r="RH370" s="85"/>
      <c r="RI370" s="85"/>
      <c r="RJ370" s="85"/>
      <c r="RK370" s="85"/>
      <c r="RL370" s="85"/>
      <c r="RM370" s="85"/>
      <c r="RN370" s="85"/>
      <c r="RO370" s="85"/>
      <c r="RP370" s="85"/>
      <c r="RQ370" s="85"/>
      <c r="RR370" s="85"/>
      <c r="RS370" s="85"/>
      <c r="RT370" s="85"/>
      <c r="RU370" s="85"/>
      <c r="RV370" s="85"/>
      <c r="RW370" s="85"/>
      <c r="RX370" s="85"/>
      <c r="RY370" s="85"/>
      <c r="RZ370" s="85"/>
      <c r="SA370" s="85"/>
      <c r="SB370" s="85"/>
      <c r="SC370" s="85"/>
      <c r="SD370" s="85"/>
      <c r="SE370" s="85"/>
      <c r="SF370" s="85"/>
      <c r="SG370" s="85"/>
      <c r="SH370" s="85"/>
      <c r="SI370" s="85"/>
      <c r="SJ370" s="85"/>
      <c r="SK370" s="85"/>
      <c r="SL370" s="85"/>
      <c r="SM370" s="85"/>
      <c r="SN370" s="85"/>
      <c r="SO370" s="85"/>
      <c r="SP370" s="85"/>
      <c r="SQ370" s="85"/>
      <c r="SR370" s="85"/>
      <c r="SS370" s="85"/>
      <c r="ST370" s="85"/>
      <c r="SU370" s="85"/>
      <c r="SV370" s="85"/>
      <c r="SW370" s="85"/>
      <c r="SX370" s="85"/>
      <c r="SY370" s="85"/>
      <c r="SZ370" s="85"/>
      <c r="TA370" s="85"/>
      <c r="TB370" s="85"/>
      <c r="TC370" s="85"/>
      <c r="TD370" s="85"/>
      <c r="TE370" s="85"/>
      <c r="TF370" s="85"/>
      <c r="TG370" s="85"/>
      <c r="TH370" s="85"/>
      <c r="TI370" s="85"/>
      <c r="TJ370" s="85"/>
      <c r="TK370" s="85"/>
      <c r="TL370" s="85"/>
    </row>
    <row r="371" spans="1:532" s="85" customFormat="1" ht="12.75" customHeight="1">
      <c r="A371" s="128" t="s">
        <v>307</v>
      </c>
      <c r="B371" s="129" t="s">
        <v>309</v>
      </c>
      <c r="C371" s="95"/>
      <c r="D371" s="95">
        <f>+[2]ordinario!C454</f>
        <v>15000000</v>
      </c>
      <c r="E371" s="95">
        <v>3500710.7</v>
      </c>
      <c r="F371" s="256"/>
      <c r="G371" s="107"/>
      <c r="H371" s="105"/>
      <c r="I371" s="94">
        <f t="shared" ref="I371:N371" si="18">SUM(I372:I373)</f>
        <v>3500710.7</v>
      </c>
      <c r="J371" s="94">
        <f t="shared" si="18"/>
        <v>3500710.7</v>
      </c>
      <c r="K371" s="94">
        <f t="shared" si="18"/>
        <v>0</v>
      </c>
      <c r="L371" s="94">
        <f t="shared" si="18"/>
        <v>0</v>
      </c>
      <c r="M371" s="94">
        <f t="shared" si="18"/>
        <v>0</v>
      </c>
      <c r="N371" s="94">
        <f t="shared" si="18"/>
        <v>0</v>
      </c>
    </row>
    <row r="372" spans="1:532" s="85" customFormat="1" ht="12.75" customHeight="1">
      <c r="A372" s="106"/>
      <c r="B372" s="257"/>
      <c r="C372" s="95"/>
      <c r="D372" s="95"/>
      <c r="E372" s="95"/>
      <c r="F372" s="153" t="s">
        <v>178</v>
      </c>
      <c r="G372" s="110" t="s">
        <v>179</v>
      </c>
      <c r="H372" s="105" t="s">
        <v>77</v>
      </c>
      <c r="I372" s="99">
        <v>3500710.7</v>
      </c>
      <c r="J372" s="99">
        <f>+I372</f>
        <v>3500710.7</v>
      </c>
      <c r="K372" s="99"/>
      <c r="L372" s="99"/>
      <c r="M372" s="99"/>
      <c r="N372" s="99">
        <f>-I372+[2]ordinario!I457-11499289.3</f>
        <v>0</v>
      </c>
    </row>
    <row r="373" spans="1:532" s="85" customFormat="1" ht="12.75" customHeight="1">
      <c r="A373" s="106"/>
      <c r="B373" s="257"/>
      <c r="C373" s="95"/>
      <c r="D373" s="95"/>
      <c r="E373" s="95"/>
      <c r="F373" s="256" t="s">
        <v>277</v>
      </c>
      <c r="G373" s="107"/>
      <c r="H373" s="105"/>
      <c r="I373" s="99"/>
      <c r="J373" s="99"/>
      <c r="K373" s="99"/>
      <c r="L373" s="99"/>
      <c r="M373" s="99"/>
      <c r="N373" s="99"/>
    </row>
    <row r="374" spans="1:532" s="135" customFormat="1" ht="12.75" customHeight="1">
      <c r="A374" s="111"/>
      <c r="B374" s="243"/>
      <c r="C374" s="112"/>
      <c r="D374" s="112"/>
      <c r="E374" s="112"/>
      <c r="F374" s="242"/>
      <c r="G374" s="113"/>
      <c r="H374" s="114"/>
      <c r="I374" s="115"/>
      <c r="J374" s="115"/>
      <c r="K374" s="115"/>
      <c r="L374" s="115"/>
      <c r="M374" s="115"/>
      <c r="N374" s="116"/>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c r="AP374" s="85"/>
      <c r="AQ374" s="85"/>
      <c r="AR374" s="85"/>
      <c r="AS374" s="85"/>
      <c r="AT374" s="85"/>
      <c r="AU374" s="85"/>
      <c r="AV374" s="85"/>
      <c r="AW374" s="85"/>
      <c r="AX374" s="85"/>
      <c r="AY374" s="85"/>
      <c r="AZ374" s="85"/>
      <c r="BA374" s="85"/>
      <c r="BB374" s="85"/>
      <c r="BC374" s="85"/>
      <c r="BD374" s="85"/>
      <c r="BE374" s="85"/>
      <c r="BF374" s="85"/>
      <c r="BG374" s="85"/>
      <c r="BH374" s="85"/>
      <c r="BI374" s="85"/>
      <c r="BJ374" s="85"/>
      <c r="BK374" s="85"/>
      <c r="BL374" s="85"/>
      <c r="BM374" s="85"/>
      <c r="BN374" s="85"/>
      <c r="BO374" s="85"/>
      <c r="BP374" s="85"/>
      <c r="BQ374" s="85"/>
      <c r="BR374" s="85"/>
      <c r="BS374" s="85"/>
      <c r="BT374" s="85"/>
      <c r="BU374" s="85"/>
      <c r="BV374" s="85"/>
      <c r="BW374" s="85"/>
      <c r="BX374" s="85"/>
      <c r="BY374" s="85"/>
      <c r="BZ374" s="85"/>
      <c r="CA374" s="85"/>
      <c r="CB374" s="85"/>
      <c r="CC374" s="85"/>
      <c r="CD374" s="85"/>
      <c r="CE374" s="85"/>
      <c r="CF374" s="85"/>
      <c r="CG374" s="85"/>
      <c r="CH374" s="85"/>
      <c r="CI374" s="85"/>
      <c r="CJ374" s="85"/>
      <c r="CK374" s="85"/>
      <c r="CL374" s="85"/>
      <c r="CM374" s="85"/>
      <c r="CN374" s="85"/>
      <c r="CO374" s="85"/>
      <c r="CP374" s="85"/>
      <c r="CQ374" s="85"/>
      <c r="CR374" s="85"/>
      <c r="CS374" s="85"/>
      <c r="CT374" s="85"/>
      <c r="CU374" s="85"/>
      <c r="CV374" s="85"/>
      <c r="CW374" s="85"/>
      <c r="CX374" s="85"/>
      <c r="CY374" s="85"/>
      <c r="CZ374" s="85"/>
      <c r="DA374" s="85"/>
      <c r="DB374" s="85"/>
      <c r="DC374" s="85"/>
      <c r="DD374" s="85"/>
      <c r="DE374" s="85"/>
      <c r="DF374" s="85"/>
      <c r="DG374" s="85"/>
      <c r="DH374" s="85"/>
      <c r="DI374" s="85"/>
      <c r="DJ374" s="85"/>
      <c r="DK374" s="85"/>
      <c r="DL374" s="85"/>
      <c r="DM374" s="85"/>
      <c r="DN374" s="85"/>
      <c r="DO374" s="85"/>
      <c r="DP374" s="85"/>
      <c r="DQ374" s="85"/>
      <c r="DR374" s="85"/>
      <c r="DS374" s="85"/>
      <c r="DT374" s="85"/>
      <c r="DU374" s="85"/>
      <c r="DV374" s="85"/>
      <c r="DW374" s="85"/>
      <c r="DX374" s="85"/>
      <c r="DY374" s="85"/>
      <c r="DZ374" s="85"/>
      <c r="EA374" s="85"/>
      <c r="EB374" s="85"/>
      <c r="EC374" s="85"/>
      <c r="ED374" s="85"/>
      <c r="EE374" s="85"/>
      <c r="EF374" s="85"/>
      <c r="EG374" s="85"/>
      <c r="EH374" s="85"/>
      <c r="EI374" s="85"/>
      <c r="EJ374" s="85"/>
      <c r="EK374" s="85"/>
      <c r="EL374" s="85"/>
      <c r="EM374" s="85"/>
      <c r="EN374" s="85"/>
      <c r="EO374" s="85"/>
      <c r="EP374" s="85"/>
      <c r="EQ374" s="85"/>
      <c r="ER374" s="85"/>
      <c r="ES374" s="85"/>
      <c r="ET374" s="85"/>
      <c r="EU374" s="85"/>
      <c r="EV374" s="85"/>
      <c r="EW374" s="85"/>
      <c r="EX374" s="85"/>
      <c r="EY374" s="85"/>
      <c r="EZ374" s="85"/>
      <c r="FA374" s="85"/>
      <c r="FB374" s="85"/>
      <c r="FC374" s="85"/>
      <c r="FD374" s="85"/>
      <c r="FE374" s="85"/>
      <c r="FF374" s="85"/>
      <c r="FG374" s="85"/>
      <c r="FH374" s="85"/>
      <c r="FI374" s="85"/>
      <c r="FJ374" s="85"/>
      <c r="FK374" s="85"/>
      <c r="FL374" s="85"/>
      <c r="FM374" s="85"/>
      <c r="FN374" s="85"/>
      <c r="FO374" s="85"/>
      <c r="FP374" s="85"/>
      <c r="FQ374" s="85"/>
      <c r="FR374" s="85"/>
      <c r="FS374" s="85"/>
      <c r="FT374" s="85"/>
      <c r="FU374" s="85"/>
      <c r="FV374" s="85"/>
      <c r="FW374" s="85"/>
      <c r="FX374" s="85"/>
      <c r="FY374" s="85"/>
      <c r="FZ374" s="85"/>
      <c r="GA374" s="85"/>
      <c r="GB374" s="85"/>
      <c r="GC374" s="85"/>
      <c r="GD374" s="85"/>
      <c r="GE374" s="85"/>
      <c r="GF374" s="85"/>
      <c r="GG374" s="85"/>
      <c r="GH374" s="85"/>
      <c r="GI374" s="85"/>
      <c r="GJ374" s="85"/>
      <c r="GK374" s="85"/>
      <c r="GL374" s="85"/>
      <c r="GM374" s="85"/>
      <c r="GN374" s="85"/>
      <c r="GO374" s="85"/>
      <c r="GP374" s="85"/>
      <c r="GQ374" s="85"/>
      <c r="GR374" s="85"/>
      <c r="GS374" s="85"/>
      <c r="GT374" s="85"/>
      <c r="GU374" s="85"/>
      <c r="GV374" s="85"/>
      <c r="GW374" s="85"/>
      <c r="GX374" s="85"/>
      <c r="GY374" s="85"/>
      <c r="GZ374" s="85"/>
      <c r="HA374" s="85"/>
      <c r="HB374" s="85"/>
      <c r="HC374" s="85"/>
      <c r="HD374" s="85"/>
      <c r="HE374" s="85"/>
      <c r="HF374" s="85"/>
      <c r="HG374" s="85"/>
      <c r="HH374" s="85"/>
      <c r="HI374" s="85"/>
      <c r="HJ374" s="85"/>
      <c r="HK374" s="85"/>
      <c r="HL374" s="85"/>
      <c r="HM374" s="85"/>
      <c r="HN374" s="85"/>
      <c r="HO374" s="85"/>
      <c r="HP374" s="85"/>
      <c r="HQ374" s="85"/>
      <c r="HR374" s="85"/>
      <c r="HS374" s="85"/>
      <c r="HT374" s="85"/>
      <c r="HU374" s="85"/>
      <c r="HV374" s="85"/>
      <c r="HW374" s="85"/>
      <c r="HX374" s="85"/>
      <c r="HY374" s="85"/>
      <c r="HZ374" s="85"/>
      <c r="IA374" s="85"/>
      <c r="IB374" s="85"/>
      <c r="IC374" s="85"/>
      <c r="ID374" s="85"/>
      <c r="IE374" s="85"/>
      <c r="IF374" s="85"/>
      <c r="IG374" s="85"/>
      <c r="IH374" s="85"/>
      <c r="II374" s="85"/>
      <c r="IJ374" s="85"/>
      <c r="IK374" s="85"/>
      <c r="IL374" s="85"/>
      <c r="IM374" s="85"/>
      <c r="IN374" s="85"/>
      <c r="IO374" s="85"/>
      <c r="IP374" s="85"/>
      <c r="IQ374" s="85"/>
      <c r="IR374" s="85"/>
      <c r="IS374" s="85"/>
      <c r="IT374" s="85"/>
      <c r="IU374" s="85"/>
      <c r="IV374" s="85"/>
      <c r="IW374" s="85"/>
      <c r="IX374" s="85"/>
      <c r="IY374" s="85"/>
      <c r="IZ374" s="85"/>
      <c r="JA374" s="85"/>
      <c r="JB374" s="85"/>
      <c r="JC374" s="85"/>
      <c r="JD374" s="85"/>
      <c r="JE374" s="85"/>
      <c r="JF374" s="85"/>
      <c r="JG374" s="85"/>
      <c r="JH374" s="85"/>
      <c r="JI374" s="85"/>
      <c r="JJ374" s="85"/>
      <c r="JK374" s="85"/>
      <c r="JL374" s="85"/>
      <c r="JM374" s="85"/>
      <c r="JN374" s="85"/>
      <c r="JO374" s="85"/>
      <c r="JP374" s="85"/>
      <c r="JQ374" s="85"/>
      <c r="JR374" s="85"/>
      <c r="JS374" s="85"/>
      <c r="JT374" s="85"/>
      <c r="JU374" s="85"/>
      <c r="JV374" s="85"/>
      <c r="JW374" s="85"/>
      <c r="JX374" s="85"/>
      <c r="JY374" s="85"/>
      <c r="JZ374" s="85"/>
      <c r="KA374" s="85"/>
      <c r="KB374" s="85"/>
      <c r="KC374" s="85"/>
      <c r="KD374" s="85"/>
      <c r="KE374" s="85"/>
      <c r="KF374" s="85"/>
      <c r="KG374" s="85"/>
      <c r="KH374" s="85"/>
      <c r="KI374" s="85"/>
      <c r="KJ374" s="85"/>
      <c r="KK374" s="85"/>
      <c r="KL374" s="85"/>
      <c r="KM374" s="85"/>
      <c r="KN374" s="85"/>
      <c r="KO374" s="85"/>
      <c r="KP374" s="85"/>
      <c r="KQ374" s="85"/>
      <c r="KR374" s="85"/>
      <c r="KS374" s="85"/>
      <c r="KT374" s="85"/>
      <c r="KU374" s="85"/>
      <c r="KV374" s="85"/>
      <c r="KW374" s="85"/>
      <c r="KX374" s="85"/>
      <c r="KY374" s="85"/>
      <c r="KZ374" s="85"/>
      <c r="LA374" s="85"/>
      <c r="LB374" s="85"/>
      <c r="LC374" s="85"/>
      <c r="LD374" s="85"/>
      <c r="LE374" s="85"/>
      <c r="LF374" s="85"/>
      <c r="LG374" s="85"/>
      <c r="LH374" s="85"/>
      <c r="LI374" s="85"/>
      <c r="LJ374" s="85"/>
      <c r="LK374" s="85"/>
      <c r="LL374" s="85"/>
      <c r="LM374" s="85"/>
      <c r="LN374" s="85"/>
      <c r="LO374" s="85"/>
      <c r="LP374" s="85"/>
      <c r="LQ374" s="85"/>
      <c r="LR374" s="85"/>
      <c r="LS374" s="85"/>
      <c r="LT374" s="85"/>
      <c r="LU374" s="85"/>
      <c r="LV374" s="85"/>
      <c r="LW374" s="85"/>
      <c r="LX374" s="85"/>
      <c r="LY374" s="85"/>
      <c r="LZ374" s="85"/>
      <c r="MA374" s="85"/>
      <c r="MB374" s="85"/>
      <c r="MC374" s="85"/>
      <c r="MD374" s="85"/>
      <c r="ME374" s="85"/>
      <c r="MF374" s="85"/>
      <c r="MG374" s="85"/>
      <c r="MH374" s="85"/>
      <c r="MI374" s="85"/>
      <c r="MJ374" s="85"/>
      <c r="MK374" s="85"/>
      <c r="ML374" s="85"/>
      <c r="MM374" s="85"/>
      <c r="MN374" s="85"/>
      <c r="MO374" s="85"/>
      <c r="MP374" s="85"/>
      <c r="MQ374" s="85"/>
      <c r="MR374" s="85"/>
      <c r="MS374" s="85"/>
      <c r="MT374" s="85"/>
      <c r="MU374" s="85"/>
      <c r="MV374" s="85"/>
      <c r="MW374" s="85"/>
      <c r="MX374" s="85"/>
      <c r="MY374" s="85"/>
      <c r="MZ374" s="85"/>
      <c r="NA374" s="85"/>
      <c r="NB374" s="85"/>
      <c r="NC374" s="85"/>
      <c r="ND374" s="85"/>
      <c r="NE374" s="85"/>
      <c r="NF374" s="85"/>
      <c r="NG374" s="85"/>
      <c r="NH374" s="85"/>
      <c r="NI374" s="85"/>
      <c r="NJ374" s="85"/>
      <c r="NK374" s="85"/>
      <c r="NL374" s="85"/>
      <c r="NM374" s="85"/>
      <c r="NN374" s="85"/>
      <c r="NO374" s="85"/>
      <c r="NP374" s="85"/>
      <c r="NQ374" s="85"/>
      <c r="NR374" s="85"/>
      <c r="NS374" s="85"/>
      <c r="NT374" s="85"/>
      <c r="NU374" s="85"/>
      <c r="NV374" s="85"/>
      <c r="NW374" s="85"/>
      <c r="NX374" s="85"/>
      <c r="NY374" s="85"/>
      <c r="NZ374" s="85"/>
      <c r="OA374" s="85"/>
      <c r="OB374" s="85"/>
      <c r="OC374" s="85"/>
      <c r="OD374" s="85"/>
      <c r="OE374" s="85"/>
      <c r="OF374" s="85"/>
      <c r="OG374" s="85"/>
      <c r="OH374" s="85"/>
      <c r="OI374" s="85"/>
      <c r="OJ374" s="85"/>
      <c r="OK374" s="85"/>
      <c r="OL374" s="85"/>
      <c r="OM374" s="85"/>
      <c r="ON374" s="85"/>
      <c r="OO374" s="85"/>
      <c r="OP374" s="85"/>
      <c r="OQ374" s="85"/>
      <c r="OR374" s="85"/>
      <c r="OS374" s="85"/>
      <c r="OT374" s="85"/>
      <c r="OU374" s="85"/>
      <c r="OV374" s="85"/>
      <c r="OW374" s="85"/>
      <c r="OX374" s="85"/>
      <c r="OY374" s="85"/>
      <c r="OZ374" s="85"/>
      <c r="PA374" s="85"/>
      <c r="PB374" s="85"/>
      <c r="PC374" s="85"/>
      <c r="PD374" s="85"/>
      <c r="PE374" s="85"/>
      <c r="PF374" s="85"/>
      <c r="PG374" s="85"/>
      <c r="PH374" s="85"/>
      <c r="PI374" s="85"/>
      <c r="PJ374" s="85"/>
      <c r="PK374" s="85"/>
      <c r="PL374" s="85"/>
      <c r="PM374" s="85"/>
      <c r="PN374" s="85"/>
      <c r="PO374" s="85"/>
      <c r="PP374" s="85"/>
      <c r="PQ374" s="85"/>
      <c r="PR374" s="85"/>
      <c r="PS374" s="85"/>
      <c r="PT374" s="85"/>
      <c r="PU374" s="85"/>
      <c r="PV374" s="85"/>
      <c r="PW374" s="85"/>
      <c r="PX374" s="85"/>
      <c r="PY374" s="85"/>
      <c r="PZ374" s="85"/>
      <c r="QA374" s="85"/>
      <c r="QB374" s="85"/>
      <c r="QC374" s="85"/>
      <c r="QD374" s="85"/>
      <c r="QE374" s="85"/>
      <c r="QF374" s="85"/>
      <c r="QG374" s="85"/>
      <c r="QH374" s="85"/>
      <c r="QI374" s="85"/>
      <c r="QJ374" s="85"/>
      <c r="QK374" s="85"/>
      <c r="QL374" s="85"/>
      <c r="QM374" s="85"/>
      <c r="QN374" s="85"/>
      <c r="QO374" s="85"/>
      <c r="QP374" s="85"/>
      <c r="QQ374" s="85"/>
      <c r="QR374" s="85"/>
      <c r="QS374" s="85"/>
      <c r="QT374" s="85"/>
      <c r="QU374" s="85"/>
      <c r="QV374" s="85"/>
      <c r="QW374" s="85"/>
      <c r="QX374" s="85"/>
      <c r="QY374" s="85"/>
      <c r="QZ374" s="85"/>
      <c r="RA374" s="85"/>
      <c r="RB374" s="85"/>
      <c r="RC374" s="85"/>
      <c r="RD374" s="85"/>
      <c r="RE374" s="85"/>
      <c r="RF374" s="85"/>
      <c r="RG374" s="85"/>
      <c r="RH374" s="85"/>
      <c r="RI374" s="85"/>
      <c r="RJ374" s="85"/>
      <c r="RK374" s="85"/>
      <c r="RL374" s="85"/>
      <c r="RM374" s="85"/>
      <c r="RN374" s="85"/>
      <c r="RO374" s="85"/>
      <c r="RP374" s="85"/>
      <c r="RQ374" s="85"/>
      <c r="RR374" s="85"/>
      <c r="RS374" s="85"/>
      <c r="RT374" s="85"/>
      <c r="RU374" s="85"/>
      <c r="RV374" s="85"/>
      <c r="RW374" s="85"/>
      <c r="RX374" s="85"/>
      <c r="RY374" s="85"/>
      <c r="RZ374" s="85"/>
      <c r="SA374" s="85"/>
      <c r="SB374" s="85"/>
      <c r="SC374" s="85"/>
      <c r="SD374" s="85"/>
      <c r="SE374" s="85"/>
      <c r="SF374" s="85"/>
      <c r="SG374" s="85"/>
      <c r="SH374" s="85"/>
      <c r="SI374" s="85"/>
      <c r="SJ374" s="85"/>
      <c r="SK374" s="85"/>
      <c r="SL374" s="85"/>
      <c r="SM374" s="85"/>
      <c r="SN374" s="85"/>
      <c r="SO374" s="85"/>
      <c r="SP374" s="85"/>
      <c r="SQ374" s="85"/>
      <c r="SR374" s="85"/>
      <c r="SS374" s="85"/>
      <c r="ST374" s="85"/>
      <c r="SU374" s="85"/>
      <c r="SV374" s="85"/>
      <c r="SW374" s="85"/>
      <c r="SX374" s="85"/>
      <c r="SY374" s="85"/>
      <c r="SZ374" s="85"/>
      <c r="TA374" s="85"/>
      <c r="TB374" s="85"/>
      <c r="TC374" s="85"/>
      <c r="TD374" s="85"/>
      <c r="TE374" s="85"/>
      <c r="TF374" s="85"/>
      <c r="TG374" s="85"/>
      <c r="TH374" s="85"/>
      <c r="TI374" s="85"/>
      <c r="TJ374" s="85"/>
      <c r="TK374" s="85"/>
      <c r="TL374" s="85"/>
    </row>
    <row r="375" spans="1:532" s="85" customFormat="1" ht="12.75" customHeight="1">
      <c r="A375" s="144" t="s">
        <v>310</v>
      </c>
      <c r="B375" s="145" t="s">
        <v>311</v>
      </c>
      <c r="C375" s="124"/>
      <c r="D375" s="124">
        <f>+[2]ordinario!C461</f>
        <v>100000000</v>
      </c>
      <c r="E375" s="124">
        <v>121120921</v>
      </c>
      <c r="F375" s="146"/>
      <c r="G375" s="138"/>
      <c r="H375" s="98"/>
      <c r="I375" s="140">
        <f t="shared" ref="I375:N375" si="19">SUM(I376:I384)</f>
        <v>95964751.87999998</v>
      </c>
      <c r="J375" s="140">
        <f t="shared" si="19"/>
        <v>95964751.87999998</v>
      </c>
      <c r="K375" s="140">
        <f t="shared" si="19"/>
        <v>0</v>
      </c>
      <c r="L375" s="140">
        <f t="shared" si="19"/>
        <v>0</v>
      </c>
      <c r="M375" s="140">
        <f t="shared" si="19"/>
        <v>0</v>
      </c>
      <c r="N375" s="140">
        <f t="shared" si="19"/>
        <v>25156169.122226369</v>
      </c>
    </row>
    <row r="376" spans="1:532" s="85" customFormat="1" ht="12.75" customHeight="1">
      <c r="A376" s="122"/>
      <c r="B376" s="240"/>
      <c r="C376" s="124"/>
      <c r="D376" s="124"/>
      <c r="E376" s="124"/>
      <c r="F376" s="96" t="s">
        <v>178</v>
      </c>
      <c r="G376" s="97" t="s">
        <v>179</v>
      </c>
      <c r="H376" s="98" t="s">
        <v>77</v>
      </c>
      <c r="I376" s="125">
        <v>12112092.1</v>
      </c>
      <c r="J376" s="125">
        <f>+I376</f>
        <v>12112092.1</v>
      </c>
      <c r="K376" s="125"/>
      <c r="L376" s="125"/>
      <c r="M376" s="125"/>
      <c r="N376" s="126">
        <f>-I376+E375*0.1</f>
        <v>0</v>
      </c>
    </row>
    <row r="377" spans="1:532" s="85" customFormat="1" ht="12.75" customHeight="1">
      <c r="A377" s="122"/>
      <c r="B377" s="240"/>
      <c r="C377" s="124"/>
      <c r="D377" s="124"/>
      <c r="E377" s="124"/>
      <c r="F377" s="146"/>
      <c r="G377" s="138"/>
      <c r="H377" s="98"/>
      <c r="I377" s="125"/>
      <c r="J377" s="125"/>
      <c r="K377" s="125"/>
      <c r="L377" s="125"/>
      <c r="M377" s="125"/>
      <c r="N377" s="125"/>
    </row>
    <row r="378" spans="1:532" s="85" customFormat="1" ht="12.75" customHeight="1">
      <c r="A378" s="122"/>
      <c r="B378" s="240"/>
      <c r="C378" s="124"/>
      <c r="D378" s="124"/>
      <c r="E378" s="124"/>
      <c r="F378" s="146" t="s">
        <v>165</v>
      </c>
      <c r="G378" s="97" t="s">
        <v>140</v>
      </c>
      <c r="H378" s="98" t="s">
        <v>77</v>
      </c>
      <c r="I378" s="125">
        <f>215182099.72-I42-I422</f>
        <v>83852659.779999986</v>
      </c>
      <c r="J378" s="125">
        <f>+I378</f>
        <v>83852659.779999986</v>
      </c>
      <c r="K378" s="125"/>
      <c r="L378" s="125"/>
      <c r="M378" s="125"/>
      <c r="N378" s="125">
        <f>-I378+[2]ordinario!I466</f>
        <v>6147340.2222263664</v>
      </c>
    </row>
    <row r="379" spans="1:532" s="85" customFormat="1" ht="12.75" customHeight="1">
      <c r="A379" s="122"/>
      <c r="B379" s="240"/>
      <c r="C379" s="124"/>
      <c r="D379" s="124"/>
      <c r="E379" s="124"/>
      <c r="F379" s="146"/>
      <c r="G379" s="138"/>
      <c r="H379" s="98" t="s">
        <v>78</v>
      </c>
      <c r="I379" s="125"/>
      <c r="J379" s="125">
        <f>+I379</f>
        <v>0</v>
      </c>
      <c r="K379" s="125"/>
      <c r="L379" s="125"/>
      <c r="M379" s="125"/>
      <c r="N379" s="125">
        <v>0</v>
      </c>
    </row>
    <row r="380" spans="1:532" s="85" customFormat="1" ht="12.75" customHeight="1">
      <c r="A380" s="122"/>
      <c r="B380" s="240"/>
      <c r="C380" s="124"/>
      <c r="D380" s="124"/>
      <c r="E380" s="124"/>
      <c r="F380" s="146"/>
      <c r="G380" s="138"/>
      <c r="H380" s="98" t="s">
        <v>79</v>
      </c>
      <c r="I380" s="125"/>
      <c r="J380" s="125">
        <f>+I380</f>
        <v>0</v>
      </c>
      <c r="K380" s="125"/>
      <c r="L380" s="125"/>
      <c r="M380" s="125"/>
      <c r="N380" s="125">
        <v>0</v>
      </c>
    </row>
    <row r="381" spans="1:532" s="85" customFormat="1" ht="12.75" customHeight="1">
      <c r="A381" s="122"/>
      <c r="B381" s="240"/>
      <c r="C381" s="124"/>
      <c r="D381" s="124"/>
      <c r="E381" s="124"/>
      <c r="F381" s="146"/>
      <c r="G381" s="138"/>
      <c r="H381" s="98" t="s">
        <v>81</v>
      </c>
      <c r="I381" s="125"/>
      <c r="J381" s="125"/>
      <c r="K381" s="125">
        <f>+I381</f>
        <v>0</v>
      </c>
      <c r="L381" s="125"/>
      <c r="M381" s="125"/>
      <c r="N381" s="125">
        <v>0</v>
      </c>
    </row>
    <row r="382" spans="1:532" s="85" customFormat="1" ht="12.75" customHeight="1">
      <c r="A382" s="122"/>
      <c r="B382" s="240"/>
      <c r="C382" s="124"/>
      <c r="D382" s="124"/>
      <c r="E382" s="124"/>
      <c r="F382" s="146"/>
      <c r="G382" s="138"/>
      <c r="H382" s="98" t="s">
        <v>82</v>
      </c>
      <c r="I382" s="125"/>
      <c r="J382" s="125">
        <f>+I382</f>
        <v>0</v>
      </c>
      <c r="K382" s="125"/>
      <c r="L382" s="125"/>
      <c r="M382" s="125"/>
      <c r="N382" s="125">
        <v>0</v>
      </c>
    </row>
    <row r="383" spans="1:532" s="85" customFormat="1" ht="12.75" customHeight="1">
      <c r="A383" s="122"/>
      <c r="B383" s="240"/>
      <c r="C383" s="124"/>
      <c r="D383" s="124"/>
      <c r="E383" s="124"/>
      <c r="F383" s="146"/>
      <c r="G383" s="138"/>
      <c r="H383" s="98" t="s">
        <v>85</v>
      </c>
      <c r="I383" s="125"/>
      <c r="J383" s="125"/>
      <c r="K383" s="125"/>
      <c r="L383" s="125"/>
      <c r="M383" s="125"/>
      <c r="N383" s="125">
        <v>0</v>
      </c>
    </row>
    <row r="384" spans="1:532" s="85" customFormat="1" ht="12.75" customHeight="1">
      <c r="A384" s="122"/>
      <c r="B384" s="240"/>
      <c r="C384" s="124"/>
      <c r="D384" s="124"/>
      <c r="E384" s="124"/>
      <c r="F384" s="146" t="s">
        <v>277</v>
      </c>
      <c r="G384" s="138"/>
      <c r="H384" s="98"/>
      <c r="I384" s="125"/>
      <c r="J384" s="125"/>
      <c r="K384" s="125"/>
      <c r="L384" s="125"/>
      <c r="M384" s="125"/>
      <c r="N384" s="125">
        <f>(+E375-D375)*0.9</f>
        <v>19008828.900000002</v>
      </c>
    </row>
    <row r="385" spans="1:532" s="135" customFormat="1" ht="12.75" customHeight="1">
      <c r="A385" s="111"/>
      <c r="B385" s="243"/>
      <c r="C385" s="112"/>
      <c r="D385" s="112"/>
      <c r="E385" s="112"/>
      <c r="F385" s="242"/>
      <c r="G385" s="113"/>
      <c r="H385" s="114"/>
      <c r="I385" s="115"/>
      <c r="J385" s="115"/>
      <c r="K385" s="115"/>
      <c r="L385" s="115"/>
      <c r="M385" s="115"/>
      <c r="N385" s="116"/>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c r="AN385" s="85"/>
      <c r="AO385" s="85"/>
      <c r="AP385" s="85"/>
      <c r="AQ385" s="85"/>
      <c r="AR385" s="85"/>
      <c r="AS385" s="85"/>
      <c r="AT385" s="85"/>
      <c r="AU385" s="85"/>
      <c r="AV385" s="85"/>
      <c r="AW385" s="85"/>
      <c r="AX385" s="85"/>
      <c r="AY385" s="85"/>
      <c r="AZ385" s="85"/>
      <c r="BA385" s="85"/>
      <c r="BB385" s="85"/>
      <c r="BC385" s="85"/>
      <c r="BD385" s="85"/>
      <c r="BE385" s="85"/>
      <c r="BF385" s="85"/>
      <c r="BG385" s="85"/>
      <c r="BH385" s="85"/>
      <c r="BI385" s="85"/>
      <c r="BJ385" s="85"/>
      <c r="BK385" s="85"/>
      <c r="BL385" s="85"/>
      <c r="BM385" s="85"/>
      <c r="BN385" s="85"/>
      <c r="BO385" s="85"/>
      <c r="BP385" s="85"/>
      <c r="BQ385" s="85"/>
      <c r="BR385" s="85"/>
      <c r="BS385" s="85"/>
      <c r="BT385" s="85"/>
      <c r="BU385" s="85"/>
      <c r="BV385" s="85"/>
      <c r="BW385" s="85"/>
      <c r="BX385" s="85"/>
      <c r="BY385" s="85"/>
      <c r="BZ385" s="85"/>
      <c r="CA385" s="85"/>
      <c r="CB385" s="85"/>
      <c r="CC385" s="85"/>
      <c r="CD385" s="85"/>
      <c r="CE385" s="85"/>
      <c r="CF385" s="85"/>
      <c r="CG385" s="85"/>
      <c r="CH385" s="85"/>
      <c r="CI385" s="85"/>
      <c r="CJ385" s="85"/>
      <c r="CK385" s="85"/>
      <c r="CL385" s="85"/>
      <c r="CM385" s="85"/>
      <c r="CN385" s="85"/>
      <c r="CO385" s="85"/>
      <c r="CP385" s="85"/>
      <c r="CQ385" s="85"/>
      <c r="CR385" s="85"/>
      <c r="CS385" s="85"/>
      <c r="CT385" s="85"/>
      <c r="CU385" s="85"/>
      <c r="CV385" s="85"/>
      <c r="CW385" s="85"/>
      <c r="CX385" s="85"/>
      <c r="CY385" s="85"/>
      <c r="CZ385" s="85"/>
      <c r="DA385" s="85"/>
      <c r="DB385" s="85"/>
      <c r="DC385" s="85"/>
      <c r="DD385" s="85"/>
      <c r="DE385" s="85"/>
      <c r="DF385" s="85"/>
      <c r="DG385" s="85"/>
      <c r="DH385" s="85"/>
      <c r="DI385" s="85"/>
      <c r="DJ385" s="85"/>
      <c r="DK385" s="85"/>
      <c r="DL385" s="85"/>
      <c r="DM385" s="85"/>
      <c r="DN385" s="85"/>
      <c r="DO385" s="85"/>
      <c r="DP385" s="85"/>
      <c r="DQ385" s="85"/>
      <c r="DR385" s="85"/>
      <c r="DS385" s="85"/>
      <c r="DT385" s="85"/>
      <c r="DU385" s="85"/>
      <c r="DV385" s="85"/>
      <c r="DW385" s="85"/>
      <c r="DX385" s="85"/>
      <c r="DY385" s="85"/>
      <c r="DZ385" s="85"/>
      <c r="EA385" s="85"/>
      <c r="EB385" s="85"/>
      <c r="EC385" s="85"/>
      <c r="ED385" s="85"/>
      <c r="EE385" s="85"/>
      <c r="EF385" s="85"/>
      <c r="EG385" s="85"/>
      <c r="EH385" s="85"/>
      <c r="EI385" s="85"/>
      <c r="EJ385" s="85"/>
      <c r="EK385" s="85"/>
      <c r="EL385" s="85"/>
      <c r="EM385" s="85"/>
      <c r="EN385" s="85"/>
      <c r="EO385" s="85"/>
      <c r="EP385" s="85"/>
      <c r="EQ385" s="85"/>
      <c r="ER385" s="85"/>
      <c r="ES385" s="85"/>
      <c r="ET385" s="85"/>
      <c r="EU385" s="85"/>
      <c r="EV385" s="85"/>
      <c r="EW385" s="85"/>
      <c r="EX385" s="85"/>
      <c r="EY385" s="85"/>
      <c r="EZ385" s="85"/>
      <c r="FA385" s="85"/>
      <c r="FB385" s="85"/>
      <c r="FC385" s="85"/>
      <c r="FD385" s="85"/>
      <c r="FE385" s="85"/>
      <c r="FF385" s="85"/>
      <c r="FG385" s="85"/>
      <c r="FH385" s="85"/>
      <c r="FI385" s="85"/>
      <c r="FJ385" s="85"/>
      <c r="FK385" s="85"/>
      <c r="FL385" s="85"/>
      <c r="FM385" s="85"/>
      <c r="FN385" s="85"/>
      <c r="FO385" s="85"/>
      <c r="FP385" s="85"/>
      <c r="FQ385" s="85"/>
      <c r="FR385" s="85"/>
      <c r="FS385" s="85"/>
      <c r="FT385" s="85"/>
      <c r="FU385" s="85"/>
      <c r="FV385" s="85"/>
      <c r="FW385" s="85"/>
      <c r="FX385" s="85"/>
      <c r="FY385" s="85"/>
      <c r="FZ385" s="85"/>
      <c r="GA385" s="85"/>
      <c r="GB385" s="85"/>
      <c r="GC385" s="85"/>
      <c r="GD385" s="85"/>
      <c r="GE385" s="85"/>
      <c r="GF385" s="85"/>
      <c r="GG385" s="85"/>
      <c r="GH385" s="85"/>
      <c r="GI385" s="85"/>
      <c r="GJ385" s="85"/>
      <c r="GK385" s="85"/>
      <c r="GL385" s="85"/>
      <c r="GM385" s="85"/>
      <c r="GN385" s="85"/>
      <c r="GO385" s="85"/>
      <c r="GP385" s="85"/>
      <c r="GQ385" s="85"/>
      <c r="GR385" s="85"/>
      <c r="GS385" s="85"/>
      <c r="GT385" s="85"/>
      <c r="GU385" s="85"/>
      <c r="GV385" s="85"/>
      <c r="GW385" s="85"/>
      <c r="GX385" s="85"/>
      <c r="GY385" s="85"/>
      <c r="GZ385" s="85"/>
      <c r="HA385" s="85"/>
      <c r="HB385" s="85"/>
      <c r="HC385" s="85"/>
      <c r="HD385" s="85"/>
      <c r="HE385" s="85"/>
      <c r="HF385" s="85"/>
      <c r="HG385" s="85"/>
      <c r="HH385" s="85"/>
      <c r="HI385" s="85"/>
      <c r="HJ385" s="85"/>
      <c r="HK385" s="85"/>
      <c r="HL385" s="85"/>
      <c r="HM385" s="85"/>
      <c r="HN385" s="85"/>
      <c r="HO385" s="85"/>
      <c r="HP385" s="85"/>
      <c r="HQ385" s="85"/>
      <c r="HR385" s="85"/>
      <c r="HS385" s="85"/>
      <c r="HT385" s="85"/>
      <c r="HU385" s="85"/>
      <c r="HV385" s="85"/>
      <c r="HW385" s="85"/>
      <c r="HX385" s="85"/>
      <c r="HY385" s="85"/>
      <c r="HZ385" s="85"/>
      <c r="IA385" s="85"/>
      <c r="IB385" s="85"/>
      <c r="IC385" s="85"/>
      <c r="ID385" s="85"/>
      <c r="IE385" s="85"/>
      <c r="IF385" s="85"/>
      <c r="IG385" s="85"/>
      <c r="IH385" s="85"/>
      <c r="II385" s="85"/>
      <c r="IJ385" s="85"/>
      <c r="IK385" s="85"/>
      <c r="IL385" s="85"/>
      <c r="IM385" s="85"/>
      <c r="IN385" s="85"/>
      <c r="IO385" s="85"/>
      <c r="IP385" s="85"/>
      <c r="IQ385" s="85"/>
      <c r="IR385" s="85"/>
      <c r="IS385" s="85"/>
      <c r="IT385" s="85"/>
      <c r="IU385" s="85"/>
      <c r="IV385" s="85"/>
      <c r="IW385" s="85"/>
      <c r="IX385" s="85"/>
      <c r="IY385" s="85"/>
      <c r="IZ385" s="85"/>
      <c r="JA385" s="85"/>
      <c r="JB385" s="85"/>
      <c r="JC385" s="85"/>
      <c r="JD385" s="85"/>
      <c r="JE385" s="85"/>
      <c r="JF385" s="85"/>
      <c r="JG385" s="85"/>
      <c r="JH385" s="85"/>
      <c r="JI385" s="85"/>
      <c r="JJ385" s="85"/>
      <c r="JK385" s="85"/>
      <c r="JL385" s="85"/>
      <c r="JM385" s="85"/>
      <c r="JN385" s="85"/>
      <c r="JO385" s="85"/>
      <c r="JP385" s="85"/>
      <c r="JQ385" s="85"/>
      <c r="JR385" s="85"/>
      <c r="JS385" s="85"/>
      <c r="JT385" s="85"/>
      <c r="JU385" s="85"/>
      <c r="JV385" s="85"/>
      <c r="JW385" s="85"/>
      <c r="JX385" s="85"/>
      <c r="JY385" s="85"/>
      <c r="JZ385" s="85"/>
      <c r="KA385" s="85"/>
      <c r="KB385" s="85"/>
      <c r="KC385" s="85"/>
      <c r="KD385" s="85"/>
      <c r="KE385" s="85"/>
      <c r="KF385" s="85"/>
      <c r="KG385" s="85"/>
      <c r="KH385" s="85"/>
      <c r="KI385" s="85"/>
      <c r="KJ385" s="85"/>
      <c r="KK385" s="85"/>
      <c r="KL385" s="85"/>
      <c r="KM385" s="85"/>
      <c r="KN385" s="85"/>
      <c r="KO385" s="85"/>
      <c r="KP385" s="85"/>
      <c r="KQ385" s="85"/>
      <c r="KR385" s="85"/>
      <c r="KS385" s="85"/>
      <c r="KT385" s="85"/>
      <c r="KU385" s="85"/>
      <c r="KV385" s="85"/>
      <c r="KW385" s="85"/>
      <c r="KX385" s="85"/>
      <c r="KY385" s="85"/>
      <c r="KZ385" s="85"/>
      <c r="LA385" s="85"/>
      <c r="LB385" s="85"/>
      <c r="LC385" s="85"/>
      <c r="LD385" s="85"/>
      <c r="LE385" s="85"/>
      <c r="LF385" s="85"/>
      <c r="LG385" s="85"/>
      <c r="LH385" s="85"/>
      <c r="LI385" s="85"/>
      <c r="LJ385" s="85"/>
      <c r="LK385" s="85"/>
      <c r="LL385" s="85"/>
      <c r="LM385" s="85"/>
      <c r="LN385" s="85"/>
      <c r="LO385" s="85"/>
      <c r="LP385" s="85"/>
      <c r="LQ385" s="85"/>
      <c r="LR385" s="85"/>
      <c r="LS385" s="85"/>
      <c r="LT385" s="85"/>
      <c r="LU385" s="85"/>
      <c r="LV385" s="85"/>
      <c r="LW385" s="85"/>
      <c r="LX385" s="85"/>
      <c r="LY385" s="85"/>
      <c r="LZ385" s="85"/>
      <c r="MA385" s="85"/>
      <c r="MB385" s="85"/>
      <c r="MC385" s="85"/>
      <c r="MD385" s="85"/>
      <c r="ME385" s="85"/>
      <c r="MF385" s="85"/>
      <c r="MG385" s="85"/>
      <c r="MH385" s="85"/>
      <c r="MI385" s="85"/>
      <c r="MJ385" s="85"/>
      <c r="MK385" s="85"/>
      <c r="ML385" s="85"/>
      <c r="MM385" s="85"/>
      <c r="MN385" s="85"/>
      <c r="MO385" s="85"/>
      <c r="MP385" s="85"/>
      <c r="MQ385" s="85"/>
      <c r="MR385" s="85"/>
      <c r="MS385" s="85"/>
      <c r="MT385" s="85"/>
      <c r="MU385" s="85"/>
      <c r="MV385" s="85"/>
      <c r="MW385" s="85"/>
      <c r="MX385" s="85"/>
      <c r="MY385" s="85"/>
      <c r="MZ385" s="85"/>
      <c r="NA385" s="85"/>
      <c r="NB385" s="85"/>
      <c r="NC385" s="85"/>
      <c r="ND385" s="85"/>
      <c r="NE385" s="85"/>
      <c r="NF385" s="85"/>
      <c r="NG385" s="85"/>
      <c r="NH385" s="85"/>
      <c r="NI385" s="85"/>
      <c r="NJ385" s="85"/>
      <c r="NK385" s="85"/>
      <c r="NL385" s="85"/>
      <c r="NM385" s="85"/>
      <c r="NN385" s="85"/>
      <c r="NO385" s="85"/>
      <c r="NP385" s="85"/>
      <c r="NQ385" s="85"/>
      <c r="NR385" s="85"/>
      <c r="NS385" s="85"/>
      <c r="NT385" s="85"/>
      <c r="NU385" s="85"/>
      <c r="NV385" s="85"/>
      <c r="NW385" s="85"/>
      <c r="NX385" s="85"/>
      <c r="NY385" s="85"/>
      <c r="NZ385" s="85"/>
      <c r="OA385" s="85"/>
      <c r="OB385" s="85"/>
      <c r="OC385" s="85"/>
      <c r="OD385" s="85"/>
      <c r="OE385" s="85"/>
      <c r="OF385" s="85"/>
      <c r="OG385" s="85"/>
      <c r="OH385" s="85"/>
      <c r="OI385" s="85"/>
      <c r="OJ385" s="85"/>
      <c r="OK385" s="85"/>
      <c r="OL385" s="85"/>
      <c r="OM385" s="85"/>
      <c r="ON385" s="85"/>
      <c r="OO385" s="85"/>
      <c r="OP385" s="85"/>
      <c r="OQ385" s="85"/>
      <c r="OR385" s="85"/>
      <c r="OS385" s="85"/>
      <c r="OT385" s="85"/>
      <c r="OU385" s="85"/>
      <c r="OV385" s="85"/>
      <c r="OW385" s="85"/>
      <c r="OX385" s="85"/>
      <c r="OY385" s="85"/>
      <c r="OZ385" s="85"/>
      <c r="PA385" s="85"/>
      <c r="PB385" s="85"/>
      <c r="PC385" s="85"/>
      <c r="PD385" s="85"/>
      <c r="PE385" s="85"/>
      <c r="PF385" s="85"/>
      <c r="PG385" s="85"/>
      <c r="PH385" s="85"/>
      <c r="PI385" s="85"/>
      <c r="PJ385" s="85"/>
      <c r="PK385" s="85"/>
      <c r="PL385" s="85"/>
      <c r="PM385" s="85"/>
      <c r="PN385" s="85"/>
      <c r="PO385" s="85"/>
      <c r="PP385" s="85"/>
      <c r="PQ385" s="85"/>
      <c r="PR385" s="85"/>
      <c r="PS385" s="85"/>
      <c r="PT385" s="85"/>
      <c r="PU385" s="85"/>
      <c r="PV385" s="85"/>
      <c r="PW385" s="85"/>
      <c r="PX385" s="85"/>
      <c r="PY385" s="85"/>
      <c r="PZ385" s="85"/>
      <c r="QA385" s="85"/>
      <c r="QB385" s="85"/>
      <c r="QC385" s="85"/>
      <c r="QD385" s="85"/>
      <c r="QE385" s="85"/>
      <c r="QF385" s="85"/>
      <c r="QG385" s="85"/>
      <c r="QH385" s="85"/>
      <c r="QI385" s="85"/>
      <c r="QJ385" s="85"/>
      <c r="QK385" s="85"/>
      <c r="QL385" s="85"/>
      <c r="QM385" s="85"/>
      <c r="QN385" s="85"/>
      <c r="QO385" s="85"/>
      <c r="QP385" s="85"/>
      <c r="QQ385" s="85"/>
      <c r="QR385" s="85"/>
      <c r="QS385" s="85"/>
      <c r="QT385" s="85"/>
      <c r="QU385" s="85"/>
      <c r="QV385" s="85"/>
      <c r="QW385" s="85"/>
      <c r="QX385" s="85"/>
      <c r="QY385" s="85"/>
      <c r="QZ385" s="85"/>
      <c r="RA385" s="85"/>
      <c r="RB385" s="85"/>
      <c r="RC385" s="85"/>
      <c r="RD385" s="85"/>
      <c r="RE385" s="85"/>
      <c r="RF385" s="85"/>
      <c r="RG385" s="85"/>
      <c r="RH385" s="85"/>
      <c r="RI385" s="85"/>
      <c r="RJ385" s="85"/>
      <c r="RK385" s="85"/>
      <c r="RL385" s="85"/>
      <c r="RM385" s="85"/>
      <c r="RN385" s="85"/>
      <c r="RO385" s="85"/>
      <c r="RP385" s="85"/>
      <c r="RQ385" s="85"/>
      <c r="RR385" s="85"/>
      <c r="RS385" s="85"/>
      <c r="RT385" s="85"/>
      <c r="RU385" s="85"/>
      <c r="RV385" s="85"/>
      <c r="RW385" s="85"/>
      <c r="RX385" s="85"/>
      <c r="RY385" s="85"/>
      <c r="RZ385" s="85"/>
      <c r="SA385" s="85"/>
      <c r="SB385" s="85"/>
      <c r="SC385" s="85"/>
      <c r="SD385" s="85"/>
      <c r="SE385" s="85"/>
      <c r="SF385" s="85"/>
      <c r="SG385" s="85"/>
      <c r="SH385" s="85"/>
      <c r="SI385" s="85"/>
      <c r="SJ385" s="85"/>
      <c r="SK385" s="85"/>
      <c r="SL385" s="85"/>
      <c r="SM385" s="85"/>
      <c r="SN385" s="85"/>
      <c r="SO385" s="85"/>
      <c r="SP385" s="85"/>
      <c r="SQ385" s="85"/>
      <c r="SR385" s="85"/>
      <c r="SS385" s="85"/>
      <c r="ST385" s="85"/>
      <c r="SU385" s="85"/>
      <c r="SV385" s="85"/>
      <c r="SW385" s="85"/>
      <c r="SX385" s="85"/>
      <c r="SY385" s="85"/>
      <c r="SZ385" s="85"/>
      <c r="TA385" s="85"/>
      <c r="TB385" s="85"/>
      <c r="TC385" s="85"/>
      <c r="TD385" s="85"/>
      <c r="TE385" s="85"/>
      <c r="TF385" s="85"/>
      <c r="TG385" s="85"/>
      <c r="TH385" s="85"/>
      <c r="TI385" s="85"/>
      <c r="TJ385" s="85"/>
      <c r="TK385" s="85"/>
      <c r="TL385" s="85"/>
    </row>
    <row r="386" spans="1:532" s="85" customFormat="1" ht="12.75" customHeight="1">
      <c r="A386" s="144" t="s">
        <v>312</v>
      </c>
      <c r="B386" s="150" t="s">
        <v>313</v>
      </c>
      <c r="C386" s="124"/>
      <c r="D386" s="124">
        <f>+[2]ordinario!C474</f>
        <v>5000000</v>
      </c>
      <c r="E386" s="124">
        <v>92000</v>
      </c>
      <c r="F386" s="142"/>
      <c r="G386" s="154"/>
      <c r="H386" s="98"/>
      <c r="I386" s="140">
        <f>SUM(I387:I389)</f>
        <v>92000</v>
      </c>
      <c r="J386" s="140">
        <f>SUM(J387:J389)</f>
        <v>92000</v>
      </c>
      <c r="K386" s="140">
        <f>SUM(K387:K389)</f>
        <v>0</v>
      </c>
      <c r="L386" s="140">
        <f>SUM(L387:L389)</f>
        <v>0</v>
      </c>
      <c r="M386" s="140">
        <f>SUM(M387:M389)</f>
        <v>0</v>
      </c>
      <c r="N386" s="140">
        <f>SUM(N387:N390)</f>
        <v>-1.9293278455734253E-3</v>
      </c>
    </row>
    <row r="387" spans="1:532" s="85" customFormat="1" ht="12.75" customHeight="1">
      <c r="A387" s="122"/>
      <c r="B387" s="240"/>
      <c r="C387" s="124"/>
      <c r="D387" s="124"/>
      <c r="E387" s="124"/>
      <c r="F387" s="96" t="s">
        <v>178</v>
      </c>
      <c r="G387" s="97" t="s">
        <v>179</v>
      </c>
      <c r="H387" s="98" t="s">
        <v>77</v>
      </c>
      <c r="I387" s="125">
        <v>9200</v>
      </c>
      <c r="J387" s="125">
        <f>+I387</f>
        <v>9200</v>
      </c>
      <c r="K387" s="125"/>
      <c r="L387" s="125"/>
      <c r="M387" s="125"/>
      <c r="N387" s="126">
        <f>-I387+E386*0.1</f>
        <v>0</v>
      </c>
    </row>
    <row r="388" spans="1:532" s="85" customFormat="1" ht="12.75" customHeight="1">
      <c r="A388" s="122"/>
      <c r="B388" s="240"/>
      <c r="C388" s="124"/>
      <c r="D388" s="124"/>
      <c r="E388" s="124"/>
      <c r="F388" s="146"/>
      <c r="G388" s="138"/>
      <c r="H388" s="98"/>
      <c r="I388" s="125"/>
      <c r="J388" s="125"/>
      <c r="K388" s="125"/>
      <c r="L388" s="125"/>
      <c r="M388" s="125"/>
      <c r="N388" s="125"/>
    </row>
    <row r="389" spans="1:532" s="85" customFormat="1" ht="12.75" customHeight="1">
      <c r="A389" s="122"/>
      <c r="B389" s="240"/>
      <c r="C389" s="124"/>
      <c r="D389" s="124"/>
      <c r="E389" s="124"/>
      <c r="F389" s="146" t="s">
        <v>160</v>
      </c>
      <c r="G389" s="97" t="s">
        <v>192</v>
      </c>
      <c r="H389" s="98" t="s">
        <v>77</v>
      </c>
      <c r="I389" s="148">
        <v>82800</v>
      </c>
      <c r="J389" s="125">
        <f>+I389</f>
        <v>82800</v>
      </c>
      <c r="K389" s="125"/>
      <c r="L389" s="125">
        <v>0</v>
      </c>
      <c r="M389" s="125"/>
      <c r="N389" s="125">
        <f>+[2]ordinario!I479-'3_Detalle Origen y Aplicación'!I389-4417200</f>
        <v>-1.9293278455734253E-3</v>
      </c>
    </row>
    <row r="390" spans="1:532" s="85" customFormat="1" ht="12.75" customHeight="1">
      <c r="A390" s="122"/>
      <c r="B390" s="240"/>
      <c r="C390" s="124"/>
      <c r="D390" s="124"/>
      <c r="E390" s="124"/>
      <c r="F390" s="146"/>
      <c r="G390" s="97"/>
      <c r="H390" s="98"/>
      <c r="I390" s="148"/>
      <c r="J390" s="125"/>
      <c r="K390" s="125"/>
      <c r="L390" s="125"/>
      <c r="M390" s="125"/>
      <c r="N390" s="125">
        <v>0</v>
      </c>
    </row>
    <row r="391" spans="1:532" s="135" customFormat="1" ht="12.75" customHeight="1">
      <c r="A391" s="111"/>
      <c r="B391" s="243"/>
      <c r="C391" s="112"/>
      <c r="D391" s="112"/>
      <c r="E391" s="112"/>
      <c r="F391" s="242"/>
      <c r="G391" s="113"/>
      <c r="H391" s="114"/>
      <c r="I391" s="115"/>
      <c r="J391" s="115"/>
      <c r="K391" s="115"/>
      <c r="L391" s="115"/>
      <c r="M391" s="115"/>
      <c r="N391" s="116">
        <v>0</v>
      </c>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c r="AN391" s="85"/>
      <c r="AO391" s="85"/>
      <c r="AP391" s="85"/>
      <c r="AQ391" s="85"/>
      <c r="AR391" s="85"/>
      <c r="AS391" s="85"/>
      <c r="AT391" s="85"/>
      <c r="AU391" s="85"/>
      <c r="AV391" s="85"/>
      <c r="AW391" s="85"/>
      <c r="AX391" s="85"/>
      <c r="AY391" s="85"/>
      <c r="AZ391" s="85"/>
      <c r="BA391" s="85"/>
      <c r="BB391" s="85"/>
      <c r="BC391" s="85"/>
      <c r="BD391" s="85"/>
      <c r="BE391" s="85"/>
      <c r="BF391" s="85"/>
      <c r="BG391" s="85"/>
      <c r="BH391" s="85"/>
      <c r="BI391" s="85"/>
      <c r="BJ391" s="85"/>
      <c r="BK391" s="85"/>
      <c r="BL391" s="85"/>
      <c r="BM391" s="85"/>
      <c r="BN391" s="85"/>
      <c r="BO391" s="85"/>
      <c r="BP391" s="85"/>
      <c r="BQ391" s="85"/>
      <c r="BR391" s="85"/>
      <c r="BS391" s="85"/>
      <c r="BT391" s="85"/>
      <c r="BU391" s="85"/>
      <c r="BV391" s="85"/>
      <c r="BW391" s="85"/>
      <c r="BX391" s="85"/>
      <c r="BY391" s="85"/>
      <c r="BZ391" s="85"/>
      <c r="CA391" s="85"/>
      <c r="CB391" s="85"/>
      <c r="CC391" s="85"/>
      <c r="CD391" s="85"/>
      <c r="CE391" s="85"/>
      <c r="CF391" s="85"/>
      <c r="CG391" s="85"/>
      <c r="CH391" s="85"/>
      <c r="CI391" s="85"/>
      <c r="CJ391" s="85"/>
      <c r="CK391" s="85"/>
      <c r="CL391" s="85"/>
      <c r="CM391" s="85"/>
      <c r="CN391" s="85"/>
      <c r="CO391" s="85"/>
      <c r="CP391" s="85"/>
      <c r="CQ391" s="85"/>
      <c r="CR391" s="85"/>
      <c r="CS391" s="85"/>
      <c r="CT391" s="85"/>
      <c r="CU391" s="85"/>
      <c r="CV391" s="85"/>
      <c r="CW391" s="85"/>
      <c r="CX391" s="85"/>
      <c r="CY391" s="85"/>
      <c r="CZ391" s="85"/>
      <c r="DA391" s="85"/>
      <c r="DB391" s="85"/>
      <c r="DC391" s="85"/>
      <c r="DD391" s="85"/>
      <c r="DE391" s="85"/>
      <c r="DF391" s="85"/>
      <c r="DG391" s="85"/>
      <c r="DH391" s="85"/>
      <c r="DI391" s="85"/>
      <c r="DJ391" s="85"/>
      <c r="DK391" s="85"/>
      <c r="DL391" s="85"/>
      <c r="DM391" s="85"/>
      <c r="DN391" s="85"/>
      <c r="DO391" s="85"/>
      <c r="DP391" s="85"/>
      <c r="DQ391" s="85"/>
      <c r="DR391" s="85"/>
      <c r="DS391" s="85"/>
      <c r="DT391" s="85"/>
      <c r="DU391" s="85"/>
      <c r="DV391" s="85"/>
      <c r="DW391" s="85"/>
      <c r="DX391" s="85"/>
      <c r="DY391" s="85"/>
      <c r="DZ391" s="85"/>
      <c r="EA391" s="85"/>
      <c r="EB391" s="85"/>
      <c r="EC391" s="85"/>
      <c r="ED391" s="85"/>
      <c r="EE391" s="85"/>
      <c r="EF391" s="85"/>
      <c r="EG391" s="85"/>
      <c r="EH391" s="85"/>
      <c r="EI391" s="85"/>
      <c r="EJ391" s="85"/>
      <c r="EK391" s="85"/>
      <c r="EL391" s="85"/>
      <c r="EM391" s="85"/>
      <c r="EN391" s="85"/>
      <c r="EO391" s="85"/>
      <c r="EP391" s="85"/>
      <c r="EQ391" s="85"/>
      <c r="ER391" s="85"/>
      <c r="ES391" s="85"/>
      <c r="ET391" s="85"/>
      <c r="EU391" s="85"/>
      <c r="EV391" s="85"/>
      <c r="EW391" s="85"/>
      <c r="EX391" s="85"/>
      <c r="EY391" s="85"/>
      <c r="EZ391" s="85"/>
      <c r="FA391" s="85"/>
      <c r="FB391" s="85"/>
      <c r="FC391" s="85"/>
      <c r="FD391" s="85"/>
      <c r="FE391" s="85"/>
      <c r="FF391" s="85"/>
      <c r="FG391" s="85"/>
      <c r="FH391" s="85"/>
      <c r="FI391" s="85"/>
      <c r="FJ391" s="85"/>
      <c r="FK391" s="85"/>
      <c r="FL391" s="85"/>
      <c r="FM391" s="85"/>
      <c r="FN391" s="85"/>
      <c r="FO391" s="85"/>
      <c r="FP391" s="85"/>
      <c r="FQ391" s="85"/>
      <c r="FR391" s="85"/>
      <c r="FS391" s="85"/>
      <c r="FT391" s="85"/>
      <c r="FU391" s="85"/>
      <c r="FV391" s="85"/>
      <c r="FW391" s="85"/>
      <c r="FX391" s="85"/>
      <c r="FY391" s="85"/>
      <c r="FZ391" s="85"/>
      <c r="GA391" s="85"/>
      <c r="GB391" s="85"/>
      <c r="GC391" s="85"/>
      <c r="GD391" s="85"/>
      <c r="GE391" s="85"/>
      <c r="GF391" s="85"/>
      <c r="GG391" s="85"/>
      <c r="GH391" s="85"/>
      <c r="GI391" s="85"/>
      <c r="GJ391" s="85"/>
      <c r="GK391" s="85"/>
      <c r="GL391" s="85"/>
      <c r="GM391" s="85"/>
      <c r="GN391" s="85"/>
      <c r="GO391" s="85"/>
      <c r="GP391" s="85"/>
      <c r="GQ391" s="85"/>
      <c r="GR391" s="85"/>
      <c r="GS391" s="85"/>
      <c r="GT391" s="85"/>
      <c r="GU391" s="85"/>
      <c r="GV391" s="85"/>
      <c r="GW391" s="85"/>
      <c r="GX391" s="85"/>
      <c r="GY391" s="85"/>
      <c r="GZ391" s="85"/>
      <c r="HA391" s="85"/>
      <c r="HB391" s="85"/>
      <c r="HC391" s="85"/>
      <c r="HD391" s="85"/>
      <c r="HE391" s="85"/>
      <c r="HF391" s="85"/>
      <c r="HG391" s="85"/>
      <c r="HH391" s="85"/>
      <c r="HI391" s="85"/>
      <c r="HJ391" s="85"/>
      <c r="HK391" s="85"/>
      <c r="HL391" s="85"/>
      <c r="HM391" s="85"/>
      <c r="HN391" s="85"/>
      <c r="HO391" s="85"/>
      <c r="HP391" s="85"/>
      <c r="HQ391" s="85"/>
      <c r="HR391" s="85"/>
      <c r="HS391" s="85"/>
      <c r="HT391" s="85"/>
      <c r="HU391" s="85"/>
      <c r="HV391" s="85"/>
      <c r="HW391" s="85"/>
      <c r="HX391" s="85"/>
      <c r="HY391" s="85"/>
      <c r="HZ391" s="85"/>
      <c r="IA391" s="85"/>
      <c r="IB391" s="85"/>
      <c r="IC391" s="85"/>
      <c r="ID391" s="85"/>
      <c r="IE391" s="85"/>
      <c r="IF391" s="85"/>
      <c r="IG391" s="85"/>
      <c r="IH391" s="85"/>
      <c r="II391" s="85"/>
      <c r="IJ391" s="85"/>
      <c r="IK391" s="85"/>
      <c r="IL391" s="85"/>
      <c r="IM391" s="85"/>
      <c r="IN391" s="85"/>
      <c r="IO391" s="85"/>
      <c r="IP391" s="85"/>
      <c r="IQ391" s="85"/>
      <c r="IR391" s="85"/>
      <c r="IS391" s="85"/>
      <c r="IT391" s="85"/>
      <c r="IU391" s="85"/>
      <c r="IV391" s="85"/>
      <c r="IW391" s="85"/>
      <c r="IX391" s="85"/>
      <c r="IY391" s="85"/>
      <c r="IZ391" s="85"/>
      <c r="JA391" s="85"/>
      <c r="JB391" s="85"/>
      <c r="JC391" s="85"/>
      <c r="JD391" s="85"/>
      <c r="JE391" s="85"/>
      <c r="JF391" s="85"/>
      <c r="JG391" s="85"/>
      <c r="JH391" s="85"/>
      <c r="JI391" s="85"/>
      <c r="JJ391" s="85"/>
      <c r="JK391" s="85"/>
      <c r="JL391" s="85"/>
      <c r="JM391" s="85"/>
      <c r="JN391" s="85"/>
      <c r="JO391" s="85"/>
      <c r="JP391" s="85"/>
      <c r="JQ391" s="85"/>
      <c r="JR391" s="85"/>
      <c r="JS391" s="85"/>
      <c r="JT391" s="85"/>
      <c r="JU391" s="85"/>
      <c r="JV391" s="85"/>
      <c r="JW391" s="85"/>
      <c r="JX391" s="85"/>
      <c r="JY391" s="85"/>
      <c r="JZ391" s="85"/>
      <c r="KA391" s="85"/>
      <c r="KB391" s="85"/>
      <c r="KC391" s="85"/>
      <c r="KD391" s="85"/>
      <c r="KE391" s="85"/>
      <c r="KF391" s="85"/>
      <c r="KG391" s="85"/>
      <c r="KH391" s="85"/>
      <c r="KI391" s="85"/>
      <c r="KJ391" s="85"/>
      <c r="KK391" s="85"/>
      <c r="KL391" s="85"/>
      <c r="KM391" s="85"/>
      <c r="KN391" s="85"/>
      <c r="KO391" s="85"/>
      <c r="KP391" s="85"/>
      <c r="KQ391" s="85"/>
      <c r="KR391" s="85"/>
      <c r="KS391" s="85"/>
      <c r="KT391" s="85"/>
      <c r="KU391" s="85"/>
      <c r="KV391" s="85"/>
      <c r="KW391" s="85"/>
      <c r="KX391" s="85"/>
      <c r="KY391" s="85"/>
      <c r="KZ391" s="85"/>
      <c r="LA391" s="85"/>
      <c r="LB391" s="85"/>
      <c r="LC391" s="85"/>
      <c r="LD391" s="85"/>
      <c r="LE391" s="85"/>
      <c r="LF391" s="85"/>
      <c r="LG391" s="85"/>
      <c r="LH391" s="85"/>
      <c r="LI391" s="85"/>
      <c r="LJ391" s="85"/>
      <c r="LK391" s="85"/>
      <c r="LL391" s="85"/>
      <c r="LM391" s="85"/>
      <c r="LN391" s="85"/>
      <c r="LO391" s="85"/>
      <c r="LP391" s="85"/>
      <c r="LQ391" s="85"/>
      <c r="LR391" s="85"/>
      <c r="LS391" s="85"/>
      <c r="LT391" s="85"/>
      <c r="LU391" s="85"/>
      <c r="LV391" s="85"/>
      <c r="LW391" s="85"/>
      <c r="LX391" s="85"/>
      <c r="LY391" s="85"/>
      <c r="LZ391" s="85"/>
      <c r="MA391" s="85"/>
      <c r="MB391" s="85"/>
      <c r="MC391" s="85"/>
      <c r="MD391" s="85"/>
      <c r="ME391" s="85"/>
      <c r="MF391" s="85"/>
      <c r="MG391" s="85"/>
      <c r="MH391" s="85"/>
      <c r="MI391" s="85"/>
      <c r="MJ391" s="85"/>
      <c r="MK391" s="85"/>
      <c r="ML391" s="85"/>
      <c r="MM391" s="85"/>
      <c r="MN391" s="85"/>
      <c r="MO391" s="85"/>
      <c r="MP391" s="85"/>
      <c r="MQ391" s="85"/>
      <c r="MR391" s="85"/>
      <c r="MS391" s="85"/>
      <c r="MT391" s="85"/>
      <c r="MU391" s="85"/>
      <c r="MV391" s="85"/>
      <c r="MW391" s="85"/>
      <c r="MX391" s="85"/>
      <c r="MY391" s="85"/>
      <c r="MZ391" s="85"/>
      <c r="NA391" s="85"/>
      <c r="NB391" s="85"/>
      <c r="NC391" s="85"/>
      <c r="ND391" s="85"/>
      <c r="NE391" s="85"/>
      <c r="NF391" s="85"/>
      <c r="NG391" s="85"/>
      <c r="NH391" s="85"/>
      <c r="NI391" s="85"/>
      <c r="NJ391" s="85"/>
      <c r="NK391" s="85"/>
      <c r="NL391" s="85"/>
      <c r="NM391" s="85"/>
      <c r="NN391" s="85"/>
      <c r="NO391" s="85"/>
      <c r="NP391" s="85"/>
      <c r="NQ391" s="85"/>
      <c r="NR391" s="85"/>
      <c r="NS391" s="85"/>
      <c r="NT391" s="85"/>
      <c r="NU391" s="85"/>
      <c r="NV391" s="85"/>
      <c r="NW391" s="85"/>
      <c r="NX391" s="85"/>
      <c r="NY391" s="85"/>
      <c r="NZ391" s="85"/>
      <c r="OA391" s="85"/>
      <c r="OB391" s="85"/>
      <c r="OC391" s="85"/>
      <c r="OD391" s="85"/>
      <c r="OE391" s="85"/>
      <c r="OF391" s="85"/>
      <c r="OG391" s="85"/>
      <c r="OH391" s="85"/>
      <c r="OI391" s="85"/>
      <c r="OJ391" s="85"/>
      <c r="OK391" s="85"/>
      <c r="OL391" s="85"/>
      <c r="OM391" s="85"/>
      <c r="ON391" s="85"/>
      <c r="OO391" s="85"/>
      <c r="OP391" s="85"/>
      <c r="OQ391" s="85"/>
      <c r="OR391" s="85"/>
      <c r="OS391" s="85"/>
      <c r="OT391" s="85"/>
      <c r="OU391" s="85"/>
      <c r="OV391" s="85"/>
      <c r="OW391" s="85"/>
      <c r="OX391" s="85"/>
      <c r="OY391" s="85"/>
      <c r="OZ391" s="85"/>
      <c r="PA391" s="85"/>
      <c r="PB391" s="85"/>
      <c r="PC391" s="85"/>
      <c r="PD391" s="85"/>
      <c r="PE391" s="85"/>
      <c r="PF391" s="85"/>
      <c r="PG391" s="85"/>
      <c r="PH391" s="85"/>
      <c r="PI391" s="85"/>
      <c r="PJ391" s="85"/>
      <c r="PK391" s="85"/>
      <c r="PL391" s="85"/>
      <c r="PM391" s="85"/>
      <c r="PN391" s="85"/>
      <c r="PO391" s="85"/>
      <c r="PP391" s="85"/>
      <c r="PQ391" s="85"/>
      <c r="PR391" s="85"/>
      <c r="PS391" s="85"/>
      <c r="PT391" s="85"/>
      <c r="PU391" s="85"/>
      <c r="PV391" s="85"/>
      <c r="PW391" s="85"/>
      <c r="PX391" s="85"/>
      <c r="PY391" s="85"/>
      <c r="PZ391" s="85"/>
      <c r="QA391" s="85"/>
      <c r="QB391" s="85"/>
      <c r="QC391" s="85"/>
      <c r="QD391" s="85"/>
      <c r="QE391" s="85"/>
      <c r="QF391" s="85"/>
      <c r="QG391" s="85"/>
      <c r="QH391" s="85"/>
      <c r="QI391" s="85"/>
      <c r="QJ391" s="85"/>
      <c r="QK391" s="85"/>
      <c r="QL391" s="85"/>
      <c r="QM391" s="85"/>
      <c r="QN391" s="85"/>
      <c r="QO391" s="85"/>
      <c r="QP391" s="85"/>
      <c r="QQ391" s="85"/>
      <c r="QR391" s="85"/>
      <c r="QS391" s="85"/>
      <c r="QT391" s="85"/>
      <c r="QU391" s="85"/>
      <c r="QV391" s="85"/>
      <c r="QW391" s="85"/>
      <c r="QX391" s="85"/>
      <c r="QY391" s="85"/>
      <c r="QZ391" s="85"/>
      <c r="RA391" s="85"/>
      <c r="RB391" s="85"/>
      <c r="RC391" s="85"/>
      <c r="RD391" s="85"/>
      <c r="RE391" s="85"/>
      <c r="RF391" s="85"/>
      <c r="RG391" s="85"/>
      <c r="RH391" s="85"/>
      <c r="RI391" s="85"/>
      <c r="RJ391" s="85"/>
      <c r="RK391" s="85"/>
      <c r="RL391" s="85"/>
      <c r="RM391" s="85"/>
      <c r="RN391" s="85"/>
      <c r="RO391" s="85"/>
      <c r="RP391" s="85"/>
      <c r="RQ391" s="85"/>
      <c r="RR391" s="85"/>
      <c r="RS391" s="85"/>
      <c r="RT391" s="85"/>
      <c r="RU391" s="85"/>
      <c r="RV391" s="85"/>
      <c r="RW391" s="85"/>
      <c r="RX391" s="85"/>
      <c r="RY391" s="85"/>
      <c r="RZ391" s="85"/>
      <c r="SA391" s="85"/>
      <c r="SB391" s="85"/>
      <c r="SC391" s="85"/>
      <c r="SD391" s="85"/>
      <c r="SE391" s="85"/>
      <c r="SF391" s="85"/>
      <c r="SG391" s="85"/>
      <c r="SH391" s="85"/>
      <c r="SI391" s="85"/>
      <c r="SJ391" s="85"/>
      <c r="SK391" s="85"/>
      <c r="SL391" s="85"/>
      <c r="SM391" s="85"/>
      <c r="SN391" s="85"/>
      <c r="SO391" s="85"/>
      <c r="SP391" s="85"/>
      <c r="SQ391" s="85"/>
      <c r="SR391" s="85"/>
      <c r="SS391" s="85"/>
      <c r="ST391" s="85"/>
      <c r="SU391" s="85"/>
      <c r="SV391" s="85"/>
      <c r="SW391" s="85"/>
      <c r="SX391" s="85"/>
      <c r="SY391" s="85"/>
      <c r="SZ391" s="85"/>
      <c r="TA391" s="85"/>
      <c r="TB391" s="85"/>
      <c r="TC391" s="85"/>
      <c r="TD391" s="85"/>
      <c r="TE391" s="85"/>
      <c r="TF391" s="85"/>
      <c r="TG391" s="85"/>
      <c r="TH391" s="85"/>
      <c r="TI391" s="85"/>
      <c r="TJ391" s="85"/>
      <c r="TK391" s="85"/>
      <c r="TL391" s="85"/>
    </row>
    <row r="392" spans="1:532" s="85" customFormat="1" ht="12.75" customHeight="1">
      <c r="A392" s="122" t="s">
        <v>314</v>
      </c>
      <c r="B392" s="240" t="s">
        <v>315</v>
      </c>
      <c r="C392" s="124"/>
      <c r="D392" s="124">
        <f>+[2]ordinario!C485</f>
        <v>500000000</v>
      </c>
      <c r="E392" s="124">
        <v>4207602754.54</v>
      </c>
      <c r="F392" s="146"/>
      <c r="G392" s="138"/>
      <c r="H392" s="98"/>
      <c r="I392" s="140">
        <f t="shared" ref="I392:N392" si="20">SUM(I393:I415)</f>
        <v>423330504.11000001</v>
      </c>
      <c r="J392" s="140">
        <f t="shared" si="20"/>
        <v>423330504.11000001</v>
      </c>
      <c r="K392" s="140">
        <f t="shared" si="20"/>
        <v>0</v>
      </c>
      <c r="L392" s="140">
        <f t="shared" si="20"/>
        <v>0</v>
      </c>
      <c r="M392" s="140">
        <f t="shared" si="20"/>
        <v>0</v>
      </c>
      <c r="N392" s="140">
        <f t="shared" si="20"/>
        <v>3784272250.435894</v>
      </c>
    </row>
    <row r="393" spans="1:532" s="85" customFormat="1" ht="12.75" customHeight="1">
      <c r="A393" s="122"/>
      <c r="B393" s="124"/>
      <c r="C393" s="124"/>
      <c r="D393" s="124"/>
      <c r="E393" s="124"/>
      <c r="F393" s="96" t="s">
        <v>178</v>
      </c>
      <c r="G393" s="97" t="s">
        <v>316</v>
      </c>
      <c r="H393" s="98" t="s">
        <v>77</v>
      </c>
      <c r="I393" s="125">
        <v>99206.38</v>
      </c>
      <c r="J393" s="125">
        <f>+I393</f>
        <v>99206.38</v>
      </c>
      <c r="K393" s="125"/>
      <c r="L393" s="125"/>
      <c r="M393" s="125"/>
      <c r="N393" s="126">
        <f>-I393+[2]ordinario!I487</f>
        <v>0</v>
      </c>
    </row>
    <row r="394" spans="1:532" s="85" customFormat="1" ht="13.5" customHeight="1">
      <c r="A394" s="122"/>
      <c r="B394" s="240"/>
      <c r="C394" s="124"/>
      <c r="D394" s="124"/>
      <c r="E394" s="124"/>
      <c r="F394" s="146"/>
      <c r="G394" s="138"/>
      <c r="H394" s="98" t="s">
        <v>79</v>
      </c>
      <c r="I394" s="125"/>
      <c r="J394" s="125">
        <f>+I394</f>
        <v>0</v>
      </c>
      <c r="K394" s="125"/>
      <c r="L394" s="125"/>
      <c r="M394" s="125"/>
      <c r="N394" s="125"/>
    </row>
    <row r="395" spans="1:532" s="85" customFormat="1" ht="13.5" customHeight="1">
      <c r="A395" s="122"/>
      <c r="B395" s="240"/>
      <c r="C395" s="124"/>
      <c r="D395" s="124"/>
      <c r="E395" s="124"/>
      <c r="F395" s="146"/>
      <c r="G395" s="138"/>
      <c r="H395" s="98"/>
      <c r="I395" s="125"/>
      <c r="J395" s="125"/>
      <c r="K395" s="125"/>
      <c r="L395" s="125"/>
      <c r="M395" s="125"/>
      <c r="N395" s="125"/>
    </row>
    <row r="396" spans="1:532" s="85" customFormat="1" ht="12.75" customHeight="1">
      <c r="A396" s="122"/>
      <c r="B396" s="240"/>
      <c r="C396" s="124"/>
      <c r="D396" s="124"/>
      <c r="E396" s="124"/>
      <c r="F396" s="96" t="s">
        <v>171</v>
      </c>
      <c r="G396" s="97" t="s">
        <v>189</v>
      </c>
      <c r="H396" s="98" t="s">
        <v>82</v>
      </c>
      <c r="I396" s="125">
        <f>1121719099.52-I447-I845</f>
        <v>423231297.73000002</v>
      </c>
      <c r="J396" s="125">
        <f>+I396</f>
        <v>423231297.73000002</v>
      </c>
      <c r="K396" s="125"/>
      <c r="L396" s="125"/>
      <c r="M396" s="125"/>
      <c r="N396" s="125">
        <f>-I396+[2]ordinario!I489</f>
        <v>1.9999980926513672E-2</v>
      </c>
    </row>
    <row r="397" spans="1:532" s="85" customFormat="1" ht="12.75" customHeight="1">
      <c r="A397" s="122"/>
      <c r="B397" s="240"/>
      <c r="C397" s="124"/>
      <c r="D397" s="124"/>
      <c r="E397" s="124"/>
      <c r="F397" s="96"/>
      <c r="G397" s="138"/>
      <c r="H397" s="98"/>
      <c r="I397" s="125"/>
      <c r="J397" s="125"/>
      <c r="K397" s="125"/>
      <c r="L397" s="125"/>
      <c r="M397" s="125"/>
      <c r="N397" s="125"/>
    </row>
    <row r="398" spans="1:532" s="85" customFormat="1" ht="12.75" customHeight="1">
      <c r="A398" s="122"/>
      <c r="B398" s="240"/>
      <c r="C398" s="124"/>
      <c r="D398" s="124"/>
      <c r="E398" s="124"/>
      <c r="F398" s="96" t="s">
        <v>245</v>
      </c>
      <c r="G398" s="97" t="s">
        <v>246</v>
      </c>
      <c r="H398" s="98" t="s">
        <v>81</v>
      </c>
      <c r="I398" s="125"/>
      <c r="J398" s="125"/>
      <c r="K398" s="125">
        <f>+I398</f>
        <v>0</v>
      </c>
      <c r="L398" s="125"/>
      <c r="M398" s="125"/>
      <c r="N398" s="125">
        <f>-I398+[2]ordinario!I494</f>
        <v>6669495.8700000048</v>
      </c>
    </row>
    <row r="399" spans="1:532" s="85" customFormat="1" ht="12.75" customHeight="1">
      <c r="A399" s="122"/>
      <c r="B399" s="240"/>
      <c r="C399" s="124"/>
      <c r="D399" s="124"/>
      <c r="E399" s="124"/>
      <c r="F399" s="96"/>
      <c r="G399" s="138"/>
      <c r="H399" s="98"/>
      <c r="I399" s="125"/>
      <c r="J399" s="125"/>
      <c r="K399" s="125"/>
      <c r="L399" s="125"/>
      <c r="M399" s="125"/>
      <c r="N399" s="125"/>
    </row>
    <row r="400" spans="1:532" s="85" customFormat="1" ht="12.75" customHeight="1">
      <c r="A400" s="122"/>
      <c r="B400" s="240"/>
      <c r="C400" s="124"/>
      <c r="D400" s="124"/>
      <c r="E400" s="124"/>
      <c r="F400" s="96" t="s">
        <v>219</v>
      </c>
      <c r="G400" s="97" t="s">
        <v>464</v>
      </c>
      <c r="H400" s="98" t="s">
        <v>77</v>
      </c>
      <c r="I400" s="125">
        <v>0</v>
      </c>
      <c r="J400" s="125">
        <v>0</v>
      </c>
      <c r="K400" s="125"/>
      <c r="L400" s="125"/>
      <c r="M400" s="125"/>
      <c r="N400" s="125">
        <f>-I400+[2]ordinario!I496</f>
        <v>70000000</v>
      </c>
    </row>
    <row r="401" spans="1:532" s="85" customFormat="1" ht="12.75" customHeight="1">
      <c r="A401" s="122"/>
      <c r="B401" s="240"/>
      <c r="C401" s="124"/>
      <c r="D401" s="124"/>
      <c r="E401" s="124"/>
      <c r="F401" s="96"/>
      <c r="G401" s="138"/>
      <c r="H401" s="98"/>
      <c r="I401" s="125"/>
      <c r="J401" s="125"/>
      <c r="K401" s="125"/>
      <c r="L401" s="125"/>
      <c r="M401" s="125"/>
      <c r="N401" s="125"/>
    </row>
    <row r="402" spans="1:532" s="85" customFormat="1" ht="12.75" customHeight="1">
      <c r="A402" s="122"/>
      <c r="B402" s="124"/>
      <c r="C402" s="124"/>
      <c r="D402" s="124"/>
      <c r="E402" s="124"/>
      <c r="F402" s="146"/>
      <c r="G402" s="97" t="s">
        <v>700</v>
      </c>
      <c r="H402" s="98" t="s">
        <v>82</v>
      </c>
      <c r="I402" s="265"/>
      <c r="J402" s="125">
        <f>+I402</f>
        <v>0</v>
      </c>
      <c r="K402" s="125"/>
      <c r="L402" s="125"/>
      <c r="M402" s="125"/>
      <c r="N402" s="125">
        <v>728129432.73000002</v>
      </c>
    </row>
    <row r="403" spans="1:532" s="85" customFormat="1" ht="12.75" customHeight="1">
      <c r="A403" s="122"/>
      <c r="B403" s="240"/>
      <c r="C403" s="124"/>
      <c r="D403" s="124"/>
      <c r="E403" s="124"/>
      <c r="F403" s="146"/>
      <c r="G403" s="97" t="s">
        <v>331</v>
      </c>
      <c r="H403" s="98"/>
      <c r="I403" s="125"/>
      <c r="J403" s="125"/>
      <c r="K403" s="125"/>
      <c r="L403" s="125"/>
      <c r="M403" s="125"/>
      <c r="N403" s="125">
        <v>273774384.00589383</v>
      </c>
      <c r="O403" s="89" t="e">
        <f>+#REF!-#REF!</f>
        <v>#REF!</v>
      </c>
    </row>
    <row r="404" spans="1:532" s="85" customFormat="1" ht="12.75" customHeight="1">
      <c r="A404" s="122"/>
      <c r="B404" s="240"/>
      <c r="C404" s="124"/>
      <c r="D404" s="124"/>
      <c r="E404" s="124"/>
      <c r="F404" s="146"/>
      <c r="G404" s="97" t="s">
        <v>699</v>
      </c>
      <c r="H404" s="98"/>
      <c r="I404" s="125"/>
      <c r="J404" s="125"/>
      <c r="K404" s="125"/>
      <c r="L404" s="125"/>
      <c r="M404" s="125"/>
      <c r="N404" s="125"/>
    </row>
    <row r="405" spans="1:532" s="85" customFormat="1" ht="12.75" customHeight="1">
      <c r="A405" s="122"/>
      <c r="B405" s="240"/>
      <c r="C405" s="124"/>
      <c r="D405" s="124"/>
      <c r="E405" s="124"/>
      <c r="F405" s="146" t="s">
        <v>171</v>
      </c>
      <c r="G405" s="97" t="s">
        <v>183</v>
      </c>
      <c r="H405" s="98" t="s">
        <v>82</v>
      </c>
      <c r="I405" s="125"/>
      <c r="J405" s="125">
        <f>+I405</f>
        <v>0</v>
      </c>
      <c r="K405" s="125"/>
      <c r="L405" s="125"/>
      <c r="M405" s="125"/>
      <c r="N405" s="125">
        <f>813117805.93*0.02</f>
        <v>16262356.1186</v>
      </c>
    </row>
    <row r="406" spans="1:532" s="85" customFormat="1" ht="12.75" customHeight="1">
      <c r="A406" s="122"/>
      <c r="B406" s="240"/>
      <c r="C406" s="124"/>
      <c r="D406" s="124"/>
      <c r="E406" s="124"/>
      <c r="F406" s="146" t="s">
        <v>171</v>
      </c>
      <c r="G406" s="97" t="s">
        <v>185</v>
      </c>
      <c r="H406" s="98" t="s">
        <v>82</v>
      </c>
      <c r="I406" s="125"/>
      <c r="J406" s="125">
        <f>+I406</f>
        <v>0</v>
      </c>
      <c r="K406" s="125"/>
      <c r="L406" s="125"/>
      <c r="M406" s="125"/>
      <c r="N406" s="125">
        <f>813117805.93*0.1</f>
        <v>81311780.592999995</v>
      </c>
    </row>
    <row r="407" spans="1:532" s="85" customFormat="1" ht="12.75" customHeight="1">
      <c r="A407" s="122"/>
      <c r="B407" s="240"/>
      <c r="C407" s="124"/>
      <c r="D407" s="124"/>
      <c r="E407" s="124"/>
      <c r="F407" s="146" t="s">
        <v>171</v>
      </c>
      <c r="G407" s="97" t="s">
        <v>698</v>
      </c>
      <c r="H407" s="98" t="s">
        <v>82</v>
      </c>
      <c r="I407" s="125"/>
      <c r="J407" s="125">
        <f>+I407</f>
        <v>0</v>
      </c>
      <c r="K407" s="125"/>
      <c r="L407" s="125"/>
      <c r="M407" s="125"/>
      <c r="N407" s="125">
        <f>813117805.93*0.01</f>
        <v>8131178.0592999998</v>
      </c>
    </row>
    <row r="408" spans="1:532" s="85" customFormat="1" ht="12.75" customHeight="1">
      <c r="A408" s="122"/>
      <c r="B408" s="240"/>
      <c r="C408" s="124"/>
      <c r="D408" s="124"/>
      <c r="E408" s="124"/>
      <c r="F408" s="146"/>
      <c r="G408" s="97" t="s">
        <v>697</v>
      </c>
      <c r="H408" s="98"/>
      <c r="I408" s="125"/>
      <c r="J408" s="125"/>
      <c r="K408" s="125"/>
      <c r="L408" s="125"/>
      <c r="M408" s="125"/>
      <c r="N408" s="125">
        <f>813117805.93*0.04</f>
        <v>32524712.237199999</v>
      </c>
    </row>
    <row r="409" spans="1:532" s="85" customFormat="1" ht="12.75" customHeight="1">
      <c r="A409" s="122"/>
      <c r="B409" s="240"/>
      <c r="C409" s="124"/>
      <c r="D409" s="124"/>
      <c r="E409" s="124"/>
      <c r="F409" s="146"/>
      <c r="G409" s="97" t="s">
        <v>696</v>
      </c>
      <c r="H409" s="98"/>
      <c r="I409" s="125"/>
      <c r="J409" s="125"/>
      <c r="K409" s="125"/>
      <c r="L409" s="125"/>
      <c r="M409" s="125"/>
      <c r="N409" s="125">
        <f>813117805.93*0.83</f>
        <v>674887778.92189991</v>
      </c>
    </row>
    <row r="410" spans="1:532" s="85" customFormat="1" ht="12.75" customHeight="1">
      <c r="A410" s="122"/>
      <c r="B410" s="240"/>
      <c r="C410" s="124"/>
      <c r="D410" s="124"/>
      <c r="E410" s="124"/>
      <c r="F410" s="146"/>
      <c r="G410" s="97" t="s">
        <v>274</v>
      </c>
      <c r="H410" s="98"/>
      <c r="I410" s="125"/>
      <c r="J410" s="125"/>
      <c r="K410" s="125"/>
      <c r="L410" s="125"/>
      <c r="M410" s="125"/>
      <c r="N410" s="125">
        <v>897765582.02999997</v>
      </c>
    </row>
    <row r="411" spans="1:532" s="85" customFormat="1" ht="12.75" customHeight="1">
      <c r="A411" s="122"/>
      <c r="B411" s="240"/>
      <c r="C411" s="124"/>
      <c r="D411" s="124"/>
      <c r="E411" s="124"/>
      <c r="F411" s="146"/>
      <c r="G411" s="97" t="s">
        <v>348</v>
      </c>
      <c r="H411" s="98"/>
      <c r="I411" s="125"/>
      <c r="J411" s="125"/>
      <c r="K411" s="125"/>
      <c r="L411" s="125"/>
      <c r="M411" s="125"/>
      <c r="N411" s="125">
        <v>129960707.87</v>
      </c>
    </row>
    <row r="412" spans="1:532" s="85" customFormat="1" ht="12.75" customHeight="1">
      <c r="A412" s="122"/>
      <c r="B412" s="240"/>
      <c r="C412" s="124"/>
      <c r="D412" s="124"/>
      <c r="E412" s="124"/>
      <c r="F412" s="146"/>
      <c r="G412" s="97" t="s">
        <v>349</v>
      </c>
      <c r="H412" s="98"/>
      <c r="I412" s="125"/>
      <c r="J412" s="125"/>
      <c r="K412" s="125"/>
      <c r="L412" s="125"/>
      <c r="M412" s="125"/>
      <c r="N412" s="125">
        <v>131297019.31999999</v>
      </c>
    </row>
    <row r="413" spans="1:532" s="85" customFormat="1" ht="12.75" customHeight="1">
      <c r="A413" s="122"/>
      <c r="B413" s="240"/>
      <c r="C413" s="124"/>
      <c r="D413" s="124"/>
      <c r="E413" s="124"/>
      <c r="F413" s="146"/>
      <c r="G413" s="97" t="s">
        <v>695</v>
      </c>
      <c r="H413" s="98"/>
      <c r="I413" s="125"/>
      <c r="J413" s="125"/>
      <c r="K413" s="125"/>
      <c r="L413" s="125"/>
      <c r="M413" s="125"/>
      <c r="N413" s="125">
        <v>145628161.24000001</v>
      </c>
    </row>
    <row r="414" spans="1:532" s="85" customFormat="1" ht="12.75" customHeight="1">
      <c r="A414" s="122"/>
      <c r="B414" s="240"/>
      <c r="C414" s="124"/>
      <c r="D414" s="124"/>
      <c r="E414" s="124"/>
      <c r="F414" s="146"/>
      <c r="G414" s="97" t="s">
        <v>694</v>
      </c>
      <c r="H414" s="98"/>
      <c r="I414" s="125"/>
      <c r="J414" s="125"/>
      <c r="K414" s="125"/>
      <c r="L414" s="125"/>
      <c r="M414" s="125"/>
      <c r="N414" s="125">
        <v>35501809.759999998</v>
      </c>
    </row>
    <row r="415" spans="1:532" s="85" customFormat="1" ht="12.75" customHeight="1">
      <c r="A415" s="122"/>
      <c r="B415" s="240"/>
      <c r="C415" s="124"/>
      <c r="D415" s="124"/>
      <c r="E415" s="124"/>
      <c r="F415" s="146"/>
      <c r="G415" s="97" t="s">
        <v>296</v>
      </c>
      <c r="H415" s="98"/>
      <c r="I415" s="125"/>
      <c r="J415" s="125"/>
      <c r="K415" s="125"/>
      <c r="L415" s="125"/>
      <c r="M415" s="125"/>
      <c r="N415" s="125">
        <v>552427851.65999997</v>
      </c>
    </row>
    <row r="416" spans="1:532" s="135" customFormat="1" ht="12.75" customHeight="1">
      <c r="A416" s="111"/>
      <c r="B416" s="243"/>
      <c r="C416" s="112"/>
      <c r="D416" s="112"/>
      <c r="E416" s="112"/>
      <c r="F416" s="242"/>
      <c r="G416" s="113"/>
      <c r="H416" s="114"/>
      <c r="I416" s="115"/>
      <c r="J416" s="115"/>
      <c r="K416" s="115"/>
      <c r="L416" s="115"/>
      <c r="M416" s="115"/>
      <c r="N416" s="116">
        <v>0</v>
      </c>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c r="AN416" s="85"/>
      <c r="AO416" s="85"/>
      <c r="AP416" s="85"/>
      <c r="AQ416" s="85"/>
      <c r="AR416" s="85"/>
      <c r="AS416" s="85"/>
      <c r="AT416" s="85"/>
      <c r="AU416" s="85"/>
      <c r="AV416" s="85"/>
      <c r="AW416" s="85"/>
      <c r="AX416" s="85"/>
      <c r="AY416" s="85"/>
      <c r="AZ416" s="85"/>
      <c r="BA416" s="85"/>
      <c r="BB416" s="85"/>
      <c r="BC416" s="85"/>
      <c r="BD416" s="85"/>
      <c r="BE416" s="85"/>
      <c r="BF416" s="85"/>
      <c r="BG416" s="85"/>
      <c r="BH416" s="85"/>
      <c r="BI416" s="85"/>
      <c r="BJ416" s="85"/>
      <c r="BK416" s="85"/>
      <c r="BL416" s="85"/>
      <c r="BM416" s="85"/>
      <c r="BN416" s="85"/>
      <c r="BO416" s="85"/>
      <c r="BP416" s="85"/>
      <c r="BQ416" s="85"/>
      <c r="BR416" s="85"/>
      <c r="BS416" s="85"/>
      <c r="BT416" s="85"/>
      <c r="BU416" s="85"/>
      <c r="BV416" s="85"/>
      <c r="BW416" s="85"/>
      <c r="BX416" s="85"/>
      <c r="BY416" s="85"/>
      <c r="BZ416" s="85"/>
      <c r="CA416" s="85"/>
      <c r="CB416" s="85"/>
      <c r="CC416" s="85"/>
      <c r="CD416" s="85"/>
      <c r="CE416" s="85"/>
      <c r="CF416" s="85"/>
      <c r="CG416" s="85"/>
      <c r="CH416" s="85"/>
      <c r="CI416" s="85"/>
      <c r="CJ416" s="85"/>
      <c r="CK416" s="85"/>
      <c r="CL416" s="85"/>
      <c r="CM416" s="85"/>
      <c r="CN416" s="85"/>
      <c r="CO416" s="85"/>
      <c r="CP416" s="85"/>
      <c r="CQ416" s="85"/>
      <c r="CR416" s="85"/>
      <c r="CS416" s="85"/>
      <c r="CT416" s="85"/>
      <c r="CU416" s="85"/>
      <c r="CV416" s="85"/>
      <c r="CW416" s="85"/>
      <c r="CX416" s="85"/>
      <c r="CY416" s="85"/>
      <c r="CZ416" s="85"/>
      <c r="DA416" s="85"/>
      <c r="DB416" s="85"/>
      <c r="DC416" s="85"/>
      <c r="DD416" s="85"/>
      <c r="DE416" s="85"/>
      <c r="DF416" s="85"/>
      <c r="DG416" s="85"/>
      <c r="DH416" s="85"/>
      <c r="DI416" s="85"/>
      <c r="DJ416" s="85"/>
      <c r="DK416" s="85"/>
      <c r="DL416" s="85"/>
      <c r="DM416" s="85"/>
      <c r="DN416" s="85"/>
      <c r="DO416" s="85"/>
      <c r="DP416" s="85"/>
      <c r="DQ416" s="85"/>
      <c r="DR416" s="85"/>
      <c r="DS416" s="85"/>
      <c r="DT416" s="85"/>
      <c r="DU416" s="85"/>
      <c r="DV416" s="85"/>
      <c r="DW416" s="85"/>
      <c r="DX416" s="85"/>
      <c r="DY416" s="85"/>
      <c r="DZ416" s="85"/>
      <c r="EA416" s="85"/>
      <c r="EB416" s="85"/>
      <c r="EC416" s="85"/>
      <c r="ED416" s="85"/>
      <c r="EE416" s="85"/>
      <c r="EF416" s="85"/>
      <c r="EG416" s="85"/>
      <c r="EH416" s="85"/>
      <c r="EI416" s="85"/>
      <c r="EJ416" s="85"/>
      <c r="EK416" s="85"/>
      <c r="EL416" s="85"/>
      <c r="EM416" s="85"/>
      <c r="EN416" s="85"/>
      <c r="EO416" s="85"/>
      <c r="EP416" s="85"/>
      <c r="EQ416" s="85"/>
      <c r="ER416" s="85"/>
      <c r="ES416" s="85"/>
      <c r="ET416" s="85"/>
      <c r="EU416" s="85"/>
      <c r="EV416" s="85"/>
      <c r="EW416" s="85"/>
      <c r="EX416" s="85"/>
      <c r="EY416" s="85"/>
      <c r="EZ416" s="85"/>
      <c r="FA416" s="85"/>
      <c r="FB416" s="85"/>
      <c r="FC416" s="85"/>
      <c r="FD416" s="85"/>
      <c r="FE416" s="85"/>
      <c r="FF416" s="85"/>
      <c r="FG416" s="85"/>
      <c r="FH416" s="85"/>
      <c r="FI416" s="85"/>
      <c r="FJ416" s="85"/>
      <c r="FK416" s="85"/>
      <c r="FL416" s="85"/>
      <c r="FM416" s="85"/>
      <c r="FN416" s="85"/>
      <c r="FO416" s="85"/>
      <c r="FP416" s="85"/>
      <c r="FQ416" s="85"/>
      <c r="FR416" s="85"/>
      <c r="FS416" s="85"/>
      <c r="FT416" s="85"/>
      <c r="FU416" s="85"/>
      <c r="FV416" s="85"/>
      <c r="FW416" s="85"/>
      <c r="FX416" s="85"/>
      <c r="FY416" s="85"/>
      <c r="FZ416" s="85"/>
      <c r="GA416" s="85"/>
      <c r="GB416" s="85"/>
      <c r="GC416" s="85"/>
      <c r="GD416" s="85"/>
      <c r="GE416" s="85"/>
      <c r="GF416" s="85"/>
      <c r="GG416" s="85"/>
      <c r="GH416" s="85"/>
      <c r="GI416" s="85"/>
      <c r="GJ416" s="85"/>
      <c r="GK416" s="85"/>
      <c r="GL416" s="85"/>
      <c r="GM416" s="85"/>
      <c r="GN416" s="85"/>
      <c r="GO416" s="85"/>
      <c r="GP416" s="85"/>
      <c r="GQ416" s="85"/>
      <c r="GR416" s="85"/>
      <c r="GS416" s="85"/>
      <c r="GT416" s="85"/>
      <c r="GU416" s="85"/>
      <c r="GV416" s="85"/>
      <c r="GW416" s="85"/>
      <c r="GX416" s="85"/>
      <c r="GY416" s="85"/>
      <c r="GZ416" s="85"/>
      <c r="HA416" s="85"/>
      <c r="HB416" s="85"/>
      <c r="HC416" s="85"/>
      <c r="HD416" s="85"/>
      <c r="HE416" s="85"/>
      <c r="HF416" s="85"/>
      <c r="HG416" s="85"/>
      <c r="HH416" s="85"/>
      <c r="HI416" s="85"/>
      <c r="HJ416" s="85"/>
      <c r="HK416" s="85"/>
      <c r="HL416" s="85"/>
      <c r="HM416" s="85"/>
      <c r="HN416" s="85"/>
      <c r="HO416" s="85"/>
      <c r="HP416" s="85"/>
      <c r="HQ416" s="85"/>
      <c r="HR416" s="85"/>
      <c r="HS416" s="85"/>
      <c r="HT416" s="85"/>
      <c r="HU416" s="85"/>
      <c r="HV416" s="85"/>
      <c r="HW416" s="85"/>
      <c r="HX416" s="85"/>
      <c r="HY416" s="85"/>
      <c r="HZ416" s="85"/>
      <c r="IA416" s="85"/>
      <c r="IB416" s="85"/>
      <c r="IC416" s="85"/>
      <c r="ID416" s="85"/>
      <c r="IE416" s="85"/>
      <c r="IF416" s="85"/>
      <c r="IG416" s="85"/>
      <c r="IH416" s="85"/>
      <c r="II416" s="85"/>
      <c r="IJ416" s="85"/>
      <c r="IK416" s="85"/>
      <c r="IL416" s="85"/>
      <c r="IM416" s="85"/>
      <c r="IN416" s="85"/>
      <c r="IO416" s="85"/>
      <c r="IP416" s="85"/>
      <c r="IQ416" s="85"/>
      <c r="IR416" s="85"/>
      <c r="IS416" s="85"/>
      <c r="IT416" s="85"/>
      <c r="IU416" s="85"/>
      <c r="IV416" s="85"/>
      <c r="IW416" s="85"/>
      <c r="IX416" s="85"/>
      <c r="IY416" s="85"/>
      <c r="IZ416" s="85"/>
      <c r="JA416" s="85"/>
      <c r="JB416" s="85"/>
      <c r="JC416" s="85"/>
      <c r="JD416" s="85"/>
      <c r="JE416" s="85"/>
      <c r="JF416" s="85"/>
      <c r="JG416" s="85"/>
      <c r="JH416" s="85"/>
      <c r="JI416" s="85"/>
      <c r="JJ416" s="85"/>
      <c r="JK416" s="85"/>
      <c r="JL416" s="85"/>
      <c r="JM416" s="85"/>
      <c r="JN416" s="85"/>
      <c r="JO416" s="85"/>
      <c r="JP416" s="85"/>
      <c r="JQ416" s="85"/>
      <c r="JR416" s="85"/>
      <c r="JS416" s="85"/>
      <c r="JT416" s="85"/>
      <c r="JU416" s="85"/>
      <c r="JV416" s="85"/>
      <c r="JW416" s="85"/>
      <c r="JX416" s="85"/>
      <c r="JY416" s="85"/>
      <c r="JZ416" s="85"/>
      <c r="KA416" s="85"/>
      <c r="KB416" s="85"/>
      <c r="KC416" s="85"/>
      <c r="KD416" s="85"/>
      <c r="KE416" s="85"/>
      <c r="KF416" s="85"/>
      <c r="KG416" s="85"/>
      <c r="KH416" s="85"/>
      <c r="KI416" s="85"/>
      <c r="KJ416" s="85"/>
      <c r="KK416" s="85"/>
      <c r="KL416" s="85"/>
      <c r="KM416" s="85"/>
      <c r="KN416" s="85"/>
      <c r="KO416" s="85"/>
      <c r="KP416" s="85"/>
      <c r="KQ416" s="85"/>
      <c r="KR416" s="85"/>
      <c r="KS416" s="85"/>
      <c r="KT416" s="85"/>
      <c r="KU416" s="85"/>
      <c r="KV416" s="85"/>
      <c r="KW416" s="85"/>
      <c r="KX416" s="85"/>
      <c r="KY416" s="85"/>
      <c r="KZ416" s="85"/>
      <c r="LA416" s="85"/>
      <c r="LB416" s="85"/>
      <c r="LC416" s="85"/>
      <c r="LD416" s="85"/>
      <c r="LE416" s="85"/>
      <c r="LF416" s="85"/>
      <c r="LG416" s="85"/>
      <c r="LH416" s="85"/>
      <c r="LI416" s="85"/>
      <c r="LJ416" s="85"/>
      <c r="LK416" s="85"/>
      <c r="LL416" s="85"/>
      <c r="LM416" s="85"/>
      <c r="LN416" s="85"/>
      <c r="LO416" s="85"/>
      <c r="LP416" s="85"/>
      <c r="LQ416" s="85"/>
      <c r="LR416" s="85"/>
      <c r="LS416" s="85"/>
      <c r="LT416" s="85"/>
      <c r="LU416" s="85"/>
      <c r="LV416" s="85"/>
      <c r="LW416" s="85"/>
      <c r="LX416" s="85"/>
      <c r="LY416" s="85"/>
      <c r="LZ416" s="85"/>
      <c r="MA416" s="85"/>
      <c r="MB416" s="85"/>
      <c r="MC416" s="85"/>
      <c r="MD416" s="85"/>
      <c r="ME416" s="85"/>
      <c r="MF416" s="85"/>
      <c r="MG416" s="85"/>
      <c r="MH416" s="85"/>
      <c r="MI416" s="85"/>
      <c r="MJ416" s="85"/>
      <c r="MK416" s="85"/>
      <c r="ML416" s="85"/>
      <c r="MM416" s="85"/>
      <c r="MN416" s="85"/>
      <c r="MO416" s="85"/>
      <c r="MP416" s="85"/>
      <c r="MQ416" s="85"/>
      <c r="MR416" s="85"/>
      <c r="MS416" s="85"/>
      <c r="MT416" s="85"/>
      <c r="MU416" s="85"/>
      <c r="MV416" s="85"/>
      <c r="MW416" s="85"/>
      <c r="MX416" s="85"/>
      <c r="MY416" s="85"/>
      <c r="MZ416" s="85"/>
      <c r="NA416" s="85"/>
      <c r="NB416" s="85"/>
      <c r="NC416" s="85"/>
      <c r="ND416" s="85"/>
      <c r="NE416" s="85"/>
      <c r="NF416" s="85"/>
      <c r="NG416" s="85"/>
      <c r="NH416" s="85"/>
      <c r="NI416" s="85"/>
      <c r="NJ416" s="85"/>
      <c r="NK416" s="85"/>
      <c r="NL416" s="85"/>
      <c r="NM416" s="85"/>
      <c r="NN416" s="85"/>
      <c r="NO416" s="85"/>
      <c r="NP416" s="85"/>
      <c r="NQ416" s="85"/>
      <c r="NR416" s="85"/>
      <c r="NS416" s="85"/>
      <c r="NT416" s="85"/>
      <c r="NU416" s="85"/>
      <c r="NV416" s="85"/>
      <c r="NW416" s="85"/>
      <c r="NX416" s="85"/>
      <c r="NY416" s="85"/>
      <c r="NZ416" s="85"/>
      <c r="OA416" s="85"/>
      <c r="OB416" s="85"/>
      <c r="OC416" s="85"/>
      <c r="OD416" s="85"/>
      <c r="OE416" s="85"/>
      <c r="OF416" s="85"/>
      <c r="OG416" s="85"/>
      <c r="OH416" s="85"/>
      <c r="OI416" s="85"/>
      <c r="OJ416" s="85"/>
      <c r="OK416" s="85"/>
      <c r="OL416" s="85"/>
      <c r="OM416" s="85"/>
      <c r="ON416" s="85"/>
      <c r="OO416" s="85"/>
      <c r="OP416" s="85"/>
      <c r="OQ416" s="85"/>
      <c r="OR416" s="85"/>
      <c r="OS416" s="85"/>
      <c r="OT416" s="85"/>
      <c r="OU416" s="85"/>
      <c r="OV416" s="85"/>
      <c r="OW416" s="85"/>
      <c r="OX416" s="85"/>
      <c r="OY416" s="85"/>
      <c r="OZ416" s="85"/>
      <c r="PA416" s="85"/>
      <c r="PB416" s="85"/>
      <c r="PC416" s="85"/>
      <c r="PD416" s="85"/>
      <c r="PE416" s="85"/>
      <c r="PF416" s="85"/>
      <c r="PG416" s="85"/>
      <c r="PH416" s="85"/>
      <c r="PI416" s="85"/>
      <c r="PJ416" s="85"/>
      <c r="PK416" s="85"/>
      <c r="PL416" s="85"/>
      <c r="PM416" s="85"/>
      <c r="PN416" s="85"/>
      <c r="PO416" s="85"/>
      <c r="PP416" s="85"/>
      <c r="PQ416" s="85"/>
      <c r="PR416" s="85"/>
      <c r="PS416" s="85"/>
      <c r="PT416" s="85"/>
      <c r="PU416" s="85"/>
      <c r="PV416" s="85"/>
      <c r="PW416" s="85"/>
      <c r="PX416" s="85"/>
      <c r="PY416" s="85"/>
      <c r="PZ416" s="85"/>
      <c r="QA416" s="85"/>
      <c r="QB416" s="85"/>
      <c r="QC416" s="85"/>
      <c r="QD416" s="85"/>
      <c r="QE416" s="85"/>
      <c r="QF416" s="85"/>
      <c r="QG416" s="85"/>
      <c r="QH416" s="85"/>
      <c r="QI416" s="85"/>
      <c r="QJ416" s="85"/>
      <c r="QK416" s="85"/>
      <c r="QL416" s="85"/>
      <c r="QM416" s="85"/>
      <c r="QN416" s="85"/>
      <c r="QO416" s="85"/>
      <c r="QP416" s="85"/>
      <c r="QQ416" s="85"/>
      <c r="QR416" s="85"/>
      <c r="QS416" s="85"/>
      <c r="QT416" s="85"/>
      <c r="QU416" s="85"/>
      <c r="QV416" s="85"/>
      <c r="QW416" s="85"/>
      <c r="QX416" s="85"/>
      <c r="QY416" s="85"/>
      <c r="QZ416" s="85"/>
      <c r="RA416" s="85"/>
      <c r="RB416" s="85"/>
      <c r="RC416" s="85"/>
      <c r="RD416" s="85"/>
      <c r="RE416" s="85"/>
      <c r="RF416" s="85"/>
      <c r="RG416" s="85"/>
      <c r="RH416" s="85"/>
      <c r="RI416" s="85"/>
      <c r="RJ416" s="85"/>
      <c r="RK416" s="85"/>
      <c r="RL416" s="85"/>
      <c r="RM416" s="85"/>
      <c r="RN416" s="85"/>
      <c r="RO416" s="85"/>
      <c r="RP416" s="85"/>
      <c r="RQ416" s="85"/>
      <c r="RR416" s="85"/>
      <c r="RS416" s="85"/>
      <c r="RT416" s="85"/>
      <c r="RU416" s="85"/>
      <c r="RV416" s="85"/>
      <c r="RW416" s="85"/>
      <c r="RX416" s="85"/>
      <c r="RY416" s="85"/>
      <c r="RZ416" s="85"/>
      <c r="SA416" s="85"/>
      <c r="SB416" s="85"/>
      <c r="SC416" s="85"/>
      <c r="SD416" s="85"/>
      <c r="SE416" s="85"/>
      <c r="SF416" s="85"/>
      <c r="SG416" s="85"/>
      <c r="SH416" s="85"/>
      <c r="SI416" s="85"/>
      <c r="SJ416" s="85"/>
      <c r="SK416" s="85"/>
      <c r="SL416" s="85"/>
      <c r="SM416" s="85"/>
      <c r="SN416" s="85"/>
      <c r="SO416" s="85"/>
      <c r="SP416" s="85"/>
      <c r="SQ416" s="85"/>
      <c r="SR416" s="85"/>
      <c r="SS416" s="85"/>
      <c r="ST416" s="85"/>
      <c r="SU416" s="85"/>
      <c r="SV416" s="85"/>
      <c r="SW416" s="85"/>
      <c r="SX416" s="85"/>
      <c r="SY416" s="85"/>
      <c r="SZ416" s="85"/>
      <c r="TA416" s="85"/>
      <c r="TB416" s="85"/>
      <c r="TC416" s="85"/>
      <c r="TD416" s="85"/>
      <c r="TE416" s="85"/>
      <c r="TF416" s="85"/>
      <c r="TG416" s="85"/>
      <c r="TH416" s="85"/>
      <c r="TI416" s="85"/>
      <c r="TJ416" s="85"/>
      <c r="TK416" s="85"/>
      <c r="TL416" s="85"/>
    </row>
    <row r="417" spans="1:532" s="85" customFormat="1" ht="12.75" customHeight="1">
      <c r="A417" s="128" t="s">
        <v>314</v>
      </c>
      <c r="B417" s="129" t="s">
        <v>319</v>
      </c>
      <c r="C417" s="95"/>
      <c r="D417" s="95"/>
      <c r="E417" s="95">
        <v>-37029120.890000001</v>
      </c>
      <c r="F417" s="256"/>
      <c r="G417" s="107"/>
      <c r="H417" s="105"/>
      <c r="I417" s="94">
        <f t="shared" ref="I417:N417" si="21">SUM(I418:I419)</f>
        <v>0</v>
      </c>
      <c r="J417" s="94">
        <f t="shared" si="21"/>
        <v>0</v>
      </c>
      <c r="K417" s="94">
        <f t="shared" si="21"/>
        <v>0</v>
      </c>
      <c r="L417" s="94">
        <f t="shared" si="21"/>
        <v>0</v>
      </c>
      <c r="M417" s="94">
        <f t="shared" si="21"/>
        <v>0</v>
      </c>
      <c r="N417" s="94">
        <f t="shared" si="21"/>
        <v>-37029120.890000001</v>
      </c>
    </row>
    <row r="418" spans="1:532" s="85" customFormat="1" ht="12.75" customHeight="1">
      <c r="A418" s="106"/>
      <c r="B418" s="257"/>
      <c r="C418" s="95"/>
      <c r="D418" s="95"/>
      <c r="E418" s="95"/>
      <c r="F418" s="256" t="s">
        <v>277</v>
      </c>
      <c r="G418" s="108"/>
      <c r="H418" s="105"/>
      <c r="I418" s="99"/>
      <c r="J418" s="99"/>
      <c r="K418" s="99"/>
      <c r="L418" s="99"/>
      <c r="M418" s="99"/>
      <c r="N418" s="99">
        <f>+E417-D417</f>
        <v>-37029120.890000001</v>
      </c>
    </row>
    <row r="419" spans="1:532" s="85" customFormat="1" ht="12.75" customHeight="1">
      <c r="A419" s="106"/>
      <c r="B419" s="257"/>
      <c r="C419" s="95"/>
      <c r="D419" s="95"/>
      <c r="E419" s="95"/>
      <c r="F419" s="256"/>
      <c r="G419" s="108"/>
      <c r="H419" s="105"/>
      <c r="I419" s="99"/>
      <c r="J419" s="99"/>
      <c r="K419" s="99"/>
      <c r="L419" s="99"/>
      <c r="M419" s="99"/>
      <c r="N419" s="99"/>
    </row>
    <row r="420" spans="1:532" s="135" customFormat="1" ht="12.75" customHeight="1">
      <c r="A420" s="111"/>
      <c r="B420" s="243"/>
      <c r="C420" s="112"/>
      <c r="D420" s="112"/>
      <c r="E420" s="112"/>
      <c r="F420" s="242"/>
      <c r="G420" s="113"/>
      <c r="H420" s="114"/>
      <c r="I420" s="115"/>
      <c r="J420" s="115"/>
      <c r="K420" s="115"/>
      <c r="L420" s="115"/>
      <c r="M420" s="115"/>
      <c r="N420" s="116"/>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M420" s="85"/>
      <c r="BN420" s="85"/>
      <c r="BO420" s="85"/>
      <c r="BP420" s="85"/>
      <c r="BQ420" s="85"/>
      <c r="BR420" s="85"/>
      <c r="BS420" s="85"/>
      <c r="BT420" s="85"/>
      <c r="BU420" s="85"/>
      <c r="BV420" s="85"/>
      <c r="BW420" s="85"/>
      <c r="BX420" s="85"/>
      <c r="BY420" s="85"/>
      <c r="BZ420" s="85"/>
      <c r="CA420" s="85"/>
      <c r="CB420" s="85"/>
      <c r="CC420" s="85"/>
      <c r="CD420" s="85"/>
      <c r="CE420" s="85"/>
      <c r="CF420" s="85"/>
      <c r="CG420" s="85"/>
      <c r="CH420" s="85"/>
      <c r="CI420" s="85"/>
      <c r="CJ420" s="85"/>
      <c r="CK420" s="85"/>
      <c r="CL420" s="85"/>
      <c r="CM420" s="85"/>
      <c r="CN420" s="85"/>
      <c r="CO420" s="85"/>
      <c r="CP420" s="85"/>
      <c r="CQ420" s="85"/>
      <c r="CR420" s="85"/>
      <c r="CS420" s="85"/>
      <c r="CT420" s="85"/>
      <c r="CU420" s="85"/>
      <c r="CV420" s="85"/>
      <c r="CW420" s="85"/>
      <c r="CX420" s="85"/>
      <c r="CY420" s="85"/>
      <c r="CZ420" s="85"/>
      <c r="DA420" s="85"/>
      <c r="DB420" s="85"/>
      <c r="DC420" s="85"/>
      <c r="DD420" s="85"/>
      <c r="DE420" s="85"/>
      <c r="DF420" s="85"/>
      <c r="DG420" s="85"/>
      <c r="DH420" s="85"/>
      <c r="DI420" s="85"/>
      <c r="DJ420" s="85"/>
      <c r="DK420" s="85"/>
      <c r="DL420" s="85"/>
      <c r="DM420" s="85"/>
      <c r="DN420" s="85"/>
      <c r="DO420" s="85"/>
      <c r="DP420" s="85"/>
      <c r="DQ420" s="85"/>
      <c r="DR420" s="85"/>
      <c r="DS420" s="85"/>
      <c r="DT420" s="85"/>
      <c r="DU420" s="85"/>
      <c r="DV420" s="85"/>
      <c r="DW420" s="85"/>
      <c r="DX420" s="85"/>
      <c r="DY420" s="85"/>
      <c r="DZ420" s="85"/>
      <c r="EA420" s="85"/>
      <c r="EB420" s="85"/>
      <c r="EC420" s="85"/>
      <c r="ED420" s="85"/>
      <c r="EE420" s="85"/>
      <c r="EF420" s="85"/>
      <c r="EG420" s="85"/>
      <c r="EH420" s="85"/>
      <c r="EI420" s="85"/>
      <c r="EJ420" s="85"/>
      <c r="EK420" s="85"/>
      <c r="EL420" s="85"/>
      <c r="EM420" s="85"/>
      <c r="EN420" s="85"/>
      <c r="EO420" s="85"/>
      <c r="EP420" s="85"/>
      <c r="EQ420" s="85"/>
      <c r="ER420" s="85"/>
      <c r="ES420" s="85"/>
      <c r="ET420" s="85"/>
      <c r="EU420" s="85"/>
      <c r="EV420" s="85"/>
      <c r="EW420" s="85"/>
      <c r="EX420" s="85"/>
      <c r="EY420" s="85"/>
      <c r="EZ420" s="85"/>
      <c r="FA420" s="85"/>
      <c r="FB420" s="85"/>
      <c r="FC420" s="85"/>
      <c r="FD420" s="85"/>
      <c r="FE420" s="85"/>
      <c r="FF420" s="85"/>
      <c r="FG420" s="85"/>
      <c r="FH420" s="85"/>
      <c r="FI420" s="85"/>
      <c r="FJ420" s="85"/>
      <c r="FK420" s="85"/>
      <c r="FL420" s="85"/>
      <c r="FM420" s="85"/>
      <c r="FN420" s="85"/>
      <c r="FO420" s="85"/>
      <c r="FP420" s="85"/>
      <c r="FQ420" s="85"/>
      <c r="FR420" s="85"/>
      <c r="FS420" s="85"/>
      <c r="FT420" s="85"/>
      <c r="FU420" s="85"/>
      <c r="FV420" s="85"/>
      <c r="FW420" s="85"/>
      <c r="FX420" s="85"/>
      <c r="FY420" s="85"/>
      <c r="FZ420" s="85"/>
      <c r="GA420" s="85"/>
      <c r="GB420" s="85"/>
      <c r="GC420" s="85"/>
      <c r="GD420" s="85"/>
      <c r="GE420" s="85"/>
      <c r="GF420" s="85"/>
      <c r="GG420" s="85"/>
      <c r="GH420" s="85"/>
      <c r="GI420" s="85"/>
      <c r="GJ420" s="85"/>
      <c r="GK420" s="85"/>
      <c r="GL420" s="85"/>
      <c r="GM420" s="85"/>
      <c r="GN420" s="85"/>
      <c r="GO420" s="85"/>
      <c r="GP420" s="85"/>
      <c r="GQ420" s="85"/>
      <c r="GR420" s="85"/>
      <c r="GS420" s="85"/>
      <c r="GT420" s="85"/>
      <c r="GU420" s="85"/>
      <c r="GV420" s="85"/>
      <c r="GW420" s="85"/>
      <c r="GX420" s="85"/>
      <c r="GY420" s="85"/>
      <c r="GZ420" s="85"/>
      <c r="HA420" s="85"/>
      <c r="HB420" s="85"/>
      <c r="HC420" s="85"/>
      <c r="HD420" s="85"/>
      <c r="HE420" s="85"/>
      <c r="HF420" s="85"/>
      <c r="HG420" s="85"/>
      <c r="HH420" s="85"/>
      <c r="HI420" s="85"/>
      <c r="HJ420" s="85"/>
      <c r="HK420" s="85"/>
      <c r="HL420" s="85"/>
      <c r="HM420" s="85"/>
      <c r="HN420" s="85"/>
      <c r="HO420" s="85"/>
      <c r="HP420" s="85"/>
      <c r="HQ420" s="85"/>
      <c r="HR420" s="85"/>
      <c r="HS420" s="85"/>
      <c r="HT420" s="85"/>
      <c r="HU420" s="85"/>
      <c r="HV420" s="85"/>
      <c r="HW420" s="85"/>
      <c r="HX420" s="85"/>
      <c r="HY420" s="85"/>
      <c r="HZ420" s="85"/>
      <c r="IA420" s="85"/>
      <c r="IB420" s="85"/>
      <c r="IC420" s="85"/>
      <c r="ID420" s="85"/>
      <c r="IE420" s="85"/>
      <c r="IF420" s="85"/>
      <c r="IG420" s="85"/>
      <c r="IH420" s="85"/>
      <c r="II420" s="85"/>
      <c r="IJ420" s="85"/>
      <c r="IK420" s="85"/>
      <c r="IL420" s="85"/>
      <c r="IM420" s="85"/>
      <c r="IN420" s="85"/>
      <c r="IO420" s="85"/>
      <c r="IP420" s="85"/>
      <c r="IQ420" s="85"/>
      <c r="IR420" s="85"/>
      <c r="IS420" s="85"/>
      <c r="IT420" s="85"/>
      <c r="IU420" s="85"/>
      <c r="IV420" s="85"/>
      <c r="IW420" s="85"/>
      <c r="IX420" s="85"/>
      <c r="IY420" s="85"/>
      <c r="IZ420" s="85"/>
      <c r="JA420" s="85"/>
      <c r="JB420" s="85"/>
      <c r="JC420" s="85"/>
      <c r="JD420" s="85"/>
      <c r="JE420" s="85"/>
      <c r="JF420" s="85"/>
      <c r="JG420" s="85"/>
      <c r="JH420" s="85"/>
      <c r="JI420" s="85"/>
      <c r="JJ420" s="85"/>
      <c r="JK420" s="85"/>
      <c r="JL420" s="85"/>
      <c r="JM420" s="85"/>
      <c r="JN420" s="85"/>
      <c r="JO420" s="85"/>
      <c r="JP420" s="85"/>
      <c r="JQ420" s="85"/>
      <c r="JR420" s="85"/>
      <c r="JS420" s="85"/>
      <c r="JT420" s="85"/>
      <c r="JU420" s="85"/>
      <c r="JV420" s="85"/>
      <c r="JW420" s="85"/>
      <c r="JX420" s="85"/>
      <c r="JY420" s="85"/>
      <c r="JZ420" s="85"/>
      <c r="KA420" s="85"/>
      <c r="KB420" s="85"/>
      <c r="KC420" s="85"/>
      <c r="KD420" s="85"/>
      <c r="KE420" s="85"/>
      <c r="KF420" s="85"/>
      <c r="KG420" s="85"/>
      <c r="KH420" s="85"/>
      <c r="KI420" s="85"/>
      <c r="KJ420" s="85"/>
      <c r="KK420" s="85"/>
      <c r="KL420" s="85"/>
      <c r="KM420" s="85"/>
      <c r="KN420" s="85"/>
      <c r="KO420" s="85"/>
      <c r="KP420" s="85"/>
      <c r="KQ420" s="85"/>
      <c r="KR420" s="85"/>
      <c r="KS420" s="85"/>
      <c r="KT420" s="85"/>
      <c r="KU420" s="85"/>
      <c r="KV420" s="85"/>
      <c r="KW420" s="85"/>
      <c r="KX420" s="85"/>
      <c r="KY420" s="85"/>
      <c r="KZ420" s="85"/>
      <c r="LA420" s="85"/>
      <c r="LB420" s="85"/>
      <c r="LC420" s="85"/>
      <c r="LD420" s="85"/>
      <c r="LE420" s="85"/>
      <c r="LF420" s="85"/>
      <c r="LG420" s="85"/>
      <c r="LH420" s="85"/>
      <c r="LI420" s="85"/>
      <c r="LJ420" s="85"/>
      <c r="LK420" s="85"/>
      <c r="LL420" s="85"/>
      <c r="LM420" s="85"/>
      <c r="LN420" s="85"/>
      <c r="LO420" s="85"/>
      <c r="LP420" s="85"/>
      <c r="LQ420" s="85"/>
      <c r="LR420" s="85"/>
      <c r="LS420" s="85"/>
      <c r="LT420" s="85"/>
      <c r="LU420" s="85"/>
      <c r="LV420" s="85"/>
      <c r="LW420" s="85"/>
      <c r="LX420" s="85"/>
      <c r="LY420" s="85"/>
      <c r="LZ420" s="85"/>
      <c r="MA420" s="85"/>
      <c r="MB420" s="85"/>
      <c r="MC420" s="85"/>
      <c r="MD420" s="85"/>
      <c r="ME420" s="85"/>
      <c r="MF420" s="85"/>
      <c r="MG420" s="85"/>
      <c r="MH420" s="85"/>
      <c r="MI420" s="85"/>
      <c r="MJ420" s="85"/>
      <c r="MK420" s="85"/>
      <c r="ML420" s="85"/>
      <c r="MM420" s="85"/>
      <c r="MN420" s="85"/>
      <c r="MO420" s="85"/>
      <c r="MP420" s="85"/>
      <c r="MQ420" s="85"/>
      <c r="MR420" s="85"/>
      <c r="MS420" s="85"/>
      <c r="MT420" s="85"/>
      <c r="MU420" s="85"/>
      <c r="MV420" s="85"/>
      <c r="MW420" s="85"/>
      <c r="MX420" s="85"/>
      <c r="MY420" s="85"/>
      <c r="MZ420" s="85"/>
      <c r="NA420" s="85"/>
      <c r="NB420" s="85"/>
      <c r="NC420" s="85"/>
      <c r="ND420" s="85"/>
      <c r="NE420" s="85"/>
      <c r="NF420" s="85"/>
      <c r="NG420" s="85"/>
      <c r="NH420" s="85"/>
      <c r="NI420" s="85"/>
      <c r="NJ420" s="85"/>
      <c r="NK420" s="85"/>
      <c r="NL420" s="85"/>
      <c r="NM420" s="85"/>
      <c r="NN420" s="85"/>
      <c r="NO420" s="85"/>
      <c r="NP420" s="85"/>
      <c r="NQ420" s="85"/>
      <c r="NR420" s="85"/>
      <c r="NS420" s="85"/>
      <c r="NT420" s="85"/>
      <c r="NU420" s="85"/>
      <c r="NV420" s="85"/>
      <c r="NW420" s="85"/>
      <c r="NX420" s="85"/>
      <c r="NY420" s="85"/>
      <c r="NZ420" s="85"/>
      <c r="OA420" s="85"/>
      <c r="OB420" s="85"/>
      <c r="OC420" s="85"/>
      <c r="OD420" s="85"/>
      <c r="OE420" s="85"/>
      <c r="OF420" s="85"/>
      <c r="OG420" s="85"/>
      <c r="OH420" s="85"/>
      <c r="OI420" s="85"/>
      <c r="OJ420" s="85"/>
      <c r="OK420" s="85"/>
      <c r="OL420" s="85"/>
      <c r="OM420" s="85"/>
      <c r="ON420" s="85"/>
      <c r="OO420" s="85"/>
      <c r="OP420" s="85"/>
      <c r="OQ420" s="85"/>
      <c r="OR420" s="85"/>
      <c r="OS420" s="85"/>
      <c r="OT420" s="85"/>
      <c r="OU420" s="85"/>
      <c r="OV420" s="85"/>
      <c r="OW420" s="85"/>
      <c r="OX420" s="85"/>
      <c r="OY420" s="85"/>
      <c r="OZ420" s="85"/>
      <c r="PA420" s="85"/>
      <c r="PB420" s="85"/>
      <c r="PC420" s="85"/>
      <c r="PD420" s="85"/>
      <c r="PE420" s="85"/>
      <c r="PF420" s="85"/>
      <c r="PG420" s="85"/>
      <c r="PH420" s="85"/>
      <c r="PI420" s="85"/>
      <c r="PJ420" s="85"/>
      <c r="PK420" s="85"/>
      <c r="PL420" s="85"/>
      <c r="PM420" s="85"/>
      <c r="PN420" s="85"/>
      <c r="PO420" s="85"/>
      <c r="PP420" s="85"/>
      <c r="PQ420" s="85"/>
      <c r="PR420" s="85"/>
      <c r="PS420" s="85"/>
      <c r="PT420" s="85"/>
      <c r="PU420" s="85"/>
      <c r="PV420" s="85"/>
      <c r="PW420" s="85"/>
      <c r="PX420" s="85"/>
      <c r="PY420" s="85"/>
      <c r="PZ420" s="85"/>
      <c r="QA420" s="85"/>
      <c r="QB420" s="85"/>
      <c r="QC420" s="85"/>
      <c r="QD420" s="85"/>
      <c r="QE420" s="85"/>
      <c r="QF420" s="85"/>
      <c r="QG420" s="85"/>
      <c r="QH420" s="85"/>
      <c r="QI420" s="85"/>
      <c r="QJ420" s="85"/>
      <c r="QK420" s="85"/>
      <c r="QL420" s="85"/>
      <c r="QM420" s="85"/>
      <c r="QN420" s="85"/>
      <c r="QO420" s="85"/>
      <c r="QP420" s="85"/>
      <c r="QQ420" s="85"/>
      <c r="QR420" s="85"/>
      <c r="QS420" s="85"/>
      <c r="QT420" s="85"/>
      <c r="QU420" s="85"/>
      <c r="QV420" s="85"/>
      <c r="QW420" s="85"/>
      <c r="QX420" s="85"/>
      <c r="QY420" s="85"/>
      <c r="QZ420" s="85"/>
      <c r="RA420" s="85"/>
      <c r="RB420" s="85"/>
      <c r="RC420" s="85"/>
      <c r="RD420" s="85"/>
      <c r="RE420" s="85"/>
      <c r="RF420" s="85"/>
      <c r="RG420" s="85"/>
      <c r="RH420" s="85"/>
      <c r="RI420" s="85"/>
      <c r="RJ420" s="85"/>
      <c r="RK420" s="85"/>
      <c r="RL420" s="85"/>
      <c r="RM420" s="85"/>
      <c r="RN420" s="85"/>
      <c r="RO420" s="85"/>
      <c r="RP420" s="85"/>
      <c r="RQ420" s="85"/>
      <c r="RR420" s="85"/>
      <c r="RS420" s="85"/>
      <c r="RT420" s="85"/>
      <c r="RU420" s="85"/>
      <c r="RV420" s="85"/>
      <c r="RW420" s="85"/>
      <c r="RX420" s="85"/>
      <c r="RY420" s="85"/>
      <c r="RZ420" s="85"/>
      <c r="SA420" s="85"/>
      <c r="SB420" s="85"/>
      <c r="SC420" s="85"/>
      <c r="SD420" s="85"/>
      <c r="SE420" s="85"/>
      <c r="SF420" s="85"/>
      <c r="SG420" s="85"/>
      <c r="SH420" s="85"/>
      <c r="SI420" s="85"/>
      <c r="SJ420" s="85"/>
      <c r="SK420" s="85"/>
      <c r="SL420" s="85"/>
      <c r="SM420" s="85"/>
      <c r="SN420" s="85"/>
      <c r="SO420" s="85"/>
      <c r="SP420" s="85"/>
      <c r="SQ420" s="85"/>
      <c r="SR420" s="85"/>
      <c r="SS420" s="85"/>
      <c r="ST420" s="85"/>
      <c r="SU420" s="85"/>
      <c r="SV420" s="85"/>
      <c r="SW420" s="85"/>
      <c r="SX420" s="85"/>
      <c r="SY420" s="85"/>
      <c r="SZ420" s="85"/>
      <c r="TA420" s="85"/>
      <c r="TB420" s="85"/>
      <c r="TC420" s="85"/>
      <c r="TD420" s="85"/>
      <c r="TE420" s="85"/>
      <c r="TF420" s="85"/>
      <c r="TG420" s="85"/>
      <c r="TH420" s="85"/>
      <c r="TI420" s="85"/>
      <c r="TJ420" s="85"/>
      <c r="TK420" s="85"/>
      <c r="TL420" s="85"/>
    </row>
    <row r="421" spans="1:532" s="85" customFormat="1" ht="12.75" customHeight="1">
      <c r="A421" s="144" t="s">
        <v>320</v>
      </c>
      <c r="B421" s="150" t="s">
        <v>321</v>
      </c>
      <c r="C421" s="124"/>
      <c r="D421" s="124">
        <f>+[2]ordinario!C529</f>
        <v>100000000</v>
      </c>
      <c r="E421" s="124">
        <v>193240398.59999999</v>
      </c>
      <c r="F421" s="146"/>
      <c r="G421" s="138"/>
      <c r="H421" s="98"/>
      <c r="I421" s="140">
        <f t="shared" ref="I421:N421" si="22">SUM(I422:I426)</f>
        <v>98596689.690000027</v>
      </c>
      <c r="J421" s="140">
        <f t="shared" si="22"/>
        <v>98596689.690000027</v>
      </c>
      <c r="K421" s="140">
        <f t="shared" si="22"/>
        <v>0</v>
      </c>
      <c r="L421" s="140">
        <f t="shared" si="22"/>
        <v>0</v>
      </c>
      <c r="M421" s="140">
        <f t="shared" si="22"/>
        <v>0</v>
      </c>
      <c r="N421" s="140">
        <f t="shared" si="22"/>
        <v>94643708.909189433</v>
      </c>
    </row>
    <row r="422" spans="1:532" s="85" customFormat="1" ht="12.75" customHeight="1">
      <c r="A422" s="122"/>
      <c r="B422" s="240"/>
      <c r="C422" s="124"/>
      <c r="D422" s="124"/>
      <c r="E422" s="124"/>
      <c r="F422" s="146" t="s">
        <v>165</v>
      </c>
      <c r="G422" s="138" t="s">
        <v>140</v>
      </c>
      <c r="H422" s="98" t="s">
        <v>77</v>
      </c>
      <c r="I422" s="125">
        <v>85879511.799999997</v>
      </c>
      <c r="J422" s="125">
        <f>+I422</f>
        <v>85879511.799999997</v>
      </c>
      <c r="K422" s="125"/>
      <c r="L422" s="125"/>
      <c r="M422" s="125"/>
      <c r="N422" s="125">
        <f>-I422+[2]ordinario!I534</f>
        <v>2.9894560575485229E-3</v>
      </c>
    </row>
    <row r="423" spans="1:532" s="85" customFormat="1" ht="12.75" customHeight="1">
      <c r="A423" s="122"/>
      <c r="B423" s="240"/>
      <c r="C423" s="124"/>
      <c r="D423" s="124"/>
      <c r="E423" s="124"/>
      <c r="F423" s="146"/>
      <c r="G423" s="138"/>
      <c r="H423" s="98" t="s">
        <v>78</v>
      </c>
      <c r="I423" s="125">
        <f>246206234.83-I43-I530-I193-I288</f>
        <v>10917115.490000024</v>
      </c>
      <c r="J423" s="125">
        <f>+I423</f>
        <v>10917115.490000024</v>
      </c>
      <c r="K423" s="125"/>
      <c r="L423" s="125"/>
      <c r="M423" s="125"/>
      <c r="N423" s="125">
        <f>-I423+[2]ordinario!I535</f>
        <v>903372.70619997568</v>
      </c>
    </row>
    <row r="424" spans="1:532" s="85" customFormat="1" ht="12.75" customHeight="1">
      <c r="A424" s="122"/>
      <c r="B424" s="240"/>
      <c r="C424" s="124"/>
      <c r="D424" s="124"/>
      <c r="E424" s="124"/>
      <c r="F424" s="146"/>
      <c r="G424" s="138"/>
      <c r="H424" s="98" t="s">
        <v>79</v>
      </c>
      <c r="I424" s="125">
        <v>1800062.4</v>
      </c>
      <c r="J424" s="125">
        <f>+I424</f>
        <v>1800062.4</v>
      </c>
      <c r="K424" s="125"/>
      <c r="L424" s="125"/>
      <c r="M424" s="125"/>
      <c r="N424" s="125">
        <f>-I424+[2]ordinario!I536</f>
        <v>499937.60000000009</v>
      </c>
    </row>
    <row r="425" spans="1:532" s="85" customFormat="1" ht="12.75" customHeight="1">
      <c r="A425" s="122"/>
      <c r="B425" s="240"/>
      <c r="C425" s="124"/>
      <c r="D425" s="124"/>
      <c r="E425" s="124"/>
      <c r="F425" s="146"/>
      <c r="G425" s="138"/>
      <c r="H425" s="98" t="s">
        <v>82</v>
      </c>
      <c r="I425" s="125"/>
      <c r="J425" s="125">
        <f>+I425</f>
        <v>0</v>
      </c>
      <c r="K425" s="125"/>
      <c r="L425" s="125"/>
      <c r="M425" s="125"/>
      <c r="N425" s="125">
        <f>-I425+[2]ordinario!I537</f>
        <v>0</v>
      </c>
      <c r="O425" s="89">
        <f>+J421+I375+I283</f>
        <v>292367984.56</v>
      </c>
    </row>
    <row r="426" spans="1:532" s="85" customFormat="1" ht="12.75" customHeight="1">
      <c r="A426" s="122"/>
      <c r="B426" s="240"/>
      <c r="C426" s="124"/>
      <c r="D426" s="124"/>
      <c r="E426" s="124"/>
      <c r="F426" s="146"/>
      <c r="G426" s="138"/>
      <c r="H426" s="98"/>
      <c r="I426" s="125"/>
      <c r="J426" s="125"/>
      <c r="K426" s="125"/>
      <c r="L426" s="125"/>
      <c r="M426" s="125"/>
      <c r="N426" s="125">
        <f>+E421-D421</f>
        <v>93240398.599999994</v>
      </c>
      <c r="O426" s="85">
        <v>313859798.06</v>
      </c>
    </row>
    <row r="427" spans="1:532" s="135" customFormat="1" ht="12.75" customHeight="1">
      <c r="A427" s="111"/>
      <c r="B427" s="243"/>
      <c r="C427" s="112"/>
      <c r="D427" s="112"/>
      <c r="E427" s="112"/>
      <c r="F427" s="242"/>
      <c r="G427" s="113"/>
      <c r="H427" s="114"/>
      <c r="I427" s="115"/>
      <c r="J427" s="115"/>
      <c r="K427" s="115"/>
      <c r="L427" s="115"/>
      <c r="M427" s="115"/>
      <c r="N427" s="116"/>
      <c r="O427" s="89">
        <f>+O425-O426</f>
        <v>-21491813.5</v>
      </c>
      <c r="P427" s="85"/>
      <c r="Q427" s="85"/>
      <c r="R427" s="85"/>
      <c r="S427" s="85"/>
      <c r="T427" s="85"/>
      <c r="U427" s="85"/>
      <c r="V427" s="85"/>
      <c r="W427" s="85"/>
      <c r="X427" s="85"/>
      <c r="Y427" s="85"/>
      <c r="Z427" s="85"/>
      <c r="AA427" s="85"/>
      <c r="AB427" s="85"/>
      <c r="AC427" s="85"/>
      <c r="AD427" s="85"/>
      <c r="AE427" s="85"/>
      <c r="AF427" s="85"/>
      <c r="AG427" s="85"/>
      <c r="AH427" s="85"/>
      <c r="AI427" s="85"/>
      <c r="AJ427" s="85"/>
      <c r="AK427" s="85"/>
      <c r="AL427" s="85"/>
      <c r="AM427" s="85"/>
      <c r="AN427" s="85"/>
      <c r="AO427" s="85"/>
      <c r="AP427" s="85"/>
      <c r="AQ427" s="85"/>
      <c r="AR427" s="85"/>
      <c r="AS427" s="85"/>
      <c r="AT427" s="85"/>
      <c r="AU427" s="85"/>
      <c r="AV427" s="85"/>
      <c r="AW427" s="85"/>
      <c r="AX427" s="85"/>
      <c r="AY427" s="85"/>
      <c r="AZ427" s="85"/>
      <c r="BA427" s="85"/>
      <c r="BB427" s="85"/>
      <c r="BC427" s="85"/>
      <c r="BD427" s="85"/>
      <c r="BE427" s="85"/>
      <c r="BF427" s="85"/>
      <c r="BG427" s="85"/>
      <c r="BH427" s="85"/>
      <c r="BI427" s="85"/>
      <c r="BJ427" s="85"/>
      <c r="BK427" s="85"/>
      <c r="BL427" s="85"/>
      <c r="BM427" s="85"/>
      <c r="BN427" s="85"/>
      <c r="BO427" s="85"/>
      <c r="BP427" s="85"/>
      <c r="BQ427" s="85"/>
      <c r="BR427" s="85"/>
      <c r="BS427" s="85"/>
      <c r="BT427" s="85"/>
      <c r="BU427" s="85"/>
      <c r="BV427" s="85"/>
      <c r="BW427" s="85"/>
      <c r="BX427" s="85"/>
      <c r="BY427" s="85"/>
      <c r="BZ427" s="85"/>
      <c r="CA427" s="85"/>
      <c r="CB427" s="85"/>
      <c r="CC427" s="85"/>
      <c r="CD427" s="85"/>
      <c r="CE427" s="85"/>
      <c r="CF427" s="85"/>
      <c r="CG427" s="85"/>
      <c r="CH427" s="85"/>
      <c r="CI427" s="85"/>
      <c r="CJ427" s="85"/>
      <c r="CK427" s="85"/>
      <c r="CL427" s="85"/>
      <c r="CM427" s="85"/>
      <c r="CN427" s="85"/>
      <c r="CO427" s="85"/>
      <c r="CP427" s="85"/>
      <c r="CQ427" s="85"/>
      <c r="CR427" s="85"/>
      <c r="CS427" s="85"/>
      <c r="CT427" s="85"/>
      <c r="CU427" s="85"/>
      <c r="CV427" s="85"/>
      <c r="CW427" s="85"/>
      <c r="CX427" s="85"/>
      <c r="CY427" s="85"/>
      <c r="CZ427" s="85"/>
      <c r="DA427" s="85"/>
      <c r="DB427" s="85"/>
      <c r="DC427" s="85"/>
      <c r="DD427" s="85"/>
      <c r="DE427" s="85"/>
      <c r="DF427" s="85"/>
      <c r="DG427" s="85"/>
      <c r="DH427" s="85"/>
      <c r="DI427" s="85"/>
      <c r="DJ427" s="85"/>
      <c r="DK427" s="85"/>
      <c r="DL427" s="85"/>
      <c r="DM427" s="85"/>
      <c r="DN427" s="85"/>
      <c r="DO427" s="85"/>
      <c r="DP427" s="85"/>
      <c r="DQ427" s="85"/>
      <c r="DR427" s="85"/>
      <c r="DS427" s="85"/>
      <c r="DT427" s="85"/>
      <c r="DU427" s="85"/>
      <c r="DV427" s="85"/>
      <c r="DW427" s="85"/>
      <c r="DX427" s="85"/>
      <c r="DY427" s="85"/>
      <c r="DZ427" s="85"/>
      <c r="EA427" s="85"/>
      <c r="EB427" s="85"/>
      <c r="EC427" s="85"/>
      <c r="ED427" s="85"/>
      <c r="EE427" s="85"/>
      <c r="EF427" s="85"/>
      <c r="EG427" s="85"/>
      <c r="EH427" s="85"/>
      <c r="EI427" s="85"/>
      <c r="EJ427" s="85"/>
      <c r="EK427" s="85"/>
      <c r="EL427" s="85"/>
      <c r="EM427" s="85"/>
      <c r="EN427" s="85"/>
      <c r="EO427" s="85"/>
      <c r="EP427" s="85"/>
      <c r="EQ427" s="85"/>
      <c r="ER427" s="85"/>
      <c r="ES427" s="85"/>
      <c r="ET427" s="85"/>
      <c r="EU427" s="85"/>
      <c r="EV427" s="85"/>
      <c r="EW427" s="85"/>
      <c r="EX427" s="85"/>
      <c r="EY427" s="85"/>
      <c r="EZ427" s="85"/>
      <c r="FA427" s="85"/>
      <c r="FB427" s="85"/>
      <c r="FC427" s="85"/>
      <c r="FD427" s="85"/>
      <c r="FE427" s="85"/>
      <c r="FF427" s="85"/>
      <c r="FG427" s="85"/>
      <c r="FH427" s="85"/>
      <c r="FI427" s="85"/>
      <c r="FJ427" s="85"/>
      <c r="FK427" s="85"/>
      <c r="FL427" s="85"/>
      <c r="FM427" s="85"/>
      <c r="FN427" s="85"/>
      <c r="FO427" s="85"/>
      <c r="FP427" s="85"/>
      <c r="FQ427" s="85"/>
      <c r="FR427" s="85"/>
      <c r="FS427" s="85"/>
      <c r="FT427" s="85"/>
      <c r="FU427" s="85"/>
      <c r="FV427" s="85"/>
      <c r="FW427" s="85"/>
      <c r="FX427" s="85"/>
      <c r="FY427" s="85"/>
      <c r="FZ427" s="85"/>
      <c r="GA427" s="85"/>
      <c r="GB427" s="85"/>
      <c r="GC427" s="85"/>
      <c r="GD427" s="85"/>
      <c r="GE427" s="85"/>
      <c r="GF427" s="85"/>
      <c r="GG427" s="85"/>
      <c r="GH427" s="85"/>
      <c r="GI427" s="85"/>
      <c r="GJ427" s="85"/>
      <c r="GK427" s="85"/>
      <c r="GL427" s="85"/>
      <c r="GM427" s="85"/>
      <c r="GN427" s="85"/>
      <c r="GO427" s="85"/>
      <c r="GP427" s="85"/>
      <c r="GQ427" s="85"/>
      <c r="GR427" s="85"/>
      <c r="GS427" s="85"/>
      <c r="GT427" s="85"/>
      <c r="GU427" s="85"/>
      <c r="GV427" s="85"/>
      <c r="GW427" s="85"/>
      <c r="GX427" s="85"/>
      <c r="GY427" s="85"/>
      <c r="GZ427" s="85"/>
      <c r="HA427" s="85"/>
      <c r="HB427" s="85"/>
      <c r="HC427" s="85"/>
      <c r="HD427" s="85"/>
      <c r="HE427" s="85"/>
      <c r="HF427" s="85"/>
      <c r="HG427" s="85"/>
      <c r="HH427" s="85"/>
      <c r="HI427" s="85"/>
      <c r="HJ427" s="85"/>
      <c r="HK427" s="85"/>
      <c r="HL427" s="85"/>
      <c r="HM427" s="85"/>
      <c r="HN427" s="85"/>
      <c r="HO427" s="85"/>
      <c r="HP427" s="85"/>
      <c r="HQ427" s="85"/>
      <c r="HR427" s="85"/>
      <c r="HS427" s="85"/>
      <c r="HT427" s="85"/>
      <c r="HU427" s="85"/>
      <c r="HV427" s="85"/>
      <c r="HW427" s="85"/>
      <c r="HX427" s="85"/>
      <c r="HY427" s="85"/>
      <c r="HZ427" s="85"/>
      <c r="IA427" s="85"/>
      <c r="IB427" s="85"/>
      <c r="IC427" s="85"/>
      <c r="ID427" s="85"/>
      <c r="IE427" s="85"/>
      <c r="IF427" s="85"/>
      <c r="IG427" s="85"/>
      <c r="IH427" s="85"/>
      <c r="II427" s="85"/>
      <c r="IJ427" s="85"/>
      <c r="IK427" s="85"/>
      <c r="IL427" s="85"/>
      <c r="IM427" s="85"/>
      <c r="IN427" s="85"/>
      <c r="IO427" s="85"/>
      <c r="IP427" s="85"/>
      <c r="IQ427" s="85"/>
      <c r="IR427" s="85"/>
      <c r="IS427" s="85"/>
      <c r="IT427" s="85"/>
      <c r="IU427" s="85"/>
      <c r="IV427" s="85"/>
      <c r="IW427" s="85"/>
      <c r="IX427" s="85"/>
      <c r="IY427" s="85"/>
      <c r="IZ427" s="85"/>
      <c r="JA427" s="85"/>
      <c r="JB427" s="85"/>
      <c r="JC427" s="85"/>
      <c r="JD427" s="85"/>
      <c r="JE427" s="85"/>
      <c r="JF427" s="85"/>
      <c r="JG427" s="85"/>
      <c r="JH427" s="85"/>
      <c r="JI427" s="85"/>
      <c r="JJ427" s="85"/>
      <c r="JK427" s="85"/>
      <c r="JL427" s="85"/>
      <c r="JM427" s="85"/>
      <c r="JN427" s="85"/>
      <c r="JO427" s="85"/>
      <c r="JP427" s="85"/>
      <c r="JQ427" s="85"/>
      <c r="JR427" s="85"/>
      <c r="JS427" s="85"/>
      <c r="JT427" s="85"/>
      <c r="JU427" s="85"/>
      <c r="JV427" s="85"/>
      <c r="JW427" s="85"/>
      <c r="JX427" s="85"/>
      <c r="JY427" s="85"/>
      <c r="JZ427" s="85"/>
      <c r="KA427" s="85"/>
      <c r="KB427" s="85"/>
      <c r="KC427" s="85"/>
      <c r="KD427" s="85"/>
      <c r="KE427" s="85"/>
      <c r="KF427" s="85"/>
      <c r="KG427" s="85"/>
      <c r="KH427" s="85"/>
      <c r="KI427" s="85"/>
      <c r="KJ427" s="85"/>
      <c r="KK427" s="85"/>
      <c r="KL427" s="85"/>
      <c r="KM427" s="85"/>
      <c r="KN427" s="85"/>
      <c r="KO427" s="85"/>
      <c r="KP427" s="85"/>
      <c r="KQ427" s="85"/>
      <c r="KR427" s="85"/>
      <c r="KS427" s="85"/>
      <c r="KT427" s="85"/>
      <c r="KU427" s="85"/>
      <c r="KV427" s="85"/>
      <c r="KW427" s="85"/>
      <c r="KX427" s="85"/>
      <c r="KY427" s="85"/>
      <c r="KZ427" s="85"/>
      <c r="LA427" s="85"/>
      <c r="LB427" s="85"/>
      <c r="LC427" s="85"/>
      <c r="LD427" s="85"/>
      <c r="LE427" s="85"/>
      <c r="LF427" s="85"/>
      <c r="LG427" s="85"/>
      <c r="LH427" s="85"/>
      <c r="LI427" s="85"/>
      <c r="LJ427" s="85"/>
      <c r="LK427" s="85"/>
      <c r="LL427" s="85"/>
      <c r="LM427" s="85"/>
      <c r="LN427" s="85"/>
      <c r="LO427" s="85"/>
      <c r="LP427" s="85"/>
      <c r="LQ427" s="85"/>
      <c r="LR427" s="85"/>
      <c r="LS427" s="85"/>
      <c r="LT427" s="85"/>
      <c r="LU427" s="85"/>
      <c r="LV427" s="85"/>
      <c r="LW427" s="85"/>
      <c r="LX427" s="85"/>
      <c r="LY427" s="85"/>
      <c r="LZ427" s="85"/>
      <c r="MA427" s="85"/>
      <c r="MB427" s="85"/>
      <c r="MC427" s="85"/>
      <c r="MD427" s="85"/>
      <c r="ME427" s="85"/>
      <c r="MF427" s="85"/>
      <c r="MG427" s="85"/>
      <c r="MH427" s="85"/>
      <c r="MI427" s="85"/>
      <c r="MJ427" s="85"/>
      <c r="MK427" s="85"/>
      <c r="ML427" s="85"/>
      <c r="MM427" s="85"/>
      <c r="MN427" s="85"/>
      <c r="MO427" s="85"/>
      <c r="MP427" s="85"/>
      <c r="MQ427" s="85"/>
      <c r="MR427" s="85"/>
      <c r="MS427" s="85"/>
      <c r="MT427" s="85"/>
      <c r="MU427" s="85"/>
      <c r="MV427" s="85"/>
      <c r="MW427" s="85"/>
      <c r="MX427" s="85"/>
      <c r="MY427" s="85"/>
      <c r="MZ427" s="85"/>
      <c r="NA427" s="85"/>
      <c r="NB427" s="85"/>
      <c r="NC427" s="85"/>
      <c r="ND427" s="85"/>
      <c r="NE427" s="85"/>
      <c r="NF427" s="85"/>
      <c r="NG427" s="85"/>
      <c r="NH427" s="85"/>
      <c r="NI427" s="85"/>
      <c r="NJ427" s="85"/>
      <c r="NK427" s="85"/>
      <c r="NL427" s="85"/>
      <c r="NM427" s="85"/>
      <c r="NN427" s="85"/>
      <c r="NO427" s="85"/>
      <c r="NP427" s="85"/>
      <c r="NQ427" s="85"/>
      <c r="NR427" s="85"/>
      <c r="NS427" s="85"/>
      <c r="NT427" s="85"/>
      <c r="NU427" s="85"/>
      <c r="NV427" s="85"/>
      <c r="NW427" s="85"/>
      <c r="NX427" s="85"/>
      <c r="NY427" s="85"/>
      <c r="NZ427" s="85"/>
      <c r="OA427" s="85"/>
      <c r="OB427" s="85"/>
      <c r="OC427" s="85"/>
      <c r="OD427" s="85"/>
      <c r="OE427" s="85"/>
      <c r="OF427" s="85"/>
      <c r="OG427" s="85"/>
      <c r="OH427" s="85"/>
      <c r="OI427" s="85"/>
      <c r="OJ427" s="85"/>
      <c r="OK427" s="85"/>
      <c r="OL427" s="85"/>
      <c r="OM427" s="85"/>
      <c r="ON427" s="85"/>
      <c r="OO427" s="85"/>
      <c r="OP427" s="85"/>
      <c r="OQ427" s="85"/>
      <c r="OR427" s="85"/>
      <c r="OS427" s="85"/>
      <c r="OT427" s="85"/>
      <c r="OU427" s="85"/>
      <c r="OV427" s="85"/>
      <c r="OW427" s="85"/>
      <c r="OX427" s="85"/>
      <c r="OY427" s="85"/>
      <c r="OZ427" s="85"/>
      <c r="PA427" s="85"/>
      <c r="PB427" s="85"/>
      <c r="PC427" s="85"/>
      <c r="PD427" s="85"/>
      <c r="PE427" s="85"/>
      <c r="PF427" s="85"/>
      <c r="PG427" s="85"/>
      <c r="PH427" s="85"/>
      <c r="PI427" s="85"/>
      <c r="PJ427" s="85"/>
      <c r="PK427" s="85"/>
      <c r="PL427" s="85"/>
      <c r="PM427" s="85"/>
      <c r="PN427" s="85"/>
      <c r="PO427" s="85"/>
      <c r="PP427" s="85"/>
      <c r="PQ427" s="85"/>
      <c r="PR427" s="85"/>
      <c r="PS427" s="85"/>
      <c r="PT427" s="85"/>
      <c r="PU427" s="85"/>
      <c r="PV427" s="85"/>
      <c r="PW427" s="85"/>
      <c r="PX427" s="85"/>
      <c r="PY427" s="85"/>
      <c r="PZ427" s="85"/>
      <c r="QA427" s="85"/>
      <c r="QB427" s="85"/>
      <c r="QC427" s="85"/>
      <c r="QD427" s="85"/>
      <c r="QE427" s="85"/>
      <c r="QF427" s="85"/>
      <c r="QG427" s="85"/>
      <c r="QH427" s="85"/>
      <c r="QI427" s="85"/>
      <c r="QJ427" s="85"/>
      <c r="QK427" s="85"/>
      <c r="QL427" s="85"/>
      <c r="QM427" s="85"/>
      <c r="QN427" s="85"/>
      <c r="QO427" s="85"/>
      <c r="QP427" s="85"/>
      <c r="QQ427" s="85"/>
      <c r="QR427" s="85"/>
      <c r="QS427" s="85"/>
      <c r="QT427" s="85"/>
      <c r="QU427" s="85"/>
      <c r="QV427" s="85"/>
      <c r="QW427" s="85"/>
      <c r="QX427" s="85"/>
      <c r="QY427" s="85"/>
      <c r="QZ427" s="85"/>
      <c r="RA427" s="85"/>
      <c r="RB427" s="85"/>
      <c r="RC427" s="85"/>
      <c r="RD427" s="85"/>
      <c r="RE427" s="85"/>
      <c r="RF427" s="85"/>
      <c r="RG427" s="85"/>
      <c r="RH427" s="85"/>
      <c r="RI427" s="85"/>
      <c r="RJ427" s="85"/>
      <c r="RK427" s="85"/>
      <c r="RL427" s="85"/>
      <c r="RM427" s="85"/>
      <c r="RN427" s="85"/>
      <c r="RO427" s="85"/>
      <c r="RP427" s="85"/>
      <c r="RQ427" s="85"/>
      <c r="RR427" s="85"/>
      <c r="RS427" s="85"/>
      <c r="RT427" s="85"/>
      <c r="RU427" s="85"/>
      <c r="RV427" s="85"/>
      <c r="RW427" s="85"/>
      <c r="RX427" s="85"/>
      <c r="RY427" s="85"/>
      <c r="RZ427" s="85"/>
      <c r="SA427" s="85"/>
      <c r="SB427" s="85"/>
      <c r="SC427" s="85"/>
      <c r="SD427" s="85"/>
      <c r="SE427" s="85"/>
      <c r="SF427" s="85"/>
      <c r="SG427" s="85"/>
      <c r="SH427" s="85"/>
      <c r="SI427" s="85"/>
      <c r="SJ427" s="85"/>
      <c r="SK427" s="85"/>
      <c r="SL427" s="85"/>
      <c r="SM427" s="85"/>
      <c r="SN427" s="85"/>
      <c r="SO427" s="85"/>
      <c r="SP427" s="85"/>
      <c r="SQ427" s="85"/>
      <c r="SR427" s="85"/>
      <c r="SS427" s="85"/>
      <c r="ST427" s="85"/>
      <c r="SU427" s="85"/>
      <c r="SV427" s="85"/>
      <c r="SW427" s="85"/>
      <c r="SX427" s="85"/>
      <c r="SY427" s="85"/>
      <c r="SZ427" s="85"/>
      <c r="TA427" s="85"/>
      <c r="TB427" s="85"/>
      <c r="TC427" s="85"/>
      <c r="TD427" s="85"/>
      <c r="TE427" s="85"/>
      <c r="TF427" s="85"/>
      <c r="TG427" s="85"/>
      <c r="TH427" s="85"/>
      <c r="TI427" s="85"/>
      <c r="TJ427" s="85"/>
      <c r="TK427" s="85"/>
      <c r="TL427" s="85"/>
    </row>
    <row r="428" spans="1:532" s="85" customFormat="1" ht="12.75" customHeight="1">
      <c r="A428" s="128" t="s">
        <v>322</v>
      </c>
      <c r="B428" s="129" t="s">
        <v>323</v>
      </c>
      <c r="C428" s="95"/>
      <c r="D428" s="95">
        <f>+[2]ordinario!C542</f>
        <v>500000000</v>
      </c>
      <c r="E428" s="95">
        <v>796260499.25999999</v>
      </c>
      <c r="F428" s="256"/>
      <c r="G428" s="107"/>
      <c r="H428" s="105"/>
      <c r="I428" s="94">
        <f t="shared" ref="I428:N428" si="23">SUM(I429:I432)</f>
        <v>500000000</v>
      </c>
      <c r="J428" s="94">
        <f t="shared" si="23"/>
        <v>500000000</v>
      </c>
      <c r="K428" s="94">
        <f t="shared" si="23"/>
        <v>0</v>
      </c>
      <c r="L428" s="94">
        <f t="shared" si="23"/>
        <v>0</v>
      </c>
      <c r="M428" s="94">
        <f t="shared" si="23"/>
        <v>0</v>
      </c>
      <c r="N428" s="94">
        <f t="shared" si="23"/>
        <v>296260499.25999999</v>
      </c>
    </row>
    <row r="429" spans="1:532" s="85" customFormat="1" ht="12.75" customHeight="1">
      <c r="A429" s="106"/>
      <c r="B429" s="257"/>
      <c r="C429" s="95"/>
      <c r="D429" s="95"/>
      <c r="E429" s="95"/>
      <c r="F429" s="256" t="s">
        <v>324</v>
      </c>
      <c r="G429" s="108" t="s">
        <v>325</v>
      </c>
      <c r="H429" s="105" t="s">
        <v>82</v>
      </c>
      <c r="I429" s="99">
        <v>35000000</v>
      </c>
      <c r="J429" s="99">
        <f>+I429</f>
        <v>35000000</v>
      </c>
      <c r="K429" s="99"/>
      <c r="L429" s="99"/>
      <c r="M429" s="99"/>
      <c r="N429" s="99">
        <f>-I429+[2]ordinario!I547</f>
        <v>0</v>
      </c>
    </row>
    <row r="430" spans="1:532" s="85" customFormat="1" ht="12.75" customHeight="1">
      <c r="A430" s="106"/>
      <c r="B430" s="257"/>
      <c r="C430" s="95"/>
      <c r="D430" s="95"/>
      <c r="E430" s="95"/>
      <c r="F430" s="256"/>
      <c r="G430" s="108"/>
      <c r="H430" s="105"/>
      <c r="I430" s="99"/>
      <c r="J430" s="99"/>
      <c r="K430" s="99"/>
      <c r="L430" s="99"/>
      <c r="M430" s="99"/>
      <c r="N430" s="99"/>
    </row>
    <row r="431" spans="1:532" s="85" customFormat="1" ht="12.75" customHeight="1">
      <c r="A431" s="106"/>
      <c r="B431" s="257"/>
      <c r="C431" s="95"/>
      <c r="D431" s="95"/>
      <c r="E431" s="95"/>
      <c r="F431" s="256" t="s">
        <v>219</v>
      </c>
      <c r="G431" s="108" t="s">
        <v>464</v>
      </c>
      <c r="H431" s="105" t="s">
        <v>77</v>
      </c>
      <c r="I431" s="99">
        <v>465000000</v>
      </c>
      <c r="J431" s="99">
        <f>+I431</f>
        <v>465000000</v>
      </c>
      <c r="K431" s="99"/>
      <c r="L431" s="99"/>
      <c r="M431" s="99"/>
      <c r="N431" s="99">
        <f>-I431+[2]ordinario!I552</f>
        <v>0</v>
      </c>
    </row>
    <row r="432" spans="1:532" s="85" customFormat="1" ht="12.75" customHeight="1">
      <c r="A432" s="106"/>
      <c r="B432" s="257"/>
      <c r="C432" s="95"/>
      <c r="D432" s="95"/>
      <c r="E432" s="95"/>
      <c r="F432" s="256" t="s">
        <v>277</v>
      </c>
      <c r="G432" s="108"/>
      <c r="H432" s="105"/>
      <c r="I432" s="99"/>
      <c r="J432" s="99"/>
      <c r="K432" s="99"/>
      <c r="L432" s="99"/>
      <c r="M432" s="99"/>
      <c r="N432" s="99">
        <f>+E428-D428</f>
        <v>296260499.25999999</v>
      </c>
    </row>
    <row r="433" spans="1:532" s="135" customFormat="1" ht="12.75" customHeight="1">
      <c r="A433" s="111"/>
      <c r="B433" s="243"/>
      <c r="C433" s="112"/>
      <c r="D433" s="112"/>
      <c r="E433" s="112"/>
      <c r="F433" s="242"/>
      <c r="G433" s="113"/>
      <c r="H433" s="114"/>
      <c r="I433" s="115"/>
      <c r="J433" s="115"/>
      <c r="K433" s="115"/>
      <c r="L433" s="115"/>
      <c r="M433" s="115"/>
      <c r="N433" s="116"/>
      <c r="O433" s="85"/>
      <c r="P433" s="85"/>
      <c r="Q433" s="85"/>
      <c r="R433" s="85"/>
      <c r="S433" s="85"/>
      <c r="T433" s="85"/>
      <c r="U433" s="85"/>
      <c r="V433" s="85"/>
      <c r="W433" s="85"/>
      <c r="X433" s="85"/>
      <c r="Y433" s="85"/>
      <c r="Z433" s="85"/>
      <c r="AA433" s="85"/>
      <c r="AB433" s="85"/>
      <c r="AC433" s="85"/>
      <c r="AD433" s="85"/>
      <c r="AE433" s="85"/>
      <c r="AF433" s="85"/>
      <c r="AG433" s="85"/>
      <c r="AH433" s="85"/>
      <c r="AI433" s="85"/>
      <c r="AJ433" s="85"/>
      <c r="AK433" s="85"/>
      <c r="AL433" s="85"/>
      <c r="AM433" s="85"/>
      <c r="AN433" s="85"/>
      <c r="AO433" s="85"/>
      <c r="AP433" s="85"/>
      <c r="AQ433" s="85"/>
      <c r="AR433" s="85"/>
      <c r="AS433" s="85"/>
      <c r="AT433" s="85"/>
      <c r="AU433" s="85"/>
      <c r="AV433" s="85"/>
      <c r="AW433" s="85"/>
      <c r="AX433" s="85"/>
      <c r="AY433" s="85"/>
      <c r="AZ433" s="85"/>
      <c r="BA433" s="85"/>
      <c r="BB433" s="85"/>
      <c r="BC433" s="85"/>
      <c r="BD433" s="85"/>
      <c r="BE433" s="85"/>
      <c r="BF433" s="85"/>
      <c r="BG433" s="85"/>
      <c r="BH433" s="85"/>
      <c r="BI433" s="85"/>
      <c r="BJ433" s="85"/>
      <c r="BK433" s="85"/>
      <c r="BL433" s="85"/>
      <c r="BM433" s="85"/>
      <c r="BN433" s="85"/>
      <c r="BO433" s="85"/>
      <c r="BP433" s="85"/>
      <c r="BQ433" s="85"/>
      <c r="BR433" s="85"/>
      <c r="BS433" s="85"/>
      <c r="BT433" s="85"/>
      <c r="BU433" s="85"/>
      <c r="BV433" s="85"/>
      <c r="BW433" s="85"/>
      <c r="BX433" s="85"/>
      <c r="BY433" s="85"/>
      <c r="BZ433" s="85"/>
      <c r="CA433" s="85"/>
      <c r="CB433" s="85"/>
      <c r="CC433" s="85"/>
      <c r="CD433" s="85"/>
      <c r="CE433" s="85"/>
      <c r="CF433" s="85"/>
      <c r="CG433" s="85"/>
      <c r="CH433" s="85"/>
      <c r="CI433" s="85"/>
      <c r="CJ433" s="85"/>
      <c r="CK433" s="85"/>
      <c r="CL433" s="85"/>
      <c r="CM433" s="85"/>
      <c r="CN433" s="85"/>
      <c r="CO433" s="85"/>
      <c r="CP433" s="85"/>
      <c r="CQ433" s="85"/>
      <c r="CR433" s="85"/>
      <c r="CS433" s="85"/>
      <c r="CT433" s="85"/>
      <c r="CU433" s="85"/>
      <c r="CV433" s="85"/>
      <c r="CW433" s="85"/>
      <c r="CX433" s="85"/>
      <c r="CY433" s="85"/>
      <c r="CZ433" s="85"/>
      <c r="DA433" s="85"/>
      <c r="DB433" s="85"/>
      <c r="DC433" s="85"/>
      <c r="DD433" s="85"/>
      <c r="DE433" s="85"/>
      <c r="DF433" s="85"/>
      <c r="DG433" s="85"/>
      <c r="DH433" s="85"/>
      <c r="DI433" s="85"/>
      <c r="DJ433" s="85"/>
      <c r="DK433" s="85"/>
      <c r="DL433" s="85"/>
      <c r="DM433" s="85"/>
      <c r="DN433" s="85"/>
      <c r="DO433" s="85"/>
      <c r="DP433" s="85"/>
      <c r="DQ433" s="85"/>
      <c r="DR433" s="85"/>
      <c r="DS433" s="85"/>
      <c r="DT433" s="85"/>
      <c r="DU433" s="85"/>
      <c r="DV433" s="85"/>
      <c r="DW433" s="85"/>
      <c r="DX433" s="85"/>
      <c r="DY433" s="85"/>
      <c r="DZ433" s="85"/>
      <c r="EA433" s="85"/>
      <c r="EB433" s="85"/>
      <c r="EC433" s="85"/>
      <c r="ED433" s="85"/>
      <c r="EE433" s="85"/>
      <c r="EF433" s="85"/>
      <c r="EG433" s="85"/>
      <c r="EH433" s="85"/>
      <c r="EI433" s="85"/>
      <c r="EJ433" s="85"/>
      <c r="EK433" s="85"/>
      <c r="EL433" s="85"/>
      <c r="EM433" s="85"/>
      <c r="EN433" s="85"/>
      <c r="EO433" s="85"/>
      <c r="EP433" s="85"/>
      <c r="EQ433" s="85"/>
      <c r="ER433" s="85"/>
      <c r="ES433" s="85"/>
      <c r="ET433" s="85"/>
      <c r="EU433" s="85"/>
      <c r="EV433" s="85"/>
      <c r="EW433" s="85"/>
      <c r="EX433" s="85"/>
      <c r="EY433" s="85"/>
      <c r="EZ433" s="85"/>
      <c r="FA433" s="85"/>
      <c r="FB433" s="85"/>
      <c r="FC433" s="85"/>
      <c r="FD433" s="85"/>
      <c r="FE433" s="85"/>
      <c r="FF433" s="85"/>
      <c r="FG433" s="85"/>
      <c r="FH433" s="85"/>
      <c r="FI433" s="85"/>
      <c r="FJ433" s="85"/>
      <c r="FK433" s="85"/>
      <c r="FL433" s="85"/>
      <c r="FM433" s="85"/>
      <c r="FN433" s="85"/>
      <c r="FO433" s="85"/>
      <c r="FP433" s="85"/>
      <c r="FQ433" s="85"/>
      <c r="FR433" s="85"/>
      <c r="FS433" s="85"/>
      <c r="FT433" s="85"/>
      <c r="FU433" s="85"/>
      <c r="FV433" s="85"/>
      <c r="FW433" s="85"/>
      <c r="FX433" s="85"/>
      <c r="FY433" s="85"/>
      <c r="FZ433" s="85"/>
      <c r="GA433" s="85"/>
      <c r="GB433" s="85"/>
      <c r="GC433" s="85"/>
      <c r="GD433" s="85"/>
      <c r="GE433" s="85"/>
      <c r="GF433" s="85"/>
      <c r="GG433" s="85"/>
      <c r="GH433" s="85"/>
      <c r="GI433" s="85"/>
      <c r="GJ433" s="85"/>
      <c r="GK433" s="85"/>
      <c r="GL433" s="85"/>
      <c r="GM433" s="85"/>
      <c r="GN433" s="85"/>
      <c r="GO433" s="85"/>
      <c r="GP433" s="85"/>
      <c r="GQ433" s="85"/>
      <c r="GR433" s="85"/>
      <c r="GS433" s="85"/>
      <c r="GT433" s="85"/>
      <c r="GU433" s="85"/>
      <c r="GV433" s="85"/>
      <c r="GW433" s="85"/>
      <c r="GX433" s="85"/>
      <c r="GY433" s="85"/>
      <c r="GZ433" s="85"/>
      <c r="HA433" s="85"/>
      <c r="HB433" s="85"/>
      <c r="HC433" s="85"/>
      <c r="HD433" s="85"/>
      <c r="HE433" s="85"/>
      <c r="HF433" s="85"/>
      <c r="HG433" s="85"/>
      <c r="HH433" s="85"/>
      <c r="HI433" s="85"/>
      <c r="HJ433" s="85"/>
      <c r="HK433" s="85"/>
      <c r="HL433" s="85"/>
      <c r="HM433" s="85"/>
      <c r="HN433" s="85"/>
      <c r="HO433" s="85"/>
      <c r="HP433" s="85"/>
      <c r="HQ433" s="85"/>
      <c r="HR433" s="85"/>
      <c r="HS433" s="85"/>
      <c r="HT433" s="85"/>
      <c r="HU433" s="85"/>
      <c r="HV433" s="85"/>
      <c r="HW433" s="85"/>
      <c r="HX433" s="85"/>
      <c r="HY433" s="85"/>
      <c r="HZ433" s="85"/>
      <c r="IA433" s="85"/>
      <c r="IB433" s="85"/>
      <c r="IC433" s="85"/>
      <c r="ID433" s="85"/>
      <c r="IE433" s="85"/>
      <c r="IF433" s="85"/>
      <c r="IG433" s="85"/>
      <c r="IH433" s="85"/>
      <c r="II433" s="85"/>
      <c r="IJ433" s="85"/>
      <c r="IK433" s="85"/>
      <c r="IL433" s="85"/>
      <c r="IM433" s="85"/>
      <c r="IN433" s="85"/>
      <c r="IO433" s="85"/>
      <c r="IP433" s="85"/>
      <c r="IQ433" s="85"/>
      <c r="IR433" s="85"/>
      <c r="IS433" s="85"/>
      <c r="IT433" s="85"/>
      <c r="IU433" s="85"/>
      <c r="IV433" s="85"/>
      <c r="IW433" s="85"/>
      <c r="IX433" s="85"/>
      <c r="IY433" s="85"/>
      <c r="IZ433" s="85"/>
      <c r="JA433" s="85"/>
      <c r="JB433" s="85"/>
      <c r="JC433" s="85"/>
      <c r="JD433" s="85"/>
      <c r="JE433" s="85"/>
      <c r="JF433" s="85"/>
      <c r="JG433" s="85"/>
      <c r="JH433" s="85"/>
      <c r="JI433" s="85"/>
      <c r="JJ433" s="85"/>
      <c r="JK433" s="85"/>
      <c r="JL433" s="85"/>
      <c r="JM433" s="85"/>
      <c r="JN433" s="85"/>
      <c r="JO433" s="85"/>
      <c r="JP433" s="85"/>
      <c r="JQ433" s="85"/>
      <c r="JR433" s="85"/>
      <c r="JS433" s="85"/>
      <c r="JT433" s="85"/>
      <c r="JU433" s="85"/>
      <c r="JV433" s="85"/>
      <c r="JW433" s="85"/>
      <c r="JX433" s="85"/>
      <c r="JY433" s="85"/>
      <c r="JZ433" s="85"/>
      <c r="KA433" s="85"/>
      <c r="KB433" s="85"/>
      <c r="KC433" s="85"/>
      <c r="KD433" s="85"/>
      <c r="KE433" s="85"/>
      <c r="KF433" s="85"/>
      <c r="KG433" s="85"/>
      <c r="KH433" s="85"/>
      <c r="KI433" s="85"/>
      <c r="KJ433" s="85"/>
      <c r="KK433" s="85"/>
      <c r="KL433" s="85"/>
      <c r="KM433" s="85"/>
      <c r="KN433" s="85"/>
      <c r="KO433" s="85"/>
      <c r="KP433" s="85"/>
      <c r="KQ433" s="85"/>
      <c r="KR433" s="85"/>
      <c r="KS433" s="85"/>
      <c r="KT433" s="85"/>
      <c r="KU433" s="85"/>
      <c r="KV433" s="85"/>
      <c r="KW433" s="85"/>
      <c r="KX433" s="85"/>
      <c r="KY433" s="85"/>
      <c r="KZ433" s="85"/>
      <c r="LA433" s="85"/>
      <c r="LB433" s="85"/>
      <c r="LC433" s="85"/>
      <c r="LD433" s="85"/>
      <c r="LE433" s="85"/>
      <c r="LF433" s="85"/>
      <c r="LG433" s="85"/>
      <c r="LH433" s="85"/>
      <c r="LI433" s="85"/>
      <c r="LJ433" s="85"/>
      <c r="LK433" s="85"/>
      <c r="LL433" s="85"/>
      <c r="LM433" s="85"/>
      <c r="LN433" s="85"/>
      <c r="LO433" s="85"/>
      <c r="LP433" s="85"/>
      <c r="LQ433" s="85"/>
      <c r="LR433" s="85"/>
      <c r="LS433" s="85"/>
      <c r="LT433" s="85"/>
      <c r="LU433" s="85"/>
      <c r="LV433" s="85"/>
      <c r="LW433" s="85"/>
      <c r="LX433" s="85"/>
      <c r="LY433" s="85"/>
      <c r="LZ433" s="85"/>
      <c r="MA433" s="85"/>
      <c r="MB433" s="85"/>
      <c r="MC433" s="85"/>
      <c r="MD433" s="85"/>
      <c r="ME433" s="85"/>
      <c r="MF433" s="85"/>
      <c r="MG433" s="85"/>
      <c r="MH433" s="85"/>
      <c r="MI433" s="85"/>
      <c r="MJ433" s="85"/>
      <c r="MK433" s="85"/>
      <c r="ML433" s="85"/>
      <c r="MM433" s="85"/>
      <c r="MN433" s="85"/>
      <c r="MO433" s="85"/>
      <c r="MP433" s="85"/>
      <c r="MQ433" s="85"/>
      <c r="MR433" s="85"/>
      <c r="MS433" s="85"/>
      <c r="MT433" s="85"/>
      <c r="MU433" s="85"/>
      <c r="MV433" s="85"/>
      <c r="MW433" s="85"/>
      <c r="MX433" s="85"/>
      <c r="MY433" s="85"/>
      <c r="MZ433" s="85"/>
      <c r="NA433" s="85"/>
      <c r="NB433" s="85"/>
      <c r="NC433" s="85"/>
      <c r="ND433" s="85"/>
      <c r="NE433" s="85"/>
      <c r="NF433" s="85"/>
      <c r="NG433" s="85"/>
      <c r="NH433" s="85"/>
      <c r="NI433" s="85"/>
      <c r="NJ433" s="85"/>
      <c r="NK433" s="85"/>
      <c r="NL433" s="85"/>
      <c r="NM433" s="85"/>
      <c r="NN433" s="85"/>
      <c r="NO433" s="85"/>
      <c r="NP433" s="85"/>
      <c r="NQ433" s="85"/>
      <c r="NR433" s="85"/>
      <c r="NS433" s="85"/>
      <c r="NT433" s="85"/>
      <c r="NU433" s="85"/>
      <c r="NV433" s="85"/>
      <c r="NW433" s="85"/>
      <c r="NX433" s="85"/>
      <c r="NY433" s="85"/>
      <c r="NZ433" s="85"/>
      <c r="OA433" s="85"/>
      <c r="OB433" s="85"/>
      <c r="OC433" s="85"/>
      <c r="OD433" s="85"/>
      <c r="OE433" s="85"/>
      <c r="OF433" s="85"/>
      <c r="OG433" s="85"/>
      <c r="OH433" s="85"/>
      <c r="OI433" s="85"/>
      <c r="OJ433" s="85"/>
      <c r="OK433" s="85"/>
      <c r="OL433" s="85"/>
      <c r="OM433" s="85"/>
      <c r="ON433" s="85"/>
      <c r="OO433" s="85"/>
      <c r="OP433" s="85"/>
      <c r="OQ433" s="85"/>
      <c r="OR433" s="85"/>
      <c r="OS433" s="85"/>
      <c r="OT433" s="85"/>
      <c r="OU433" s="85"/>
      <c r="OV433" s="85"/>
      <c r="OW433" s="85"/>
      <c r="OX433" s="85"/>
      <c r="OY433" s="85"/>
      <c r="OZ433" s="85"/>
      <c r="PA433" s="85"/>
      <c r="PB433" s="85"/>
      <c r="PC433" s="85"/>
      <c r="PD433" s="85"/>
      <c r="PE433" s="85"/>
      <c r="PF433" s="85"/>
      <c r="PG433" s="85"/>
      <c r="PH433" s="85"/>
      <c r="PI433" s="85"/>
      <c r="PJ433" s="85"/>
      <c r="PK433" s="85"/>
      <c r="PL433" s="85"/>
      <c r="PM433" s="85"/>
      <c r="PN433" s="85"/>
      <c r="PO433" s="85"/>
      <c r="PP433" s="85"/>
      <c r="PQ433" s="85"/>
      <c r="PR433" s="85"/>
      <c r="PS433" s="85"/>
      <c r="PT433" s="85"/>
      <c r="PU433" s="85"/>
      <c r="PV433" s="85"/>
      <c r="PW433" s="85"/>
      <c r="PX433" s="85"/>
      <c r="PY433" s="85"/>
      <c r="PZ433" s="85"/>
      <c r="QA433" s="85"/>
      <c r="QB433" s="85"/>
      <c r="QC433" s="85"/>
      <c r="QD433" s="85"/>
      <c r="QE433" s="85"/>
      <c r="QF433" s="85"/>
      <c r="QG433" s="85"/>
      <c r="QH433" s="85"/>
      <c r="QI433" s="85"/>
      <c r="QJ433" s="85"/>
      <c r="QK433" s="85"/>
      <c r="QL433" s="85"/>
      <c r="QM433" s="85"/>
      <c r="QN433" s="85"/>
      <c r="QO433" s="85"/>
      <c r="QP433" s="85"/>
      <c r="QQ433" s="85"/>
      <c r="QR433" s="85"/>
      <c r="QS433" s="85"/>
      <c r="QT433" s="85"/>
      <c r="QU433" s="85"/>
      <c r="QV433" s="85"/>
      <c r="QW433" s="85"/>
      <c r="QX433" s="85"/>
      <c r="QY433" s="85"/>
      <c r="QZ433" s="85"/>
      <c r="RA433" s="85"/>
      <c r="RB433" s="85"/>
      <c r="RC433" s="85"/>
      <c r="RD433" s="85"/>
      <c r="RE433" s="85"/>
      <c r="RF433" s="85"/>
      <c r="RG433" s="85"/>
      <c r="RH433" s="85"/>
      <c r="RI433" s="85"/>
      <c r="RJ433" s="85"/>
      <c r="RK433" s="85"/>
      <c r="RL433" s="85"/>
      <c r="RM433" s="85"/>
      <c r="RN433" s="85"/>
      <c r="RO433" s="85"/>
      <c r="RP433" s="85"/>
      <c r="RQ433" s="85"/>
      <c r="RR433" s="85"/>
      <c r="RS433" s="85"/>
      <c r="RT433" s="85"/>
      <c r="RU433" s="85"/>
      <c r="RV433" s="85"/>
      <c r="RW433" s="85"/>
      <c r="RX433" s="85"/>
      <c r="RY433" s="85"/>
      <c r="RZ433" s="85"/>
      <c r="SA433" s="85"/>
      <c r="SB433" s="85"/>
      <c r="SC433" s="85"/>
      <c r="SD433" s="85"/>
      <c r="SE433" s="85"/>
      <c r="SF433" s="85"/>
      <c r="SG433" s="85"/>
      <c r="SH433" s="85"/>
      <c r="SI433" s="85"/>
      <c r="SJ433" s="85"/>
      <c r="SK433" s="85"/>
      <c r="SL433" s="85"/>
      <c r="SM433" s="85"/>
      <c r="SN433" s="85"/>
      <c r="SO433" s="85"/>
      <c r="SP433" s="85"/>
      <c r="SQ433" s="85"/>
      <c r="SR433" s="85"/>
      <c r="SS433" s="85"/>
      <c r="ST433" s="85"/>
      <c r="SU433" s="85"/>
      <c r="SV433" s="85"/>
      <c r="SW433" s="85"/>
      <c r="SX433" s="85"/>
      <c r="SY433" s="85"/>
      <c r="SZ433" s="85"/>
      <c r="TA433" s="85"/>
      <c r="TB433" s="85"/>
      <c r="TC433" s="85"/>
      <c r="TD433" s="85"/>
      <c r="TE433" s="85"/>
      <c r="TF433" s="85"/>
      <c r="TG433" s="85"/>
      <c r="TH433" s="85"/>
      <c r="TI433" s="85"/>
      <c r="TJ433" s="85"/>
      <c r="TK433" s="85"/>
      <c r="TL433" s="85"/>
    </row>
    <row r="434" spans="1:532" s="85" customFormat="1" ht="12.75" customHeight="1">
      <c r="A434" s="128" t="s">
        <v>326</v>
      </c>
      <c r="B434" s="129" t="s">
        <v>150</v>
      </c>
      <c r="C434" s="95"/>
      <c r="D434" s="95">
        <f>+[2]ordinario!C559</f>
        <v>150000000</v>
      </c>
      <c r="E434" s="95">
        <v>159647320.86000001</v>
      </c>
      <c r="F434" s="256"/>
      <c r="G434" s="107"/>
      <c r="H434" s="105"/>
      <c r="I434" s="94">
        <f>SUM(I436:I442)</f>
        <v>124046118.56000002</v>
      </c>
      <c r="J434" s="94">
        <f>SUM(J436:J442)</f>
        <v>118675890.56000002</v>
      </c>
      <c r="K434" s="94">
        <f>SUM(K436:K442)</f>
        <v>5370228</v>
      </c>
      <c r="L434" s="94">
        <f>SUM(L436:L442)</f>
        <v>0</v>
      </c>
      <c r="M434" s="94">
        <f>SUM(M436:M442)</f>
        <v>0</v>
      </c>
      <c r="N434" s="94">
        <f>SUM(N435:N442)</f>
        <v>35601202.300094768</v>
      </c>
    </row>
    <row r="435" spans="1:532" s="85" customFormat="1" ht="12.75" customHeight="1">
      <c r="A435" s="106"/>
      <c r="B435" s="257"/>
      <c r="C435" s="95"/>
      <c r="D435" s="95"/>
      <c r="E435" s="95"/>
      <c r="F435" s="256" t="s">
        <v>171</v>
      </c>
      <c r="G435" s="108" t="s">
        <v>316</v>
      </c>
      <c r="H435" s="105" t="s">
        <v>77</v>
      </c>
      <c r="I435" s="99"/>
      <c r="J435" s="99">
        <f>+I435</f>
        <v>0</v>
      </c>
      <c r="K435" s="99"/>
      <c r="L435" s="99"/>
      <c r="M435" s="99"/>
      <c r="N435" s="99"/>
    </row>
    <row r="436" spans="1:532" s="85" customFormat="1" ht="12.75" customHeight="1">
      <c r="A436" s="106"/>
      <c r="B436" s="257"/>
      <c r="C436" s="95"/>
      <c r="D436" s="95"/>
      <c r="E436" s="95"/>
      <c r="F436" s="256"/>
      <c r="G436" s="108"/>
      <c r="H436" s="105"/>
      <c r="I436" s="99"/>
      <c r="J436" s="99"/>
      <c r="K436" s="99"/>
      <c r="L436" s="99"/>
      <c r="M436" s="99"/>
      <c r="N436" s="99"/>
    </row>
    <row r="437" spans="1:532" s="85" customFormat="1" ht="12.75" customHeight="1">
      <c r="A437" s="106"/>
      <c r="B437" s="257"/>
      <c r="C437" s="95"/>
      <c r="D437" s="95"/>
      <c r="E437" s="95"/>
      <c r="F437" s="256" t="s">
        <v>186</v>
      </c>
      <c r="G437" s="108" t="s">
        <v>306</v>
      </c>
      <c r="H437" s="105" t="s">
        <v>77</v>
      </c>
      <c r="I437" s="99">
        <f>95892786.93-I364</f>
        <v>92347435.830000013</v>
      </c>
      <c r="J437" s="99">
        <f>+I437</f>
        <v>92347435.830000013</v>
      </c>
      <c r="K437" s="99"/>
      <c r="L437" s="99"/>
      <c r="M437" s="99"/>
      <c r="N437" s="99">
        <f>-I437+[2]ordinario!I565</f>
        <v>17402511.189394757</v>
      </c>
    </row>
    <row r="438" spans="1:532" s="85" customFormat="1" ht="12.75" customHeight="1">
      <c r="A438" s="106"/>
      <c r="B438" s="257"/>
      <c r="C438" s="95"/>
      <c r="D438" s="95"/>
      <c r="E438" s="95"/>
      <c r="F438" s="256"/>
      <c r="G438" s="108"/>
      <c r="H438" s="105" t="s">
        <v>78</v>
      </c>
      <c r="I438" s="99">
        <v>22690249.100000001</v>
      </c>
      <c r="J438" s="99">
        <f>+I438</f>
        <v>22690249.100000001</v>
      </c>
      <c r="K438" s="99"/>
      <c r="L438" s="99"/>
      <c r="M438" s="99"/>
      <c r="N438" s="99">
        <f>-I438+[2]ordinario!I566</f>
        <v>5309575.2006999999</v>
      </c>
    </row>
    <row r="439" spans="1:532" s="85" customFormat="1" ht="12.75" customHeight="1">
      <c r="A439" s="106"/>
      <c r="B439" s="257"/>
      <c r="C439" s="95"/>
      <c r="D439" s="95"/>
      <c r="E439" s="95"/>
      <c r="F439" s="256"/>
      <c r="G439" s="108"/>
      <c r="H439" s="105" t="s">
        <v>79</v>
      </c>
      <c r="I439" s="99">
        <v>2844260.4</v>
      </c>
      <c r="J439" s="99">
        <f>+I439</f>
        <v>2844260.4</v>
      </c>
      <c r="K439" s="99"/>
      <c r="L439" s="99"/>
      <c r="M439" s="99"/>
      <c r="N439" s="99">
        <f>-I439+[2]ordinario!I567</f>
        <v>1010739.6000000001</v>
      </c>
    </row>
    <row r="440" spans="1:532" s="85" customFormat="1" ht="12.75" customHeight="1">
      <c r="A440" s="106"/>
      <c r="B440" s="257"/>
      <c r="C440" s="95"/>
      <c r="D440" s="95"/>
      <c r="E440" s="95"/>
      <c r="F440" s="256"/>
      <c r="G440" s="108"/>
      <c r="H440" s="105" t="s">
        <v>81</v>
      </c>
      <c r="I440" s="99">
        <v>5370228</v>
      </c>
      <c r="J440" s="99"/>
      <c r="K440" s="99">
        <f>+I440</f>
        <v>5370228</v>
      </c>
      <c r="L440" s="99"/>
      <c r="M440" s="99"/>
      <c r="N440" s="99">
        <f>-I440+[2]ordinario!I568</f>
        <v>25000.679999999702</v>
      </c>
    </row>
    <row r="441" spans="1:532" s="85" customFormat="1" ht="12.75" customHeight="1">
      <c r="A441" s="106"/>
      <c r="B441" s="257"/>
      <c r="C441" s="95"/>
      <c r="D441" s="95"/>
      <c r="E441" s="95"/>
      <c r="F441" s="256"/>
      <c r="G441" s="108"/>
      <c r="H441" s="105" t="s">
        <v>82</v>
      </c>
      <c r="I441" s="99">
        <v>793945.23</v>
      </c>
      <c r="J441" s="99">
        <f>+I441</f>
        <v>793945.23</v>
      </c>
      <c r="K441" s="99"/>
      <c r="L441" s="99"/>
      <c r="M441" s="99"/>
      <c r="N441" s="99">
        <f>-I441+[2]ordinario!I569</f>
        <v>2206054.77</v>
      </c>
    </row>
    <row r="442" spans="1:532" s="85" customFormat="1" ht="12.75" customHeight="1">
      <c r="A442" s="106"/>
      <c r="B442" s="257"/>
      <c r="C442" s="95"/>
      <c r="D442" s="95"/>
      <c r="E442" s="95"/>
      <c r="F442" s="256"/>
      <c r="G442" s="107" t="s">
        <v>277</v>
      </c>
      <c r="H442" s="105"/>
      <c r="I442" s="99"/>
      <c r="J442" s="99"/>
      <c r="K442" s="99"/>
      <c r="L442" s="99"/>
      <c r="M442" s="99"/>
      <c r="N442" s="99">
        <f>+E434-D434</f>
        <v>9647320.8600000143</v>
      </c>
    </row>
    <row r="443" spans="1:532" s="135" customFormat="1" ht="12.75" customHeight="1">
      <c r="A443" s="111"/>
      <c r="B443" s="243"/>
      <c r="C443" s="112"/>
      <c r="D443" s="112"/>
      <c r="E443" s="112"/>
      <c r="F443" s="242"/>
      <c r="G443" s="113"/>
      <c r="H443" s="114"/>
      <c r="I443" s="115"/>
      <c r="J443" s="115"/>
      <c r="K443" s="115"/>
      <c r="L443" s="115"/>
      <c r="M443" s="115"/>
      <c r="N443" s="116"/>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5"/>
      <c r="AL443" s="85"/>
      <c r="AM443" s="85"/>
      <c r="AN443" s="85"/>
      <c r="AO443" s="85"/>
      <c r="AP443" s="85"/>
      <c r="AQ443" s="85"/>
      <c r="AR443" s="85"/>
      <c r="AS443" s="85"/>
      <c r="AT443" s="85"/>
      <c r="AU443" s="85"/>
      <c r="AV443" s="85"/>
      <c r="AW443" s="85"/>
      <c r="AX443" s="85"/>
      <c r="AY443" s="85"/>
      <c r="AZ443" s="85"/>
      <c r="BA443" s="85"/>
      <c r="BB443" s="85"/>
      <c r="BC443" s="85"/>
      <c r="BD443" s="85"/>
      <c r="BE443" s="85"/>
      <c r="BF443" s="85"/>
      <c r="BG443" s="85"/>
      <c r="BH443" s="85"/>
      <c r="BI443" s="85"/>
      <c r="BJ443" s="85"/>
      <c r="BK443" s="85"/>
      <c r="BL443" s="85"/>
      <c r="BM443" s="85"/>
      <c r="BN443" s="85"/>
      <c r="BO443" s="85"/>
      <c r="BP443" s="85"/>
      <c r="BQ443" s="85"/>
      <c r="BR443" s="85"/>
      <c r="BS443" s="85"/>
      <c r="BT443" s="85"/>
      <c r="BU443" s="85"/>
      <c r="BV443" s="85"/>
      <c r="BW443" s="85"/>
      <c r="BX443" s="85"/>
      <c r="BY443" s="85"/>
      <c r="BZ443" s="85"/>
      <c r="CA443" s="85"/>
      <c r="CB443" s="85"/>
      <c r="CC443" s="85"/>
      <c r="CD443" s="85"/>
      <c r="CE443" s="85"/>
      <c r="CF443" s="85"/>
      <c r="CG443" s="85"/>
      <c r="CH443" s="85"/>
      <c r="CI443" s="85"/>
      <c r="CJ443" s="85"/>
      <c r="CK443" s="85"/>
      <c r="CL443" s="85"/>
      <c r="CM443" s="85"/>
      <c r="CN443" s="85"/>
      <c r="CO443" s="85"/>
      <c r="CP443" s="85"/>
      <c r="CQ443" s="85"/>
      <c r="CR443" s="85"/>
      <c r="CS443" s="85"/>
      <c r="CT443" s="85"/>
      <c r="CU443" s="85"/>
      <c r="CV443" s="85"/>
      <c r="CW443" s="85"/>
      <c r="CX443" s="85"/>
      <c r="CY443" s="85"/>
      <c r="CZ443" s="85"/>
      <c r="DA443" s="85"/>
      <c r="DB443" s="85"/>
      <c r="DC443" s="85"/>
      <c r="DD443" s="85"/>
      <c r="DE443" s="85"/>
      <c r="DF443" s="85"/>
      <c r="DG443" s="85"/>
      <c r="DH443" s="85"/>
      <c r="DI443" s="85"/>
      <c r="DJ443" s="85"/>
      <c r="DK443" s="85"/>
      <c r="DL443" s="85"/>
      <c r="DM443" s="85"/>
      <c r="DN443" s="85"/>
      <c r="DO443" s="85"/>
      <c r="DP443" s="85"/>
      <c r="DQ443" s="85"/>
      <c r="DR443" s="85"/>
      <c r="DS443" s="85"/>
      <c r="DT443" s="85"/>
      <c r="DU443" s="85"/>
      <c r="DV443" s="85"/>
      <c r="DW443" s="85"/>
      <c r="DX443" s="85"/>
      <c r="DY443" s="85"/>
      <c r="DZ443" s="85"/>
      <c r="EA443" s="85"/>
      <c r="EB443" s="85"/>
      <c r="EC443" s="85"/>
      <c r="ED443" s="85"/>
      <c r="EE443" s="85"/>
      <c r="EF443" s="85"/>
      <c r="EG443" s="85"/>
      <c r="EH443" s="85"/>
      <c r="EI443" s="85"/>
      <c r="EJ443" s="85"/>
      <c r="EK443" s="85"/>
      <c r="EL443" s="85"/>
      <c r="EM443" s="85"/>
      <c r="EN443" s="85"/>
      <c r="EO443" s="85"/>
      <c r="EP443" s="85"/>
      <c r="EQ443" s="85"/>
      <c r="ER443" s="85"/>
      <c r="ES443" s="85"/>
      <c r="ET443" s="85"/>
      <c r="EU443" s="85"/>
      <c r="EV443" s="85"/>
      <c r="EW443" s="85"/>
      <c r="EX443" s="85"/>
      <c r="EY443" s="85"/>
      <c r="EZ443" s="85"/>
      <c r="FA443" s="85"/>
      <c r="FB443" s="85"/>
      <c r="FC443" s="85"/>
      <c r="FD443" s="85"/>
      <c r="FE443" s="85"/>
      <c r="FF443" s="85"/>
      <c r="FG443" s="85"/>
      <c r="FH443" s="85"/>
      <c r="FI443" s="85"/>
      <c r="FJ443" s="85"/>
      <c r="FK443" s="85"/>
      <c r="FL443" s="85"/>
      <c r="FM443" s="85"/>
      <c r="FN443" s="85"/>
      <c r="FO443" s="85"/>
      <c r="FP443" s="85"/>
      <c r="FQ443" s="85"/>
      <c r="FR443" s="85"/>
      <c r="FS443" s="85"/>
      <c r="FT443" s="85"/>
      <c r="FU443" s="85"/>
      <c r="FV443" s="85"/>
      <c r="FW443" s="85"/>
      <c r="FX443" s="85"/>
      <c r="FY443" s="85"/>
      <c r="FZ443" s="85"/>
      <c r="GA443" s="85"/>
      <c r="GB443" s="85"/>
      <c r="GC443" s="85"/>
      <c r="GD443" s="85"/>
      <c r="GE443" s="85"/>
      <c r="GF443" s="85"/>
      <c r="GG443" s="85"/>
      <c r="GH443" s="85"/>
      <c r="GI443" s="85"/>
      <c r="GJ443" s="85"/>
      <c r="GK443" s="85"/>
      <c r="GL443" s="85"/>
      <c r="GM443" s="85"/>
      <c r="GN443" s="85"/>
      <c r="GO443" s="85"/>
      <c r="GP443" s="85"/>
      <c r="GQ443" s="85"/>
      <c r="GR443" s="85"/>
      <c r="GS443" s="85"/>
      <c r="GT443" s="85"/>
      <c r="GU443" s="85"/>
      <c r="GV443" s="85"/>
      <c r="GW443" s="85"/>
      <c r="GX443" s="85"/>
      <c r="GY443" s="85"/>
      <c r="GZ443" s="85"/>
      <c r="HA443" s="85"/>
      <c r="HB443" s="85"/>
      <c r="HC443" s="85"/>
      <c r="HD443" s="85"/>
      <c r="HE443" s="85"/>
      <c r="HF443" s="85"/>
      <c r="HG443" s="85"/>
      <c r="HH443" s="85"/>
      <c r="HI443" s="85"/>
      <c r="HJ443" s="85"/>
      <c r="HK443" s="85"/>
      <c r="HL443" s="85"/>
      <c r="HM443" s="85"/>
      <c r="HN443" s="85"/>
      <c r="HO443" s="85"/>
      <c r="HP443" s="85"/>
      <c r="HQ443" s="85"/>
      <c r="HR443" s="85"/>
      <c r="HS443" s="85"/>
      <c r="HT443" s="85"/>
      <c r="HU443" s="85"/>
      <c r="HV443" s="85"/>
      <c r="HW443" s="85"/>
      <c r="HX443" s="85"/>
      <c r="HY443" s="85"/>
      <c r="HZ443" s="85"/>
      <c r="IA443" s="85"/>
      <c r="IB443" s="85"/>
      <c r="IC443" s="85"/>
      <c r="ID443" s="85"/>
      <c r="IE443" s="85"/>
      <c r="IF443" s="85"/>
      <c r="IG443" s="85"/>
      <c r="IH443" s="85"/>
      <c r="II443" s="85"/>
      <c r="IJ443" s="85"/>
      <c r="IK443" s="85"/>
      <c r="IL443" s="85"/>
      <c r="IM443" s="85"/>
      <c r="IN443" s="85"/>
      <c r="IO443" s="85"/>
      <c r="IP443" s="85"/>
      <c r="IQ443" s="85"/>
      <c r="IR443" s="85"/>
      <c r="IS443" s="85"/>
      <c r="IT443" s="85"/>
      <c r="IU443" s="85"/>
      <c r="IV443" s="85"/>
      <c r="IW443" s="85"/>
      <c r="IX443" s="85"/>
      <c r="IY443" s="85"/>
      <c r="IZ443" s="85"/>
      <c r="JA443" s="85"/>
      <c r="JB443" s="85"/>
      <c r="JC443" s="85"/>
      <c r="JD443" s="85"/>
      <c r="JE443" s="85"/>
      <c r="JF443" s="85"/>
      <c r="JG443" s="85"/>
      <c r="JH443" s="85"/>
      <c r="JI443" s="85"/>
      <c r="JJ443" s="85"/>
      <c r="JK443" s="85"/>
      <c r="JL443" s="85"/>
      <c r="JM443" s="85"/>
      <c r="JN443" s="85"/>
      <c r="JO443" s="85"/>
      <c r="JP443" s="85"/>
      <c r="JQ443" s="85"/>
      <c r="JR443" s="85"/>
      <c r="JS443" s="85"/>
      <c r="JT443" s="85"/>
      <c r="JU443" s="85"/>
      <c r="JV443" s="85"/>
      <c r="JW443" s="85"/>
      <c r="JX443" s="85"/>
      <c r="JY443" s="85"/>
      <c r="JZ443" s="85"/>
      <c r="KA443" s="85"/>
      <c r="KB443" s="85"/>
      <c r="KC443" s="85"/>
      <c r="KD443" s="85"/>
      <c r="KE443" s="85"/>
      <c r="KF443" s="85"/>
      <c r="KG443" s="85"/>
      <c r="KH443" s="85"/>
      <c r="KI443" s="85"/>
      <c r="KJ443" s="85"/>
      <c r="KK443" s="85"/>
      <c r="KL443" s="85"/>
      <c r="KM443" s="85"/>
      <c r="KN443" s="85"/>
      <c r="KO443" s="85"/>
      <c r="KP443" s="85"/>
      <c r="KQ443" s="85"/>
      <c r="KR443" s="85"/>
      <c r="KS443" s="85"/>
      <c r="KT443" s="85"/>
      <c r="KU443" s="85"/>
      <c r="KV443" s="85"/>
      <c r="KW443" s="85"/>
      <c r="KX443" s="85"/>
      <c r="KY443" s="85"/>
      <c r="KZ443" s="85"/>
      <c r="LA443" s="85"/>
      <c r="LB443" s="85"/>
      <c r="LC443" s="85"/>
      <c r="LD443" s="85"/>
      <c r="LE443" s="85"/>
      <c r="LF443" s="85"/>
      <c r="LG443" s="85"/>
      <c r="LH443" s="85"/>
      <c r="LI443" s="85"/>
      <c r="LJ443" s="85"/>
      <c r="LK443" s="85"/>
      <c r="LL443" s="85"/>
      <c r="LM443" s="85"/>
      <c r="LN443" s="85"/>
      <c r="LO443" s="85"/>
      <c r="LP443" s="85"/>
      <c r="LQ443" s="85"/>
      <c r="LR443" s="85"/>
      <c r="LS443" s="85"/>
      <c r="LT443" s="85"/>
      <c r="LU443" s="85"/>
      <c r="LV443" s="85"/>
      <c r="LW443" s="85"/>
      <c r="LX443" s="85"/>
      <c r="LY443" s="85"/>
      <c r="LZ443" s="85"/>
      <c r="MA443" s="85"/>
      <c r="MB443" s="85"/>
      <c r="MC443" s="85"/>
      <c r="MD443" s="85"/>
      <c r="ME443" s="85"/>
      <c r="MF443" s="85"/>
      <c r="MG443" s="85"/>
      <c r="MH443" s="85"/>
      <c r="MI443" s="85"/>
      <c r="MJ443" s="85"/>
      <c r="MK443" s="85"/>
      <c r="ML443" s="85"/>
      <c r="MM443" s="85"/>
      <c r="MN443" s="85"/>
      <c r="MO443" s="85"/>
      <c r="MP443" s="85"/>
      <c r="MQ443" s="85"/>
      <c r="MR443" s="85"/>
      <c r="MS443" s="85"/>
      <c r="MT443" s="85"/>
      <c r="MU443" s="85"/>
      <c r="MV443" s="85"/>
      <c r="MW443" s="85"/>
      <c r="MX443" s="85"/>
      <c r="MY443" s="85"/>
      <c r="MZ443" s="85"/>
      <c r="NA443" s="85"/>
      <c r="NB443" s="85"/>
      <c r="NC443" s="85"/>
      <c r="ND443" s="85"/>
      <c r="NE443" s="85"/>
      <c r="NF443" s="85"/>
      <c r="NG443" s="85"/>
      <c r="NH443" s="85"/>
      <c r="NI443" s="85"/>
      <c r="NJ443" s="85"/>
      <c r="NK443" s="85"/>
      <c r="NL443" s="85"/>
      <c r="NM443" s="85"/>
      <c r="NN443" s="85"/>
      <c r="NO443" s="85"/>
      <c r="NP443" s="85"/>
      <c r="NQ443" s="85"/>
      <c r="NR443" s="85"/>
      <c r="NS443" s="85"/>
      <c r="NT443" s="85"/>
      <c r="NU443" s="85"/>
      <c r="NV443" s="85"/>
      <c r="NW443" s="85"/>
      <c r="NX443" s="85"/>
      <c r="NY443" s="85"/>
      <c r="NZ443" s="85"/>
      <c r="OA443" s="85"/>
      <c r="OB443" s="85"/>
      <c r="OC443" s="85"/>
      <c r="OD443" s="85"/>
      <c r="OE443" s="85"/>
      <c r="OF443" s="85"/>
      <c r="OG443" s="85"/>
      <c r="OH443" s="85"/>
      <c r="OI443" s="85"/>
      <c r="OJ443" s="85"/>
      <c r="OK443" s="85"/>
      <c r="OL443" s="85"/>
      <c r="OM443" s="85"/>
      <c r="ON443" s="85"/>
      <c r="OO443" s="85"/>
      <c r="OP443" s="85"/>
      <c r="OQ443" s="85"/>
      <c r="OR443" s="85"/>
      <c r="OS443" s="85"/>
      <c r="OT443" s="85"/>
      <c r="OU443" s="85"/>
      <c r="OV443" s="85"/>
      <c r="OW443" s="85"/>
      <c r="OX443" s="85"/>
      <c r="OY443" s="85"/>
      <c r="OZ443" s="85"/>
      <c r="PA443" s="85"/>
      <c r="PB443" s="85"/>
      <c r="PC443" s="85"/>
      <c r="PD443" s="85"/>
      <c r="PE443" s="85"/>
      <c r="PF443" s="85"/>
      <c r="PG443" s="85"/>
      <c r="PH443" s="85"/>
      <c r="PI443" s="85"/>
      <c r="PJ443" s="85"/>
      <c r="PK443" s="85"/>
      <c r="PL443" s="85"/>
      <c r="PM443" s="85"/>
      <c r="PN443" s="85"/>
      <c r="PO443" s="85"/>
      <c r="PP443" s="85"/>
      <c r="PQ443" s="85"/>
      <c r="PR443" s="85"/>
      <c r="PS443" s="85"/>
      <c r="PT443" s="85"/>
      <c r="PU443" s="85"/>
      <c r="PV443" s="85"/>
      <c r="PW443" s="85"/>
      <c r="PX443" s="85"/>
      <c r="PY443" s="85"/>
      <c r="PZ443" s="85"/>
      <c r="QA443" s="85"/>
      <c r="QB443" s="85"/>
      <c r="QC443" s="85"/>
      <c r="QD443" s="85"/>
      <c r="QE443" s="85"/>
      <c r="QF443" s="85"/>
      <c r="QG443" s="85"/>
      <c r="QH443" s="85"/>
      <c r="QI443" s="85"/>
      <c r="QJ443" s="85"/>
      <c r="QK443" s="85"/>
      <c r="QL443" s="85"/>
      <c r="QM443" s="85"/>
      <c r="QN443" s="85"/>
      <c r="QO443" s="85"/>
      <c r="QP443" s="85"/>
      <c r="QQ443" s="85"/>
      <c r="QR443" s="85"/>
      <c r="QS443" s="85"/>
      <c r="QT443" s="85"/>
      <c r="QU443" s="85"/>
      <c r="QV443" s="85"/>
      <c r="QW443" s="85"/>
      <c r="QX443" s="85"/>
      <c r="QY443" s="85"/>
      <c r="QZ443" s="85"/>
      <c r="RA443" s="85"/>
      <c r="RB443" s="85"/>
      <c r="RC443" s="85"/>
      <c r="RD443" s="85"/>
      <c r="RE443" s="85"/>
      <c r="RF443" s="85"/>
      <c r="RG443" s="85"/>
      <c r="RH443" s="85"/>
      <c r="RI443" s="85"/>
      <c r="RJ443" s="85"/>
      <c r="RK443" s="85"/>
      <c r="RL443" s="85"/>
      <c r="RM443" s="85"/>
      <c r="RN443" s="85"/>
      <c r="RO443" s="85"/>
      <c r="RP443" s="85"/>
      <c r="RQ443" s="85"/>
      <c r="RR443" s="85"/>
      <c r="RS443" s="85"/>
      <c r="RT443" s="85"/>
      <c r="RU443" s="85"/>
      <c r="RV443" s="85"/>
      <c r="RW443" s="85"/>
      <c r="RX443" s="85"/>
      <c r="RY443" s="85"/>
      <c r="RZ443" s="85"/>
      <c r="SA443" s="85"/>
      <c r="SB443" s="85"/>
      <c r="SC443" s="85"/>
      <c r="SD443" s="85"/>
      <c r="SE443" s="85"/>
      <c r="SF443" s="85"/>
      <c r="SG443" s="85"/>
      <c r="SH443" s="85"/>
      <c r="SI443" s="85"/>
      <c r="SJ443" s="85"/>
      <c r="SK443" s="85"/>
      <c r="SL443" s="85"/>
      <c r="SM443" s="85"/>
      <c r="SN443" s="85"/>
      <c r="SO443" s="85"/>
      <c r="SP443" s="85"/>
      <c r="SQ443" s="85"/>
      <c r="SR443" s="85"/>
      <c r="SS443" s="85"/>
      <c r="ST443" s="85"/>
      <c r="SU443" s="85"/>
      <c r="SV443" s="85"/>
      <c r="SW443" s="85"/>
      <c r="SX443" s="85"/>
      <c r="SY443" s="85"/>
      <c r="SZ443" s="85"/>
      <c r="TA443" s="85"/>
      <c r="TB443" s="85"/>
      <c r="TC443" s="85"/>
      <c r="TD443" s="85"/>
      <c r="TE443" s="85"/>
      <c r="TF443" s="85"/>
      <c r="TG443" s="85"/>
      <c r="TH443" s="85"/>
      <c r="TI443" s="85"/>
      <c r="TJ443" s="85"/>
      <c r="TK443" s="85"/>
      <c r="TL443" s="85"/>
    </row>
    <row r="444" spans="1:532" s="85" customFormat="1" ht="12.75" customHeight="1">
      <c r="A444" s="128" t="s">
        <v>327</v>
      </c>
      <c r="B444" s="129" t="s">
        <v>328</v>
      </c>
      <c r="C444" s="95"/>
      <c r="D444" s="95">
        <f>+[2]ordinario!C574</f>
        <v>700000000</v>
      </c>
      <c r="E444" s="95">
        <v>740395011.79999995</v>
      </c>
      <c r="F444" s="256"/>
      <c r="G444" s="107"/>
      <c r="H444" s="105"/>
      <c r="I444" s="94">
        <f t="shared" ref="I444:N444" si="24">SUM(I445:I452)</f>
        <v>700000000</v>
      </c>
      <c r="J444" s="94">
        <f t="shared" si="24"/>
        <v>700000000</v>
      </c>
      <c r="K444" s="94">
        <f t="shared" si="24"/>
        <v>0</v>
      </c>
      <c r="L444" s="94">
        <f t="shared" si="24"/>
        <v>0</v>
      </c>
      <c r="M444" s="94">
        <f t="shared" si="24"/>
        <v>0</v>
      </c>
      <c r="N444" s="94">
        <f t="shared" si="24"/>
        <v>40395011.798299968</v>
      </c>
    </row>
    <row r="445" spans="1:532" s="85" customFormat="1" ht="12.75" customHeight="1">
      <c r="A445" s="106"/>
      <c r="B445" s="257"/>
      <c r="C445" s="95"/>
      <c r="D445" s="95"/>
      <c r="E445" s="95"/>
      <c r="F445" s="256" t="s">
        <v>171</v>
      </c>
      <c r="G445" s="108" t="s">
        <v>329</v>
      </c>
      <c r="H445" s="105" t="s">
        <v>82</v>
      </c>
      <c r="I445" s="99">
        <v>160461613.96000001</v>
      </c>
      <c r="J445" s="99">
        <f>+I445</f>
        <v>160461613.96000001</v>
      </c>
      <c r="K445" s="99"/>
      <c r="L445" s="99"/>
      <c r="M445" s="99"/>
      <c r="N445" s="99">
        <f>-I445+[2]ordinario!I577</f>
        <v>-3.099977970123291E-3</v>
      </c>
    </row>
    <row r="446" spans="1:532" s="85" customFormat="1" ht="12.75" customHeight="1">
      <c r="A446" s="106"/>
      <c r="B446" s="257"/>
      <c r="C446" s="95"/>
      <c r="D446" s="95"/>
      <c r="E446" s="95"/>
      <c r="F446" s="256"/>
      <c r="G446" s="108"/>
      <c r="H446" s="105"/>
      <c r="I446" s="99"/>
      <c r="J446" s="99"/>
      <c r="K446" s="99"/>
      <c r="L446" s="99"/>
      <c r="M446" s="99"/>
      <c r="N446" s="99"/>
    </row>
    <row r="447" spans="1:532" s="85" customFormat="1" ht="12.75" customHeight="1">
      <c r="A447" s="106"/>
      <c r="B447" s="257"/>
      <c r="C447" s="95"/>
      <c r="D447" s="95"/>
      <c r="E447" s="95"/>
      <c r="F447" s="256" t="s">
        <v>171</v>
      </c>
      <c r="G447" s="108" t="s">
        <v>189</v>
      </c>
      <c r="H447" s="105" t="s">
        <v>82</v>
      </c>
      <c r="I447" s="99">
        <v>539538386.03999996</v>
      </c>
      <c r="J447" s="99">
        <f>+I447</f>
        <v>539538386.03999996</v>
      </c>
      <c r="K447" s="99"/>
      <c r="L447" s="99"/>
      <c r="M447" s="99"/>
      <c r="N447" s="99">
        <f>-I447+[2]ordinario!I580</f>
        <v>1.399993896484375E-3</v>
      </c>
    </row>
    <row r="448" spans="1:532" s="85" customFormat="1" ht="12.75" customHeight="1">
      <c r="A448" s="106"/>
      <c r="B448" s="257"/>
      <c r="C448" s="95"/>
      <c r="D448" s="95"/>
      <c r="E448" s="95"/>
      <c r="F448" s="256"/>
      <c r="G448" s="108"/>
      <c r="H448" s="105"/>
      <c r="I448" s="99"/>
      <c r="J448" s="99"/>
      <c r="K448" s="99"/>
      <c r="L448" s="99"/>
      <c r="M448" s="99"/>
      <c r="N448" s="99"/>
    </row>
    <row r="449" spans="1:532" s="85" customFormat="1" ht="12.75" customHeight="1">
      <c r="A449" s="106"/>
      <c r="B449" s="257"/>
      <c r="C449" s="95"/>
      <c r="D449" s="95"/>
      <c r="E449" s="95"/>
      <c r="F449" s="256"/>
      <c r="G449" s="108"/>
      <c r="H449" s="105"/>
      <c r="I449" s="99"/>
      <c r="J449" s="99"/>
      <c r="K449" s="99"/>
      <c r="L449" s="99"/>
      <c r="M449" s="99"/>
      <c r="N449" s="99"/>
    </row>
    <row r="450" spans="1:532" s="85" customFormat="1" ht="12.75" customHeight="1">
      <c r="A450" s="106"/>
      <c r="B450" s="257"/>
      <c r="C450" s="95"/>
      <c r="D450" s="95"/>
      <c r="E450" s="95"/>
      <c r="F450" s="256" t="s">
        <v>330</v>
      </c>
      <c r="G450" s="108" t="s">
        <v>331</v>
      </c>
      <c r="H450" s="105" t="s">
        <v>85</v>
      </c>
      <c r="I450" s="99"/>
      <c r="J450" s="99"/>
      <c r="K450" s="99"/>
      <c r="L450" s="99"/>
      <c r="M450" s="99">
        <f>+I450</f>
        <v>0</v>
      </c>
      <c r="N450" s="99"/>
    </row>
    <row r="451" spans="1:532" s="85" customFormat="1" ht="12.75" customHeight="1">
      <c r="A451" s="106"/>
      <c r="B451" s="257"/>
      <c r="C451" s="95"/>
      <c r="D451" s="95"/>
      <c r="E451" s="95"/>
      <c r="F451" s="256"/>
      <c r="G451" s="108"/>
      <c r="H451" s="105"/>
      <c r="I451" s="99"/>
      <c r="J451" s="99"/>
      <c r="K451" s="99"/>
      <c r="L451" s="99"/>
      <c r="M451" s="99"/>
      <c r="N451" s="99"/>
    </row>
    <row r="452" spans="1:532" s="85" customFormat="1" ht="12.75" customHeight="1">
      <c r="A452" s="106"/>
      <c r="B452" s="257"/>
      <c r="C452" s="95"/>
      <c r="D452" s="95"/>
      <c r="E452" s="95"/>
      <c r="F452" s="256" t="s">
        <v>277</v>
      </c>
      <c r="G452" s="108"/>
      <c r="H452" s="105"/>
      <c r="I452" s="99"/>
      <c r="J452" s="99"/>
      <c r="K452" s="99"/>
      <c r="L452" s="99"/>
      <c r="M452" s="99"/>
      <c r="N452" s="99">
        <f>+E444-D444</f>
        <v>40395011.799999952</v>
      </c>
    </row>
    <row r="453" spans="1:532" s="135" customFormat="1" ht="12.75" customHeight="1">
      <c r="A453" s="111"/>
      <c r="B453" s="243"/>
      <c r="C453" s="112"/>
      <c r="D453" s="112"/>
      <c r="E453" s="112"/>
      <c r="F453" s="242"/>
      <c r="G453" s="113"/>
      <c r="H453" s="114"/>
      <c r="I453" s="115"/>
      <c r="J453" s="115"/>
      <c r="K453" s="115"/>
      <c r="L453" s="115"/>
      <c r="M453" s="115"/>
      <c r="N453" s="116"/>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5"/>
      <c r="AL453" s="85"/>
      <c r="AM453" s="85"/>
      <c r="AN453" s="85"/>
      <c r="AO453" s="85"/>
      <c r="AP453" s="85"/>
      <c r="AQ453" s="85"/>
      <c r="AR453" s="85"/>
      <c r="AS453" s="85"/>
      <c r="AT453" s="85"/>
      <c r="AU453" s="85"/>
      <c r="AV453" s="85"/>
      <c r="AW453" s="85"/>
      <c r="AX453" s="85"/>
      <c r="AY453" s="85"/>
      <c r="AZ453" s="85"/>
      <c r="BA453" s="85"/>
      <c r="BB453" s="85"/>
      <c r="BC453" s="85"/>
      <c r="BD453" s="85"/>
      <c r="BE453" s="85"/>
      <c r="BF453" s="85"/>
      <c r="BG453" s="85"/>
      <c r="BH453" s="85"/>
      <c r="BI453" s="85"/>
      <c r="BJ453" s="85"/>
      <c r="BK453" s="85"/>
      <c r="BL453" s="85"/>
      <c r="BM453" s="85"/>
      <c r="BN453" s="85"/>
      <c r="BO453" s="85"/>
      <c r="BP453" s="85"/>
      <c r="BQ453" s="85"/>
      <c r="BR453" s="85"/>
      <c r="BS453" s="85"/>
      <c r="BT453" s="85"/>
      <c r="BU453" s="85"/>
      <c r="BV453" s="85"/>
      <c r="BW453" s="85"/>
      <c r="BX453" s="85"/>
      <c r="BY453" s="85"/>
      <c r="BZ453" s="85"/>
      <c r="CA453" s="85"/>
      <c r="CB453" s="85"/>
      <c r="CC453" s="85"/>
      <c r="CD453" s="85"/>
      <c r="CE453" s="85"/>
      <c r="CF453" s="85"/>
      <c r="CG453" s="85"/>
      <c r="CH453" s="85"/>
      <c r="CI453" s="85"/>
      <c r="CJ453" s="85"/>
      <c r="CK453" s="85"/>
      <c r="CL453" s="85"/>
      <c r="CM453" s="85"/>
      <c r="CN453" s="85"/>
      <c r="CO453" s="85"/>
      <c r="CP453" s="85"/>
      <c r="CQ453" s="85"/>
      <c r="CR453" s="85"/>
      <c r="CS453" s="85"/>
      <c r="CT453" s="85"/>
      <c r="CU453" s="85"/>
      <c r="CV453" s="85"/>
      <c r="CW453" s="85"/>
      <c r="CX453" s="85"/>
      <c r="CY453" s="85"/>
      <c r="CZ453" s="85"/>
      <c r="DA453" s="85"/>
      <c r="DB453" s="85"/>
      <c r="DC453" s="85"/>
      <c r="DD453" s="85"/>
      <c r="DE453" s="85"/>
      <c r="DF453" s="85"/>
      <c r="DG453" s="85"/>
      <c r="DH453" s="85"/>
      <c r="DI453" s="85"/>
      <c r="DJ453" s="85"/>
      <c r="DK453" s="85"/>
      <c r="DL453" s="85"/>
      <c r="DM453" s="85"/>
      <c r="DN453" s="85"/>
      <c r="DO453" s="85"/>
      <c r="DP453" s="85"/>
      <c r="DQ453" s="85"/>
      <c r="DR453" s="85"/>
      <c r="DS453" s="85"/>
      <c r="DT453" s="85"/>
      <c r="DU453" s="85"/>
      <c r="DV453" s="85"/>
      <c r="DW453" s="85"/>
      <c r="DX453" s="85"/>
      <c r="DY453" s="85"/>
      <c r="DZ453" s="85"/>
      <c r="EA453" s="85"/>
      <c r="EB453" s="85"/>
      <c r="EC453" s="85"/>
      <c r="ED453" s="85"/>
      <c r="EE453" s="85"/>
      <c r="EF453" s="85"/>
      <c r="EG453" s="85"/>
      <c r="EH453" s="85"/>
      <c r="EI453" s="85"/>
      <c r="EJ453" s="85"/>
      <c r="EK453" s="85"/>
      <c r="EL453" s="85"/>
      <c r="EM453" s="85"/>
      <c r="EN453" s="85"/>
      <c r="EO453" s="85"/>
      <c r="EP453" s="85"/>
      <c r="EQ453" s="85"/>
      <c r="ER453" s="85"/>
      <c r="ES453" s="85"/>
      <c r="ET453" s="85"/>
      <c r="EU453" s="85"/>
      <c r="EV453" s="85"/>
      <c r="EW453" s="85"/>
      <c r="EX453" s="85"/>
      <c r="EY453" s="85"/>
      <c r="EZ453" s="85"/>
      <c r="FA453" s="85"/>
      <c r="FB453" s="85"/>
      <c r="FC453" s="85"/>
      <c r="FD453" s="85"/>
      <c r="FE453" s="85"/>
      <c r="FF453" s="85"/>
      <c r="FG453" s="85"/>
      <c r="FH453" s="85"/>
      <c r="FI453" s="85"/>
      <c r="FJ453" s="85"/>
      <c r="FK453" s="85"/>
      <c r="FL453" s="85"/>
      <c r="FM453" s="85"/>
      <c r="FN453" s="85"/>
      <c r="FO453" s="85"/>
      <c r="FP453" s="85"/>
      <c r="FQ453" s="85"/>
      <c r="FR453" s="85"/>
      <c r="FS453" s="85"/>
      <c r="FT453" s="85"/>
      <c r="FU453" s="85"/>
      <c r="FV453" s="85"/>
      <c r="FW453" s="85"/>
      <c r="FX453" s="85"/>
      <c r="FY453" s="85"/>
      <c r="FZ453" s="85"/>
      <c r="GA453" s="85"/>
      <c r="GB453" s="85"/>
      <c r="GC453" s="85"/>
      <c r="GD453" s="85"/>
      <c r="GE453" s="85"/>
      <c r="GF453" s="85"/>
      <c r="GG453" s="85"/>
      <c r="GH453" s="85"/>
      <c r="GI453" s="85"/>
      <c r="GJ453" s="85"/>
      <c r="GK453" s="85"/>
      <c r="GL453" s="85"/>
      <c r="GM453" s="85"/>
      <c r="GN453" s="85"/>
      <c r="GO453" s="85"/>
      <c r="GP453" s="85"/>
      <c r="GQ453" s="85"/>
      <c r="GR453" s="85"/>
      <c r="GS453" s="85"/>
      <c r="GT453" s="85"/>
      <c r="GU453" s="85"/>
      <c r="GV453" s="85"/>
      <c r="GW453" s="85"/>
      <c r="GX453" s="85"/>
      <c r="GY453" s="85"/>
      <c r="GZ453" s="85"/>
      <c r="HA453" s="85"/>
      <c r="HB453" s="85"/>
      <c r="HC453" s="85"/>
      <c r="HD453" s="85"/>
      <c r="HE453" s="85"/>
      <c r="HF453" s="85"/>
      <c r="HG453" s="85"/>
      <c r="HH453" s="85"/>
      <c r="HI453" s="85"/>
      <c r="HJ453" s="85"/>
      <c r="HK453" s="85"/>
      <c r="HL453" s="85"/>
      <c r="HM453" s="85"/>
      <c r="HN453" s="85"/>
      <c r="HO453" s="85"/>
      <c r="HP453" s="85"/>
      <c r="HQ453" s="85"/>
      <c r="HR453" s="85"/>
      <c r="HS453" s="85"/>
      <c r="HT453" s="85"/>
      <c r="HU453" s="85"/>
      <c r="HV453" s="85"/>
      <c r="HW453" s="85"/>
      <c r="HX453" s="85"/>
      <c r="HY453" s="85"/>
      <c r="HZ453" s="85"/>
      <c r="IA453" s="85"/>
      <c r="IB453" s="85"/>
      <c r="IC453" s="85"/>
      <c r="ID453" s="85"/>
      <c r="IE453" s="85"/>
      <c r="IF453" s="85"/>
      <c r="IG453" s="85"/>
      <c r="IH453" s="85"/>
      <c r="II453" s="85"/>
      <c r="IJ453" s="85"/>
      <c r="IK453" s="85"/>
      <c r="IL453" s="85"/>
      <c r="IM453" s="85"/>
      <c r="IN453" s="85"/>
      <c r="IO453" s="85"/>
      <c r="IP453" s="85"/>
      <c r="IQ453" s="85"/>
      <c r="IR453" s="85"/>
      <c r="IS453" s="85"/>
      <c r="IT453" s="85"/>
      <c r="IU453" s="85"/>
      <c r="IV453" s="85"/>
      <c r="IW453" s="85"/>
      <c r="IX453" s="85"/>
      <c r="IY453" s="85"/>
      <c r="IZ453" s="85"/>
      <c r="JA453" s="85"/>
      <c r="JB453" s="85"/>
      <c r="JC453" s="85"/>
      <c r="JD453" s="85"/>
      <c r="JE453" s="85"/>
      <c r="JF453" s="85"/>
      <c r="JG453" s="85"/>
      <c r="JH453" s="85"/>
      <c r="JI453" s="85"/>
      <c r="JJ453" s="85"/>
      <c r="JK453" s="85"/>
      <c r="JL453" s="85"/>
      <c r="JM453" s="85"/>
      <c r="JN453" s="85"/>
      <c r="JO453" s="85"/>
      <c r="JP453" s="85"/>
      <c r="JQ453" s="85"/>
      <c r="JR453" s="85"/>
      <c r="JS453" s="85"/>
      <c r="JT453" s="85"/>
      <c r="JU453" s="85"/>
      <c r="JV453" s="85"/>
      <c r="JW453" s="85"/>
      <c r="JX453" s="85"/>
      <c r="JY453" s="85"/>
      <c r="JZ453" s="85"/>
      <c r="KA453" s="85"/>
      <c r="KB453" s="85"/>
      <c r="KC453" s="85"/>
      <c r="KD453" s="85"/>
      <c r="KE453" s="85"/>
      <c r="KF453" s="85"/>
      <c r="KG453" s="85"/>
      <c r="KH453" s="85"/>
      <c r="KI453" s="85"/>
      <c r="KJ453" s="85"/>
      <c r="KK453" s="85"/>
      <c r="KL453" s="85"/>
      <c r="KM453" s="85"/>
      <c r="KN453" s="85"/>
      <c r="KO453" s="85"/>
      <c r="KP453" s="85"/>
      <c r="KQ453" s="85"/>
      <c r="KR453" s="85"/>
      <c r="KS453" s="85"/>
      <c r="KT453" s="85"/>
      <c r="KU453" s="85"/>
      <c r="KV453" s="85"/>
      <c r="KW453" s="85"/>
      <c r="KX453" s="85"/>
      <c r="KY453" s="85"/>
      <c r="KZ453" s="85"/>
      <c r="LA453" s="85"/>
      <c r="LB453" s="85"/>
      <c r="LC453" s="85"/>
      <c r="LD453" s="85"/>
      <c r="LE453" s="85"/>
      <c r="LF453" s="85"/>
      <c r="LG453" s="85"/>
      <c r="LH453" s="85"/>
      <c r="LI453" s="85"/>
      <c r="LJ453" s="85"/>
      <c r="LK453" s="85"/>
      <c r="LL453" s="85"/>
      <c r="LM453" s="85"/>
      <c r="LN453" s="85"/>
      <c r="LO453" s="85"/>
      <c r="LP453" s="85"/>
      <c r="LQ453" s="85"/>
      <c r="LR453" s="85"/>
      <c r="LS453" s="85"/>
      <c r="LT453" s="85"/>
      <c r="LU453" s="85"/>
      <c r="LV453" s="85"/>
      <c r="LW453" s="85"/>
      <c r="LX453" s="85"/>
      <c r="LY453" s="85"/>
      <c r="LZ453" s="85"/>
      <c r="MA453" s="85"/>
      <c r="MB453" s="85"/>
      <c r="MC453" s="85"/>
      <c r="MD453" s="85"/>
      <c r="ME453" s="85"/>
      <c r="MF453" s="85"/>
      <c r="MG453" s="85"/>
      <c r="MH453" s="85"/>
      <c r="MI453" s="85"/>
      <c r="MJ453" s="85"/>
      <c r="MK453" s="85"/>
      <c r="ML453" s="85"/>
      <c r="MM453" s="85"/>
      <c r="MN453" s="85"/>
      <c r="MO453" s="85"/>
      <c r="MP453" s="85"/>
      <c r="MQ453" s="85"/>
      <c r="MR453" s="85"/>
      <c r="MS453" s="85"/>
      <c r="MT453" s="85"/>
      <c r="MU453" s="85"/>
      <c r="MV453" s="85"/>
      <c r="MW453" s="85"/>
      <c r="MX453" s="85"/>
      <c r="MY453" s="85"/>
      <c r="MZ453" s="85"/>
      <c r="NA453" s="85"/>
      <c r="NB453" s="85"/>
      <c r="NC453" s="85"/>
      <c r="ND453" s="85"/>
      <c r="NE453" s="85"/>
      <c r="NF453" s="85"/>
      <c r="NG453" s="85"/>
      <c r="NH453" s="85"/>
      <c r="NI453" s="85"/>
      <c r="NJ453" s="85"/>
      <c r="NK453" s="85"/>
      <c r="NL453" s="85"/>
      <c r="NM453" s="85"/>
      <c r="NN453" s="85"/>
      <c r="NO453" s="85"/>
      <c r="NP453" s="85"/>
      <c r="NQ453" s="85"/>
      <c r="NR453" s="85"/>
      <c r="NS453" s="85"/>
      <c r="NT453" s="85"/>
      <c r="NU453" s="85"/>
      <c r="NV453" s="85"/>
      <c r="NW453" s="85"/>
      <c r="NX453" s="85"/>
      <c r="NY453" s="85"/>
      <c r="NZ453" s="85"/>
      <c r="OA453" s="85"/>
      <c r="OB453" s="85"/>
      <c r="OC453" s="85"/>
      <c r="OD453" s="85"/>
      <c r="OE453" s="85"/>
      <c r="OF453" s="85"/>
      <c r="OG453" s="85"/>
      <c r="OH453" s="85"/>
      <c r="OI453" s="85"/>
      <c r="OJ453" s="85"/>
      <c r="OK453" s="85"/>
      <c r="OL453" s="85"/>
      <c r="OM453" s="85"/>
      <c r="ON453" s="85"/>
      <c r="OO453" s="85"/>
      <c r="OP453" s="85"/>
      <c r="OQ453" s="85"/>
      <c r="OR453" s="85"/>
      <c r="OS453" s="85"/>
      <c r="OT453" s="85"/>
      <c r="OU453" s="85"/>
      <c r="OV453" s="85"/>
      <c r="OW453" s="85"/>
      <c r="OX453" s="85"/>
      <c r="OY453" s="85"/>
      <c r="OZ453" s="85"/>
      <c r="PA453" s="85"/>
      <c r="PB453" s="85"/>
      <c r="PC453" s="85"/>
      <c r="PD453" s="85"/>
      <c r="PE453" s="85"/>
      <c r="PF453" s="85"/>
      <c r="PG453" s="85"/>
      <c r="PH453" s="85"/>
      <c r="PI453" s="85"/>
      <c r="PJ453" s="85"/>
      <c r="PK453" s="85"/>
      <c r="PL453" s="85"/>
      <c r="PM453" s="85"/>
      <c r="PN453" s="85"/>
      <c r="PO453" s="85"/>
      <c r="PP453" s="85"/>
      <c r="PQ453" s="85"/>
      <c r="PR453" s="85"/>
      <c r="PS453" s="85"/>
      <c r="PT453" s="85"/>
      <c r="PU453" s="85"/>
      <c r="PV453" s="85"/>
      <c r="PW453" s="85"/>
      <c r="PX453" s="85"/>
      <c r="PY453" s="85"/>
      <c r="PZ453" s="85"/>
      <c r="QA453" s="85"/>
      <c r="QB453" s="85"/>
      <c r="QC453" s="85"/>
      <c r="QD453" s="85"/>
      <c r="QE453" s="85"/>
      <c r="QF453" s="85"/>
      <c r="QG453" s="85"/>
      <c r="QH453" s="85"/>
      <c r="QI453" s="85"/>
      <c r="QJ453" s="85"/>
      <c r="QK453" s="85"/>
      <c r="QL453" s="85"/>
      <c r="QM453" s="85"/>
      <c r="QN453" s="85"/>
      <c r="QO453" s="85"/>
      <c r="QP453" s="85"/>
      <c r="QQ453" s="85"/>
      <c r="QR453" s="85"/>
      <c r="QS453" s="85"/>
      <c r="QT453" s="85"/>
      <c r="QU453" s="85"/>
      <c r="QV453" s="85"/>
      <c r="QW453" s="85"/>
      <c r="QX453" s="85"/>
      <c r="QY453" s="85"/>
      <c r="QZ453" s="85"/>
      <c r="RA453" s="85"/>
      <c r="RB453" s="85"/>
      <c r="RC453" s="85"/>
      <c r="RD453" s="85"/>
      <c r="RE453" s="85"/>
      <c r="RF453" s="85"/>
      <c r="RG453" s="85"/>
      <c r="RH453" s="85"/>
      <c r="RI453" s="85"/>
      <c r="RJ453" s="85"/>
      <c r="RK453" s="85"/>
      <c r="RL453" s="85"/>
      <c r="RM453" s="85"/>
      <c r="RN453" s="85"/>
      <c r="RO453" s="85"/>
      <c r="RP453" s="85"/>
      <c r="RQ453" s="85"/>
      <c r="RR453" s="85"/>
      <c r="RS453" s="85"/>
      <c r="RT453" s="85"/>
      <c r="RU453" s="85"/>
      <c r="RV453" s="85"/>
      <c r="RW453" s="85"/>
      <c r="RX453" s="85"/>
      <c r="RY453" s="85"/>
      <c r="RZ453" s="85"/>
      <c r="SA453" s="85"/>
      <c r="SB453" s="85"/>
      <c r="SC453" s="85"/>
      <c r="SD453" s="85"/>
      <c r="SE453" s="85"/>
      <c r="SF453" s="85"/>
      <c r="SG453" s="85"/>
      <c r="SH453" s="85"/>
      <c r="SI453" s="85"/>
      <c r="SJ453" s="85"/>
      <c r="SK453" s="85"/>
      <c r="SL453" s="85"/>
      <c r="SM453" s="85"/>
      <c r="SN453" s="85"/>
      <c r="SO453" s="85"/>
      <c r="SP453" s="85"/>
      <c r="SQ453" s="85"/>
      <c r="SR453" s="85"/>
      <c r="SS453" s="85"/>
      <c r="ST453" s="85"/>
      <c r="SU453" s="85"/>
      <c r="SV453" s="85"/>
      <c r="SW453" s="85"/>
      <c r="SX453" s="85"/>
      <c r="SY453" s="85"/>
      <c r="SZ453" s="85"/>
      <c r="TA453" s="85"/>
      <c r="TB453" s="85"/>
      <c r="TC453" s="85"/>
      <c r="TD453" s="85"/>
      <c r="TE453" s="85"/>
      <c r="TF453" s="85"/>
      <c r="TG453" s="85"/>
      <c r="TH453" s="85"/>
      <c r="TI453" s="85"/>
      <c r="TJ453" s="85"/>
      <c r="TK453" s="85"/>
      <c r="TL453" s="85"/>
    </row>
    <row r="454" spans="1:532" s="85" customFormat="1" ht="12.75" customHeight="1">
      <c r="A454" s="128" t="s">
        <v>332</v>
      </c>
      <c r="B454" s="129" t="s">
        <v>333</v>
      </c>
      <c r="C454" s="95"/>
      <c r="D454" s="95"/>
      <c r="E454" s="95">
        <v>736401484.22000003</v>
      </c>
      <c r="F454" s="256"/>
      <c r="G454" s="107"/>
      <c r="H454" s="105"/>
      <c r="I454" s="94">
        <f t="shared" ref="I454:N454" si="25">SUM(I455:I456)</f>
        <v>0</v>
      </c>
      <c r="J454" s="94">
        <f t="shared" si="25"/>
        <v>0</v>
      </c>
      <c r="K454" s="94">
        <f t="shared" si="25"/>
        <v>0</v>
      </c>
      <c r="L454" s="94">
        <f t="shared" si="25"/>
        <v>0</v>
      </c>
      <c r="M454" s="94">
        <f t="shared" si="25"/>
        <v>0</v>
      </c>
      <c r="N454" s="94">
        <f t="shared" si="25"/>
        <v>736401484.22000003</v>
      </c>
    </row>
    <row r="455" spans="1:532" s="85" customFormat="1" ht="12.75" customHeight="1">
      <c r="A455" s="106"/>
      <c r="B455" s="257"/>
      <c r="C455" s="95"/>
      <c r="D455" s="95"/>
      <c r="E455" s="95"/>
      <c r="F455" s="256" t="s">
        <v>277</v>
      </c>
      <c r="G455" s="108"/>
      <c r="H455" s="105"/>
      <c r="I455" s="99"/>
      <c r="J455" s="99"/>
      <c r="K455" s="99"/>
      <c r="L455" s="99"/>
      <c r="M455" s="99"/>
      <c r="N455" s="99">
        <f>+E454-D454</f>
        <v>736401484.22000003</v>
      </c>
    </row>
    <row r="456" spans="1:532" s="85" customFormat="1" ht="12.75" customHeight="1">
      <c r="A456" s="106"/>
      <c r="B456" s="257"/>
      <c r="C456" s="95"/>
      <c r="D456" s="95"/>
      <c r="E456" s="95"/>
      <c r="F456" s="256"/>
      <c r="G456" s="108"/>
      <c r="H456" s="105"/>
      <c r="I456" s="99"/>
      <c r="J456" s="99"/>
      <c r="K456" s="99"/>
      <c r="L456" s="99"/>
      <c r="M456" s="99"/>
      <c r="N456" s="99"/>
    </row>
    <row r="457" spans="1:532" s="135" customFormat="1" ht="12.75" customHeight="1">
      <c r="A457" s="111"/>
      <c r="B457" s="243"/>
      <c r="C457" s="112"/>
      <c r="D457" s="112"/>
      <c r="E457" s="112"/>
      <c r="F457" s="242"/>
      <c r="G457" s="113"/>
      <c r="H457" s="114"/>
      <c r="I457" s="115"/>
      <c r="J457" s="115"/>
      <c r="K457" s="115"/>
      <c r="L457" s="115"/>
      <c r="M457" s="115"/>
      <c r="N457" s="116"/>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85"/>
      <c r="AL457" s="85"/>
      <c r="AM457" s="85"/>
      <c r="AN457" s="85"/>
      <c r="AO457" s="85"/>
      <c r="AP457" s="85"/>
      <c r="AQ457" s="85"/>
      <c r="AR457" s="85"/>
      <c r="AS457" s="85"/>
      <c r="AT457" s="85"/>
      <c r="AU457" s="85"/>
      <c r="AV457" s="85"/>
      <c r="AW457" s="85"/>
      <c r="AX457" s="85"/>
      <c r="AY457" s="85"/>
      <c r="AZ457" s="85"/>
      <c r="BA457" s="85"/>
      <c r="BB457" s="85"/>
      <c r="BC457" s="85"/>
      <c r="BD457" s="85"/>
      <c r="BE457" s="85"/>
      <c r="BF457" s="85"/>
      <c r="BG457" s="85"/>
      <c r="BH457" s="85"/>
      <c r="BI457" s="85"/>
      <c r="BJ457" s="85"/>
      <c r="BK457" s="85"/>
      <c r="BL457" s="85"/>
      <c r="BM457" s="85"/>
      <c r="BN457" s="85"/>
      <c r="BO457" s="85"/>
      <c r="BP457" s="85"/>
      <c r="BQ457" s="85"/>
      <c r="BR457" s="85"/>
      <c r="BS457" s="85"/>
      <c r="BT457" s="85"/>
      <c r="BU457" s="85"/>
      <c r="BV457" s="85"/>
      <c r="BW457" s="85"/>
      <c r="BX457" s="85"/>
      <c r="BY457" s="85"/>
      <c r="BZ457" s="85"/>
      <c r="CA457" s="85"/>
      <c r="CB457" s="85"/>
      <c r="CC457" s="85"/>
      <c r="CD457" s="85"/>
      <c r="CE457" s="85"/>
      <c r="CF457" s="85"/>
      <c r="CG457" s="85"/>
      <c r="CH457" s="85"/>
      <c r="CI457" s="85"/>
      <c r="CJ457" s="85"/>
      <c r="CK457" s="85"/>
      <c r="CL457" s="85"/>
      <c r="CM457" s="85"/>
      <c r="CN457" s="85"/>
      <c r="CO457" s="85"/>
      <c r="CP457" s="85"/>
      <c r="CQ457" s="85"/>
      <c r="CR457" s="85"/>
      <c r="CS457" s="85"/>
      <c r="CT457" s="85"/>
      <c r="CU457" s="85"/>
      <c r="CV457" s="85"/>
      <c r="CW457" s="85"/>
      <c r="CX457" s="85"/>
      <c r="CY457" s="85"/>
      <c r="CZ457" s="85"/>
      <c r="DA457" s="85"/>
      <c r="DB457" s="85"/>
      <c r="DC457" s="85"/>
      <c r="DD457" s="85"/>
      <c r="DE457" s="85"/>
      <c r="DF457" s="85"/>
      <c r="DG457" s="85"/>
      <c r="DH457" s="85"/>
      <c r="DI457" s="85"/>
      <c r="DJ457" s="85"/>
      <c r="DK457" s="85"/>
      <c r="DL457" s="85"/>
      <c r="DM457" s="85"/>
      <c r="DN457" s="85"/>
      <c r="DO457" s="85"/>
      <c r="DP457" s="85"/>
      <c r="DQ457" s="85"/>
      <c r="DR457" s="85"/>
      <c r="DS457" s="85"/>
      <c r="DT457" s="85"/>
      <c r="DU457" s="85"/>
      <c r="DV457" s="85"/>
      <c r="DW457" s="85"/>
      <c r="DX457" s="85"/>
      <c r="DY457" s="85"/>
      <c r="DZ457" s="85"/>
      <c r="EA457" s="85"/>
      <c r="EB457" s="85"/>
      <c r="EC457" s="85"/>
      <c r="ED457" s="85"/>
      <c r="EE457" s="85"/>
      <c r="EF457" s="85"/>
      <c r="EG457" s="85"/>
      <c r="EH457" s="85"/>
      <c r="EI457" s="85"/>
      <c r="EJ457" s="85"/>
      <c r="EK457" s="85"/>
      <c r="EL457" s="85"/>
      <c r="EM457" s="85"/>
      <c r="EN457" s="85"/>
      <c r="EO457" s="85"/>
      <c r="EP457" s="85"/>
      <c r="EQ457" s="85"/>
      <c r="ER457" s="85"/>
      <c r="ES457" s="85"/>
      <c r="ET457" s="85"/>
      <c r="EU457" s="85"/>
      <c r="EV457" s="85"/>
      <c r="EW457" s="85"/>
      <c r="EX457" s="85"/>
      <c r="EY457" s="85"/>
      <c r="EZ457" s="85"/>
      <c r="FA457" s="85"/>
      <c r="FB457" s="85"/>
      <c r="FC457" s="85"/>
      <c r="FD457" s="85"/>
      <c r="FE457" s="85"/>
      <c r="FF457" s="85"/>
      <c r="FG457" s="85"/>
      <c r="FH457" s="85"/>
      <c r="FI457" s="85"/>
      <c r="FJ457" s="85"/>
      <c r="FK457" s="85"/>
      <c r="FL457" s="85"/>
      <c r="FM457" s="85"/>
      <c r="FN457" s="85"/>
      <c r="FO457" s="85"/>
      <c r="FP457" s="85"/>
      <c r="FQ457" s="85"/>
      <c r="FR457" s="85"/>
      <c r="FS457" s="85"/>
      <c r="FT457" s="85"/>
      <c r="FU457" s="85"/>
      <c r="FV457" s="85"/>
      <c r="FW457" s="85"/>
      <c r="FX457" s="85"/>
      <c r="FY457" s="85"/>
      <c r="FZ457" s="85"/>
      <c r="GA457" s="85"/>
      <c r="GB457" s="85"/>
      <c r="GC457" s="85"/>
      <c r="GD457" s="85"/>
      <c r="GE457" s="85"/>
      <c r="GF457" s="85"/>
      <c r="GG457" s="85"/>
      <c r="GH457" s="85"/>
      <c r="GI457" s="85"/>
      <c r="GJ457" s="85"/>
      <c r="GK457" s="85"/>
      <c r="GL457" s="85"/>
      <c r="GM457" s="85"/>
      <c r="GN457" s="85"/>
      <c r="GO457" s="85"/>
      <c r="GP457" s="85"/>
      <c r="GQ457" s="85"/>
      <c r="GR457" s="85"/>
      <c r="GS457" s="85"/>
      <c r="GT457" s="85"/>
      <c r="GU457" s="85"/>
      <c r="GV457" s="85"/>
      <c r="GW457" s="85"/>
      <c r="GX457" s="85"/>
      <c r="GY457" s="85"/>
      <c r="GZ457" s="85"/>
      <c r="HA457" s="85"/>
      <c r="HB457" s="85"/>
      <c r="HC457" s="85"/>
      <c r="HD457" s="85"/>
      <c r="HE457" s="85"/>
      <c r="HF457" s="85"/>
      <c r="HG457" s="85"/>
      <c r="HH457" s="85"/>
      <c r="HI457" s="85"/>
      <c r="HJ457" s="85"/>
      <c r="HK457" s="85"/>
      <c r="HL457" s="85"/>
      <c r="HM457" s="85"/>
      <c r="HN457" s="85"/>
      <c r="HO457" s="85"/>
      <c r="HP457" s="85"/>
      <c r="HQ457" s="85"/>
      <c r="HR457" s="85"/>
      <c r="HS457" s="85"/>
      <c r="HT457" s="85"/>
      <c r="HU457" s="85"/>
      <c r="HV457" s="85"/>
      <c r="HW457" s="85"/>
      <c r="HX457" s="85"/>
      <c r="HY457" s="85"/>
      <c r="HZ457" s="85"/>
      <c r="IA457" s="85"/>
      <c r="IB457" s="85"/>
      <c r="IC457" s="85"/>
      <c r="ID457" s="85"/>
      <c r="IE457" s="85"/>
      <c r="IF457" s="85"/>
      <c r="IG457" s="85"/>
      <c r="IH457" s="85"/>
      <c r="II457" s="85"/>
      <c r="IJ457" s="85"/>
      <c r="IK457" s="85"/>
      <c r="IL457" s="85"/>
      <c r="IM457" s="85"/>
      <c r="IN457" s="85"/>
      <c r="IO457" s="85"/>
      <c r="IP457" s="85"/>
      <c r="IQ457" s="85"/>
      <c r="IR457" s="85"/>
      <c r="IS457" s="85"/>
      <c r="IT457" s="85"/>
      <c r="IU457" s="85"/>
      <c r="IV457" s="85"/>
      <c r="IW457" s="85"/>
      <c r="IX457" s="85"/>
      <c r="IY457" s="85"/>
      <c r="IZ457" s="85"/>
      <c r="JA457" s="85"/>
      <c r="JB457" s="85"/>
      <c r="JC457" s="85"/>
      <c r="JD457" s="85"/>
      <c r="JE457" s="85"/>
      <c r="JF457" s="85"/>
      <c r="JG457" s="85"/>
      <c r="JH457" s="85"/>
      <c r="JI457" s="85"/>
      <c r="JJ457" s="85"/>
      <c r="JK457" s="85"/>
      <c r="JL457" s="85"/>
      <c r="JM457" s="85"/>
      <c r="JN457" s="85"/>
      <c r="JO457" s="85"/>
      <c r="JP457" s="85"/>
      <c r="JQ457" s="85"/>
      <c r="JR457" s="85"/>
      <c r="JS457" s="85"/>
      <c r="JT457" s="85"/>
      <c r="JU457" s="85"/>
      <c r="JV457" s="85"/>
      <c r="JW457" s="85"/>
      <c r="JX457" s="85"/>
      <c r="JY457" s="85"/>
      <c r="JZ457" s="85"/>
      <c r="KA457" s="85"/>
      <c r="KB457" s="85"/>
      <c r="KC457" s="85"/>
      <c r="KD457" s="85"/>
      <c r="KE457" s="85"/>
      <c r="KF457" s="85"/>
      <c r="KG457" s="85"/>
      <c r="KH457" s="85"/>
      <c r="KI457" s="85"/>
      <c r="KJ457" s="85"/>
      <c r="KK457" s="85"/>
      <c r="KL457" s="85"/>
      <c r="KM457" s="85"/>
      <c r="KN457" s="85"/>
      <c r="KO457" s="85"/>
      <c r="KP457" s="85"/>
      <c r="KQ457" s="85"/>
      <c r="KR457" s="85"/>
      <c r="KS457" s="85"/>
      <c r="KT457" s="85"/>
      <c r="KU457" s="85"/>
      <c r="KV457" s="85"/>
      <c r="KW457" s="85"/>
      <c r="KX457" s="85"/>
      <c r="KY457" s="85"/>
      <c r="KZ457" s="85"/>
      <c r="LA457" s="85"/>
      <c r="LB457" s="85"/>
      <c r="LC457" s="85"/>
      <c r="LD457" s="85"/>
      <c r="LE457" s="85"/>
      <c r="LF457" s="85"/>
      <c r="LG457" s="85"/>
      <c r="LH457" s="85"/>
      <c r="LI457" s="85"/>
      <c r="LJ457" s="85"/>
      <c r="LK457" s="85"/>
      <c r="LL457" s="85"/>
      <c r="LM457" s="85"/>
      <c r="LN457" s="85"/>
      <c r="LO457" s="85"/>
      <c r="LP457" s="85"/>
      <c r="LQ457" s="85"/>
      <c r="LR457" s="85"/>
      <c r="LS457" s="85"/>
      <c r="LT457" s="85"/>
      <c r="LU457" s="85"/>
      <c r="LV457" s="85"/>
      <c r="LW457" s="85"/>
      <c r="LX457" s="85"/>
      <c r="LY457" s="85"/>
      <c r="LZ457" s="85"/>
      <c r="MA457" s="85"/>
      <c r="MB457" s="85"/>
      <c r="MC457" s="85"/>
      <c r="MD457" s="85"/>
      <c r="ME457" s="85"/>
      <c r="MF457" s="85"/>
      <c r="MG457" s="85"/>
      <c r="MH457" s="85"/>
      <c r="MI457" s="85"/>
      <c r="MJ457" s="85"/>
      <c r="MK457" s="85"/>
      <c r="ML457" s="85"/>
      <c r="MM457" s="85"/>
      <c r="MN457" s="85"/>
      <c r="MO457" s="85"/>
      <c r="MP457" s="85"/>
      <c r="MQ457" s="85"/>
      <c r="MR457" s="85"/>
      <c r="MS457" s="85"/>
      <c r="MT457" s="85"/>
      <c r="MU457" s="85"/>
      <c r="MV457" s="85"/>
      <c r="MW457" s="85"/>
      <c r="MX457" s="85"/>
      <c r="MY457" s="85"/>
      <c r="MZ457" s="85"/>
      <c r="NA457" s="85"/>
      <c r="NB457" s="85"/>
      <c r="NC457" s="85"/>
      <c r="ND457" s="85"/>
      <c r="NE457" s="85"/>
      <c r="NF457" s="85"/>
      <c r="NG457" s="85"/>
      <c r="NH457" s="85"/>
      <c r="NI457" s="85"/>
      <c r="NJ457" s="85"/>
      <c r="NK457" s="85"/>
      <c r="NL457" s="85"/>
      <c r="NM457" s="85"/>
      <c r="NN457" s="85"/>
      <c r="NO457" s="85"/>
      <c r="NP457" s="85"/>
      <c r="NQ457" s="85"/>
      <c r="NR457" s="85"/>
      <c r="NS457" s="85"/>
      <c r="NT457" s="85"/>
      <c r="NU457" s="85"/>
      <c r="NV457" s="85"/>
      <c r="NW457" s="85"/>
      <c r="NX457" s="85"/>
      <c r="NY457" s="85"/>
      <c r="NZ457" s="85"/>
      <c r="OA457" s="85"/>
      <c r="OB457" s="85"/>
      <c r="OC457" s="85"/>
      <c r="OD457" s="85"/>
      <c r="OE457" s="85"/>
      <c r="OF457" s="85"/>
      <c r="OG457" s="85"/>
      <c r="OH457" s="85"/>
      <c r="OI457" s="85"/>
      <c r="OJ457" s="85"/>
      <c r="OK457" s="85"/>
      <c r="OL457" s="85"/>
      <c r="OM457" s="85"/>
      <c r="ON457" s="85"/>
      <c r="OO457" s="85"/>
      <c r="OP457" s="85"/>
      <c r="OQ457" s="85"/>
      <c r="OR457" s="85"/>
      <c r="OS457" s="85"/>
      <c r="OT457" s="85"/>
      <c r="OU457" s="85"/>
      <c r="OV457" s="85"/>
      <c r="OW457" s="85"/>
      <c r="OX457" s="85"/>
      <c r="OY457" s="85"/>
      <c r="OZ457" s="85"/>
      <c r="PA457" s="85"/>
      <c r="PB457" s="85"/>
      <c r="PC457" s="85"/>
      <c r="PD457" s="85"/>
      <c r="PE457" s="85"/>
      <c r="PF457" s="85"/>
      <c r="PG457" s="85"/>
      <c r="PH457" s="85"/>
      <c r="PI457" s="85"/>
      <c r="PJ457" s="85"/>
      <c r="PK457" s="85"/>
      <c r="PL457" s="85"/>
      <c r="PM457" s="85"/>
      <c r="PN457" s="85"/>
      <c r="PO457" s="85"/>
      <c r="PP457" s="85"/>
      <c r="PQ457" s="85"/>
      <c r="PR457" s="85"/>
      <c r="PS457" s="85"/>
      <c r="PT457" s="85"/>
      <c r="PU457" s="85"/>
      <c r="PV457" s="85"/>
      <c r="PW457" s="85"/>
      <c r="PX457" s="85"/>
      <c r="PY457" s="85"/>
      <c r="PZ457" s="85"/>
      <c r="QA457" s="85"/>
      <c r="QB457" s="85"/>
      <c r="QC457" s="85"/>
      <c r="QD457" s="85"/>
      <c r="QE457" s="85"/>
      <c r="QF457" s="85"/>
      <c r="QG457" s="85"/>
      <c r="QH457" s="85"/>
      <c r="QI457" s="85"/>
      <c r="QJ457" s="85"/>
      <c r="QK457" s="85"/>
      <c r="QL457" s="85"/>
      <c r="QM457" s="85"/>
      <c r="QN457" s="85"/>
      <c r="QO457" s="85"/>
      <c r="QP457" s="85"/>
      <c r="QQ457" s="85"/>
      <c r="QR457" s="85"/>
      <c r="QS457" s="85"/>
      <c r="QT457" s="85"/>
      <c r="QU457" s="85"/>
      <c r="QV457" s="85"/>
      <c r="QW457" s="85"/>
      <c r="QX457" s="85"/>
      <c r="QY457" s="85"/>
      <c r="QZ457" s="85"/>
      <c r="RA457" s="85"/>
      <c r="RB457" s="85"/>
      <c r="RC457" s="85"/>
      <c r="RD457" s="85"/>
      <c r="RE457" s="85"/>
      <c r="RF457" s="85"/>
      <c r="RG457" s="85"/>
      <c r="RH457" s="85"/>
      <c r="RI457" s="85"/>
      <c r="RJ457" s="85"/>
      <c r="RK457" s="85"/>
      <c r="RL457" s="85"/>
      <c r="RM457" s="85"/>
      <c r="RN457" s="85"/>
      <c r="RO457" s="85"/>
      <c r="RP457" s="85"/>
      <c r="RQ457" s="85"/>
      <c r="RR457" s="85"/>
      <c r="RS457" s="85"/>
      <c r="RT457" s="85"/>
      <c r="RU457" s="85"/>
      <c r="RV457" s="85"/>
      <c r="RW457" s="85"/>
      <c r="RX457" s="85"/>
      <c r="RY457" s="85"/>
      <c r="RZ457" s="85"/>
      <c r="SA457" s="85"/>
      <c r="SB457" s="85"/>
      <c r="SC457" s="85"/>
      <c r="SD457" s="85"/>
      <c r="SE457" s="85"/>
      <c r="SF457" s="85"/>
      <c r="SG457" s="85"/>
      <c r="SH457" s="85"/>
      <c r="SI457" s="85"/>
      <c r="SJ457" s="85"/>
      <c r="SK457" s="85"/>
      <c r="SL457" s="85"/>
      <c r="SM457" s="85"/>
      <c r="SN457" s="85"/>
      <c r="SO457" s="85"/>
      <c r="SP457" s="85"/>
      <c r="SQ457" s="85"/>
      <c r="SR457" s="85"/>
      <c r="SS457" s="85"/>
      <c r="ST457" s="85"/>
      <c r="SU457" s="85"/>
      <c r="SV457" s="85"/>
      <c r="SW457" s="85"/>
      <c r="SX457" s="85"/>
      <c r="SY457" s="85"/>
      <c r="SZ457" s="85"/>
      <c r="TA457" s="85"/>
      <c r="TB457" s="85"/>
      <c r="TC457" s="85"/>
      <c r="TD457" s="85"/>
      <c r="TE457" s="85"/>
      <c r="TF457" s="85"/>
      <c r="TG457" s="85"/>
      <c r="TH457" s="85"/>
      <c r="TI457" s="85"/>
      <c r="TJ457" s="85"/>
      <c r="TK457" s="85"/>
      <c r="TL457" s="85"/>
    </row>
    <row r="458" spans="1:532" s="85" customFormat="1" ht="12.75" customHeight="1">
      <c r="A458" s="155" t="s">
        <v>334</v>
      </c>
      <c r="B458" s="123" t="s">
        <v>335</v>
      </c>
      <c r="C458" s="156" t="s">
        <v>336</v>
      </c>
      <c r="D458" s="143">
        <f>+[2]ordinario!C591</f>
        <v>78000000</v>
      </c>
      <c r="E458" s="143">
        <v>72625176.659999996</v>
      </c>
      <c r="F458" s="146"/>
      <c r="G458" s="138"/>
      <c r="H458" s="98"/>
      <c r="I458" s="140">
        <f>SUM(I459:I461)</f>
        <v>72625176.659999996</v>
      </c>
      <c r="J458" s="140">
        <f>SUM(J459:J461)</f>
        <v>72625176.659999996</v>
      </c>
      <c r="K458" s="140">
        <f>SUM(K459:K461)</f>
        <v>0</v>
      </c>
      <c r="L458" s="140">
        <f>SUM(L459:L461)</f>
        <v>0</v>
      </c>
      <c r="M458" s="140">
        <f>SUM(M459:M461)</f>
        <v>0</v>
      </c>
      <c r="N458" s="140">
        <f>SUM(N459:N462)</f>
        <v>-3.6777220666408539E-3</v>
      </c>
    </row>
    <row r="459" spans="1:532" s="85" customFormat="1" ht="12.75" customHeight="1">
      <c r="A459" s="122"/>
      <c r="B459" s="240"/>
      <c r="C459" s="124"/>
      <c r="D459" s="124"/>
      <c r="E459" s="124"/>
      <c r="F459" s="124" t="s">
        <v>177</v>
      </c>
      <c r="G459" s="138" t="s">
        <v>201</v>
      </c>
      <c r="H459" s="98" t="s">
        <v>77</v>
      </c>
      <c r="I459" s="125">
        <v>72625176.659999996</v>
      </c>
      <c r="J459" s="125">
        <f>+I459</f>
        <v>72625176.659999996</v>
      </c>
      <c r="K459" s="125"/>
      <c r="L459" s="125"/>
      <c r="M459" s="125"/>
      <c r="N459" s="125">
        <f>-I459+[2]ordinario!I593-5374823.34</f>
        <v>-3.6777220666408539E-3</v>
      </c>
    </row>
    <row r="460" spans="1:532" s="85" customFormat="1" ht="12.75" customHeight="1">
      <c r="A460" s="122"/>
      <c r="B460" s="240"/>
      <c r="C460" s="124"/>
      <c r="D460" s="124"/>
      <c r="E460" s="124"/>
      <c r="F460" s="146"/>
      <c r="G460" s="138"/>
      <c r="H460" s="98" t="s">
        <v>78</v>
      </c>
      <c r="I460" s="125"/>
      <c r="J460" s="125"/>
      <c r="K460" s="125"/>
      <c r="L460" s="125"/>
      <c r="M460" s="125"/>
      <c r="N460" s="125"/>
    </row>
    <row r="461" spans="1:532" s="85" customFormat="1" ht="12.75" customHeight="1">
      <c r="A461" s="122"/>
      <c r="B461" s="240"/>
      <c r="C461" s="124"/>
      <c r="D461" s="124"/>
      <c r="E461" s="124"/>
      <c r="F461" s="146"/>
      <c r="G461" s="138"/>
      <c r="H461" s="98" t="s">
        <v>82</v>
      </c>
      <c r="I461" s="125"/>
      <c r="J461" s="125"/>
      <c r="K461" s="125"/>
      <c r="L461" s="125"/>
      <c r="M461" s="125"/>
      <c r="N461" s="125"/>
    </row>
    <row r="462" spans="1:532" s="85" customFormat="1" ht="12.75" customHeight="1">
      <c r="A462" s="122"/>
      <c r="B462" s="240"/>
      <c r="C462" s="124"/>
      <c r="D462" s="124"/>
      <c r="E462" s="124"/>
      <c r="F462" s="146" t="s">
        <v>277</v>
      </c>
      <c r="G462" s="138"/>
      <c r="H462" s="98"/>
      <c r="I462" s="125"/>
      <c r="J462" s="125"/>
      <c r="K462" s="125"/>
      <c r="L462" s="125"/>
      <c r="M462" s="125"/>
      <c r="N462" s="125">
        <v>0</v>
      </c>
    </row>
    <row r="463" spans="1:532" s="135" customFormat="1" ht="12.75" customHeight="1">
      <c r="A463" s="111"/>
      <c r="B463" s="243"/>
      <c r="C463" s="112"/>
      <c r="D463" s="112"/>
      <c r="E463" s="112"/>
      <c r="F463" s="242"/>
      <c r="G463" s="113"/>
      <c r="H463" s="114"/>
      <c r="I463" s="115"/>
      <c r="J463" s="115"/>
      <c r="K463" s="115"/>
      <c r="L463" s="115"/>
      <c r="M463" s="115"/>
      <c r="N463" s="116"/>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c r="AN463" s="85"/>
      <c r="AO463" s="85"/>
      <c r="AP463" s="85"/>
      <c r="AQ463" s="85"/>
      <c r="AR463" s="85"/>
      <c r="AS463" s="85"/>
      <c r="AT463" s="85"/>
      <c r="AU463" s="85"/>
      <c r="AV463" s="85"/>
      <c r="AW463" s="85"/>
      <c r="AX463" s="85"/>
      <c r="AY463" s="85"/>
      <c r="AZ463" s="85"/>
      <c r="BA463" s="85"/>
      <c r="BB463" s="85"/>
      <c r="BC463" s="85"/>
      <c r="BD463" s="85"/>
      <c r="BE463" s="85"/>
      <c r="BF463" s="85"/>
      <c r="BG463" s="85"/>
      <c r="BH463" s="85"/>
      <c r="BI463" s="85"/>
      <c r="BJ463" s="85"/>
      <c r="BK463" s="85"/>
      <c r="BL463" s="85"/>
      <c r="BM463" s="85"/>
      <c r="BN463" s="85"/>
      <c r="BO463" s="85"/>
      <c r="BP463" s="85"/>
      <c r="BQ463" s="85"/>
      <c r="BR463" s="85"/>
      <c r="BS463" s="85"/>
      <c r="BT463" s="85"/>
      <c r="BU463" s="85"/>
      <c r="BV463" s="85"/>
      <c r="BW463" s="85"/>
      <c r="BX463" s="85"/>
      <c r="BY463" s="85"/>
      <c r="BZ463" s="85"/>
      <c r="CA463" s="85"/>
      <c r="CB463" s="85"/>
      <c r="CC463" s="85"/>
      <c r="CD463" s="85"/>
      <c r="CE463" s="85"/>
      <c r="CF463" s="85"/>
      <c r="CG463" s="85"/>
      <c r="CH463" s="85"/>
      <c r="CI463" s="85"/>
      <c r="CJ463" s="85"/>
      <c r="CK463" s="85"/>
      <c r="CL463" s="85"/>
      <c r="CM463" s="85"/>
      <c r="CN463" s="85"/>
      <c r="CO463" s="85"/>
      <c r="CP463" s="85"/>
      <c r="CQ463" s="85"/>
      <c r="CR463" s="85"/>
      <c r="CS463" s="85"/>
      <c r="CT463" s="85"/>
      <c r="CU463" s="85"/>
      <c r="CV463" s="85"/>
      <c r="CW463" s="85"/>
      <c r="CX463" s="85"/>
      <c r="CY463" s="85"/>
      <c r="CZ463" s="85"/>
      <c r="DA463" s="85"/>
      <c r="DB463" s="85"/>
      <c r="DC463" s="85"/>
      <c r="DD463" s="85"/>
      <c r="DE463" s="85"/>
      <c r="DF463" s="85"/>
      <c r="DG463" s="85"/>
      <c r="DH463" s="85"/>
      <c r="DI463" s="85"/>
      <c r="DJ463" s="85"/>
      <c r="DK463" s="85"/>
      <c r="DL463" s="85"/>
      <c r="DM463" s="85"/>
      <c r="DN463" s="85"/>
      <c r="DO463" s="85"/>
      <c r="DP463" s="85"/>
      <c r="DQ463" s="85"/>
      <c r="DR463" s="85"/>
      <c r="DS463" s="85"/>
      <c r="DT463" s="85"/>
      <c r="DU463" s="85"/>
      <c r="DV463" s="85"/>
      <c r="DW463" s="85"/>
      <c r="DX463" s="85"/>
      <c r="DY463" s="85"/>
      <c r="DZ463" s="85"/>
      <c r="EA463" s="85"/>
      <c r="EB463" s="85"/>
      <c r="EC463" s="85"/>
      <c r="ED463" s="85"/>
      <c r="EE463" s="85"/>
      <c r="EF463" s="85"/>
      <c r="EG463" s="85"/>
      <c r="EH463" s="85"/>
      <c r="EI463" s="85"/>
      <c r="EJ463" s="85"/>
      <c r="EK463" s="85"/>
      <c r="EL463" s="85"/>
      <c r="EM463" s="85"/>
      <c r="EN463" s="85"/>
      <c r="EO463" s="85"/>
      <c r="EP463" s="85"/>
      <c r="EQ463" s="85"/>
      <c r="ER463" s="85"/>
      <c r="ES463" s="85"/>
      <c r="ET463" s="85"/>
      <c r="EU463" s="85"/>
      <c r="EV463" s="85"/>
      <c r="EW463" s="85"/>
      <c r="EX463" s="85"/>
      <c r="EY463" s="85"/>
      <c r="EZ463" s="85"/>
      <c r="FA463" s="85"/>
      <c r="FB463" s="85"/>
      <c r="FC463" s="85"/>
      <c r="FD463" s="85"/>
      <c r="FE463" s="85"/>
      <c r="FF463" s="85"/>
      <c r="FG463" s="85"/>
      <c r="FH463" s="85"/>
      <c r="FI463" s="85"/>
      <c r="FJ463" s="85"/>
      <c r="FK463" s="85"/>
      <c r="FL463" s="85"/>
      <c r="FM463" s="85"/>
      <c r="FN463" s="85"/>
      <c r="FO463" s="85"/>
      <c r="FP463" s="85"/>
      <c r="FQ463" s="85"/>
      <c r="FR463" s="85"/>
      <c r="FS463" s="85"/>
      <c r="FT463" s="85"/>
      <c r="FU463" s="85"/>
      <c r="FV463" s="85"/>
      <c r="FW463" s="85"/>
      <c r="FX463" s="85"/>
      <c r="FY463" s="85"/>
      <c r="FZ463" s="85"/>
      <c r="GA463" s="85"/>
      <c r="GB463" s="85"/>
      <c r="GC463" s="85"/>
      <c r="GD463" s="85"/>
      <c r="GE463" s="85"/>
      <c r="GF463" s="85"/>
      <c r="GG463" s="85"/>
      <c r="GH463" s="85"/>
      <c r="GI463" s="85"/>
      <c r="GJ463" s="85"/>
      <c r="GK463" s="85"/>
      <c r="GL463" s="85"/>
      <c r="GM463" s="85"/>
      <c r="GN463" s="85"/>
      <c r="GO463" s="85"/>
      <c r="GP463" s="85"/>
      <c r="GQ463" s="85"/>
      <c r="GR463" s="85"/>
      <c r="GS463" s="85"/>
      <c r="GT463" s="85"/>
      <c r="GU463" s="85"/>
      <c r="GV463" s="85"/>
      <c r="GW463" s="85"/>
      <c r="GX463" s="85"/>
      <c r="GY463" s="85"/>
      <c r="GZ463" s="85"/>
      <c r="HA463" s="85"/>
      <c r="HB463" s="85"/>
      <c r="HC463" s="85"/>
      <c r="HD463" s="85"/>
      <c r="HE463" s="85"/>
      <c r="HF463" s="85"/>
      <c r="HG463" s="85"/>
      <c r="HH463" s="85"/>
      <c r="HI463" s="85"/>
      <c r="HJ463" s="85"/>
      <c r="HK463" s="85"/>
      <c r="HL463" s="85"/>
      <c r="HM463" s="85"/>
      <c r="HN463" s="85"/>
      <c r="HO463" s="85"/>
      <c r="HP463" s="85"/>
      <c r="HQ463" s="85"/>
      <c r="HR463" s="85"/>
      <c r="HS463" s="85"/>
      <c r="HT463" s="85"/>
      <c r="HU463" s="85"/>
      <c r="HV463" s="85"/>
      <c r="HW463" s="85"/>
      <c r="HX463" s="85"/>
      <c r="HY463" s="85"/>
      <c r="HZ463" s="85"/>
      <c r="IA463" s="85"/>
      <c r="IB463" s="85"/>
      <c r="IC463" s="85"/>
      <c r="ID463" s="85"/>
      <c r="IE463" s="85"/>
      <c r="IF463" s="85"/>
      <c r="IG463" s="85"/>
      <c r="IH463" s="85"/>
      <c r="II463" s="85"/>
      <c r="IJ463" s="85"/>
      <c r="IK463" s="85"/>
      <c r="IL463" s="85"/>
      <c r="IM463" s="85"/>
      <c r="IN463" s="85"/>
      <c r="IO463" s="85"/>
      <c r="IP463" s="85"/>
      <c r="IQ463" s="85"/>
      <c r="IR463" s="85"/>
      <c r="IS463" s="85"/>
      <c r="IT463" s="85"/>
      <c r="IU463" s="85"/>
      <c r="IV463" s="85"/>
      <c r="IW463" s="85"/>
      <c r="IX463" s="85"/>
      <c r="IY463" s="85"/>
      <c r="IZ463" s="85"/>
      <c r="JA463" s="85"/>
      <c r="JB463" s="85"/>
      <c r="JC463" s="85"/>
      <c r="JD463" s="85"/>
      <c r="JE463" s="85"/>
      <c r="JF463" s="85"/>
      <c r="JG463" s="85"/>
      <c r="JH463" s="85"/>
      <c r="JI463" s="85"/>
      <c r="JJ463" s="85"/>
      <c r="JK463" s="85"/>
      <c r="JL463" s="85"/>
      <c r="JM463" s="85"/>
      <c r="JN463" s="85"/>
      <c r="JO463" s="85"/>
      <c r="JP463" s="85"/>
      <c r="JQ463" s="85"/>
      <c r="JR463" s="85"/>
      <c r="JS463" s="85"/>
      <c r="JT463" s="85"/>
      <c r="JU463" s="85"/>
      <c r="JV463" s="85"/>
      <c r="JW463" s="85"/>
      <c r="JX463" s="85"/>
      <c r="JY463" s="85"/>
      <c r="JZ463" s="85"/>
      <c r="KA463" s="85"/>
      <c r="KB463" s="85"/>
      <c r="KC463" s="85"/>
      <c r="KD463" s="85"/>
      <c r="KE463" s="85"/>
      <c r="KF463" s="85"/>
      <c r="KG463" s="85"/>
      <c r="KH463" s="85"/>
      <c r="KI463" s="85"/>
      <c r="KJ463" s="85"/>
      <c r="KK463" s="85"/>
      <c r="KL463" s="85"/>
      <c r="KM463" s="85"/>
      <c r="KN463" s="85"/>
      <c r="KO463" s="85"/>
      <c r="KP463" s="85"/>
      <c r="KQ463" s="85"/>
      <c r="KR463" s="85"/>
      <c r="KS463" s="85"/>
      <c r="KT463" s="85"/>
      <c r="KU463" s="85"/>
      <c r="KV463" s="85"/>
      <c r="KW463" s="85"/>
      <c r="KX463" s="85"/>
      <c r="KY463" s="85"/>
      <c r="KZ463" s="85"/>
      <c r="LA463" s="85"/>
      <c r="LB463" s="85"/>
      <c r="LC463" s="85"/>
      <c r="LD463" s="85"/>
      <c r="LE463" s="85"/>
      <c r="LF463" s="85"/>
      <c r="LG463" s="85"/>
      <c r="LH463" s="85"/>
      <c r="LI463" s="85"/>
      <c r="LJ463" s="85"/>
      <c r="LK463" s="85"/>
      <c r="LL463" s="85"/>
      <c r="LM463" s="85"/>
      <c r="LN463" s="85"/>
      <c r="LO463" s="85"/>
      <c r="LP463" s="85"/>
      <c r="LQ463" s="85"/>
      <c r="LR463" s="85"/>
      <c r="LS463" s="85"/>
      <c r="LT463" s="85"/>
      <c r="LU463" s="85"/>
      <c r="LV463" s="85"/>
      <c r="LW463" s="85"/>
      <c r="LX463" s="85"/>
      <c r="LY463" s="85"/>
      <c r="LZ463" s="85"/>
      <c r="MA463" s="85"/>
      <c r="MB463" s="85"/>
      <c r="MC463" s="85"/>
      <c r="MD463" s="85"/>
      <c r="ME463" s="85"/>
      <c r="MF463" s="85"/>
      <c r="MG463" s="85"/>
      <c r="MH463" s="85"/>
      <c r="MI463" s="85"/>
      <c r="MJ463" s="85"/>
      <c r="MK463" s="85"/>
      <c r="ML463" s="85"/>
      <c r="MM463" s="85"/>
      <c r="MN463" s="85"/>
      <c r="MO463" s="85"/>
      <c r="MP463" s="85"/>
      <c r="MQ463" s="85"/>
      <c r="MR463" s="85"/>
      <c r="MS463" s="85"/>
      <c r="MT463" s="85"/>
      <c r="MU463" s="85"/>
      <c r="MV463" s="85"/>
      <c r="MW463" s="85"/>
      <c r="MX463" s="85"/>
      <c r="MY463" s="85"/>
      <c r="MZ463" s="85"/>
      <c r="NA463" s="85"/>
      <c r="NB463" s="85"/>
      <c r="NC463" s="85"/>
      <c r="ND463" s="85"/>
      <c r="NE463" s="85"/>
      <c r="NF463" s="85"/>
      <c r="NG463" s="85"/>
      <c r="NH463" s="85"/>
      <c r="NI463" s="85"/>
      <c r="NJ463" s="85"/>
      <c r="NK463" s="85"/>
      <c r="NL463" s="85"/>
      <c r="NM463" s="85"/>
      <c r="NN463" s="85"/>
      <c r="NO463" s="85"/>
      <c r="NP463" s="85"/>
      <c r="NQ463" s="85"/>
      <c r="NR463" s="85"/>
      <c r="NS463" s="85"/>
      <c r="NT463" s="85"/>
      <c r="NU463" s="85"/>
      <c r="NV463" s="85"/>
      <c r="NW463" s="85"/>
      <c r="NX463" s="85"/>
      <c r="NY463" s="85"/>
      <c r="NZ463" s="85"/>
      <c r="OA463" s="85"/>
      <c r="OB463" s="85"/>
      <c r="OC463" s="85"/>
      <c r="OD463" s="85"/>
      <c r="OE463" s="85"/>
      <c r="OF463" s="85"/>
      <c r="OG463" s="85"/>
      <c r="OH463" s="85"/>
      <c r="OI463" s="85"/>
      <c r="OJ463" s="85"/>
      <c r="OK463" s="85"/>
      <c r="OL463" s="85"/>
      <c r="OM463" s="85"/>
      <c r="ON463" s="85"/>
      <c r="OO463" s="85"/>
      <c r="OP463" s="85"/>
      <c r="OQ463" s="85"/>
      <c r="OR463" s="85"/>
      <c r="OS463" s="85"/>
      <c r="OT463" s="85"/>
      <c r="OU463" s="85"/>
      <c r="OV463" s="85"/>
      <c r="OW463" s="85"/>
      <c r="OX463" s="85"/>
      <c r="OY463" s="85"/>
      <c r="OZ463" s="85"/>
      <c r="PA463" s="85"/>
      <c r="PB463" s="85"/>
      <c r="PC463" s="85"/>
      <c r="PD463" s="85"/>
      <c r="PE463" s="85"/>
      <c r="PF463" s="85"/>
      <c r="PG463" s="85"/>
      <c r="PH463" s="85"/>
      <c r="PI463" s="85"/>
      <c r="PJ463" s="85"/>
      <c r="PK463" s="85"/>
      <c r="PL463" s="85"/>
      <c r="PM463" s="85"/>
      <c r="PN463" s="85"/>
      <c r="PO463" s="85"/>
      <c r="PP463" s="85"/>
      <c r="PQ463" s="85"/>
      <c r="PR463" s="85"/>
      <c r="PS463" s="85"/>
      <c r="PT463" s="85"/>
      <c r="PU463" s="85"/>
      <c r="PV463" s="85"/>
      <c r="PW463" s="85"/>
      <c r="PX463" s="85"/>
      <c r="PY463" s="85"/>
      <c r="PZ463" s="85"/>
      <c r="QA463" s="85"/>
      <c r="QB463" s="85"/>
      <c r="QC463" s="85"/>
      <c r="QD463" s="85"/>
      <c r="QE463" s="85"/>
      <c r="QF463" s="85"/>
      <c r="QG463" s="85"/>
      <c r="QH463" s="85"/>
      <c r="QI463" s="85"/>
      <c r="QJ463" s="85"/>
      <c r="QK463" s="85"/>
      <c r="QL463" s="85"/>
      <c r="QM463" s="85"/>
      <c r="QN463" s="85"/>
      <c r="QO463" s="85"/>
      <c r="QP463" s="85"/>
      <c r="QQ463" s="85"/>
      <c r="QR463" s="85"/>
      <c r="QS463" s="85"/>
      <c r="QT463" s="85"/>
      <c r="QU463" s="85"/>
      <c r="QV463" s="85"/>
      <c r="QW463" s="85"/>
      <c r="QX463" s="85"/>
      <c r="QY463" s="85"/>
      <c r="QZ463" s="85"/>
      <c r="RA463" s="85"/>
      <c r="RB463" s="85"/>
      <c r="RC463" s="85"/>
      <c r="RD463" s="85"/>
      <c r="RE463" s="85"/>
      <c r="RF463" s="85"/>
      <c r="RG463" s="85"/>
      <c r="RH463" s="85"/>
      <c r="RI463" s="85"/>
      <c r="RJ463" s="85"/>
      <c r="RK463" s="85"/>
      <c r="RL463" s="85"/>
      <c r="RM463" s="85"/>
      <c r="RN463" s="85"/>
      <c r="RO463" s="85"/>
      <c r="RP463" s="85"/>
      <c r="RQ463" s="85"/>
      <c r="RR463" s="85"/>
      <c r="RS463" s="85"/>
      <c r="RT463" s="85"/>
      <c r="RU463" s="85"/>
      <c r="RV463" s="85"/>
      <c r="RW463" s="85"/>
      <c r="RX463" s="85"/>
      <c r="RY463" s="85"/>
      <c r="RZ463" s="85"/>
      <c r="SA463" s="85"/>
      <c r="SB463" s="85"/>
      <c r="SC463" s="85"/>
      <c r="SD463" s="85"/>
      <c r="SE463" s="85"/>
      <c r="SF463" s="85"/>
      <c r="SG463" s="85"/>
      <c r="SH463" s="85"/>
      <c r="SI463" s="85"/>
      <c r="SJ463" s="85"/>
      <c r="SK463" s="85"/>
      <c r="SL463" s="85"/>
      <c r="SM463" s="85"/>
      <c r="SN463" s="85"/>
      <c r="SO463" s="85"/>
      <c r="SP463" s="85"/>
      <c r="SQ463" s="85"/>
      <c r="SR463" s="85"/>
      <c r="SS463" s="85"/>
      <c r="ST463" s="85"/>
      <c r="SU463" s="85"/>
      <c r="SV463" s="85"/>
      <c r="SW463" s="85"/>
      <c r="SX463" s="85"/>
      <c r="SY463" s="85"/>
      <c r="SZ463" s="85"/>
      <c r="TA463" s="85"/>
      <c r="TB463" s="85"/>
      <c r="TC463" s="85"/>
      <c r="TD463" s="85"/>
      <c r="TE463" s="85"/>
      <c r="TF463" s="85"/>
      <c r="TG463" s="85"/>
      <c r="TH463" s="85"/>
      <c r="TI463" s="85"/>
      <c r="TJ463" s="85"/>
      <c r="TK463" s="85"/>
      <c r="TL463" s="85"/>
    </row>
    <row r="464" spans="1:532" s="85" customFormat="1" ht="12.75" customHeight="1">
      <c r="A464" s="122" t="str">
        <f>+'[2]EXTRA 2'!A270</f>
        <v>1.4.1.2.02,00.0.0.000</v>
      </c>
      <c r="B464" s="156" t="str">
        <f>+'[2]EXTRA 2'!B270</f>
        <v>Programas comites cantonales de la Persona Joven</v>
      </c>
      <c r="C464" s="156" t="s">
        <v>75</v>
      </c>
      <c r="D464" s="124">
        <f>+'[2]EXTRA 2'!C270</f>
        <v>8545782</v>
      </c>
      <c r="E464" s="124">
        <f>+D464</f>
        <v>8545782</v>
      </c>
      <c r="F464" s="146" t="s">
        <v>164</v>
      </c>
      <c r="G464" s="138" t="str">
        <f>+'[2]EXTRA 2'!G271</f>
        <v>Servicios Sociales Complementarios</v>
      </c>
      <c r="H464" s="98"/>
      <c r="I464" s="140"/>
      <c r="J464" s="140"/>
      <c r="K464" s="140"/>
      <c r="L464" s="140"/>
      <c r="M464" s="140"/>
      <c r="N464" s="140">
        <f>+N465</f>
        <v>8545782</v>
      </c>
    </row>
    <row r="465" spans="1:532" s="85" customFormat="1" ht="12.75" customHeight="1">
      <c r="A465" s="122"/>
      <c r="B465" s="240"/>
      <c r="C465" s="124"/>
      <c r="D465" s="124"/>
      <c r="E465" s="124"/>
      <c r="F465" s="146"/>
      <c r="G465" s="138"/>
      <c r="H465" s="98" t="s">
        <v>78</v>
      </c>
      <c r="I465" s="125"/>
      <c r="J465" s="125">
        <f>+I465</f>
        <v>0</v>
      </c>
      <c r="K465" s="125"/>
      <c r="L465" s="125"/>
      <c r="M465" s="125"/>
      <c r="N465" s="125">
        <f>+'[2]EXTRA 2'!H271-'3_Detalle Origen y Aplicación'!I465</f>
        <v>8545782</v>
      </c>
    </row>
    <row r="466" spans="1:532" s="135" customFormat="1" ht="12.75" customHeight="1">
      <c r="A466" s="111"/>
      <c r="B466" s="243"/>
      <c r="C466" s="112"/>
      <c r="D466" s="112"/>
      <c r="E466" s="112"/>
      <c r="F466" s="242"/>
      <c r="G466" s="113"/>
      <c r="H466" s="114"/>
      <c r="I466" s="115"/>
      <c r="J466" s="115"/>
      <c r="K466" s="115"/>
      <c r="L466" s="115"/>
      <c r="M466" s="115"/>
      <c r="N466" s="116"/>
      <c r="O466" s="85"/>
      <c r="P466" s="85"/>
      <c r="Q466" s="85"/>
      <c r="R466" s="85"/>
      <c r="S466" s="85"/>
      <c r="T466" s="85"/>
      <c r="U466" s="85"/>
      <c r="V466" s="85"/>
      <c r="W466" s="85"/>
      <c r="X466" s="85"/>
      <c r="Y466" s="85"/>
      <c r="Z466" s="85"/>
      <c r="AA466" s="85"/>
      <c r="AB466" s="85"/>
      <c r="AC466" s="85"/>
      <c r="AD466" s="85"/>
      <c r="AE466" s="85"/>
      <c r="AF466" s="85"/>
      <c r="AG466" s="85"/>
      <c r="AH466" s="85"/>
      <c r="AI466" s="85"/>
      <c r="AJ466" s="85"/>
      <c r="AK466" s="85"/>
      <c r="AL466" s="85"/>
      <c r="AM466" s="85"/>
      <c r="AN466" s="85"/>
      <c r="AO466" s="85"/>
      <c r="AP466" s="85"/>
      <c r="AQ466" s="85"/>
      <c r="AR466" s="85"/>
      <c r="AS466" s="85"/>
      <c r="AT466" s="85"/>
      <c r="AU466" s="85"/>
      <c r="AV466" s="85"/>
      <c r="AW466" s="85"/>
      <c r="AX466" s="85"/>
      <c r="AY466" s="85"/>
      <c r="AZ466" s="85"/>
      <c r="BA466" s="85"/>
      <c r="BB466" s="85"/>
      <c r="BC466" s="85"/>
      <c r="BD466" s="85"/>
      <c r="BE466" s="85"/>
      <c r="BF466" s="85"/>
      <c r="BG466" s="85"/>
      <c r="BH466" s="85"/>
      <c r="BI466" s="85"/>
      <c r="BJ466" s="85"/>
      <c r="BK466" s="85"/>
      <c r="BL466" s="85"/>
      <c r="BM466" s="85"/>
      <c r="BN466" s="85"/>
      <c r="BO466" s="85"/>
      <c r="BP466" s="85"/>
      <c r="BQ466" s="85"/>
      <c r="BR466" s="85"/>
      <c r="BS466" s="85"/>
      <c r="BT466" s="85"/>
      <c r="BU466" s="85"/>
      <c r="BV466" s="85"/>
      <c r="BW466" s="85"/>
      <c r="BX466" s="85"/>
      <c r="BY466" s="85"/>
      <c r="BZ466" s="85"/>
      <c r="CA466" s="85"/>
      <c r="CB466" s="85"/>
      <c r="CC466" s="85"/>
      <c r="CD466" s="85"/>
      <c r="CE466" s="85"/>
      <c r="CF466" s="85"/>
      <c r="CG466" s="85"/>
      <c r="CH466" s="85"/>
      <c r="CI466" s="85"/>
      <c r="CJ466" s="85"/>
      <c r="CK466" s="85"/>
      <c r="CL466" s="85"/>
      <c r="CM466" s="85"/>
      <c r="CN466" s="85"/>
      <c r="CO466" s="85"/>
      <c r="CP466" s="85"/>
      <c r="CQ466" s="85"/>
      <c r="CR466" s="85"/>
      <c r="CS466" s="85"/>
      <c r="CT466" s="85"/>
      <c r="CU466" s="85"/>
      <c r="CV466" s="85"/>
      <c r="CW466" s="85"/>
      <c r="CX466" s="85"/>
      <c r="CY466" s="85"/>
      <c r="CZ466" s="85"/>
      <c r="DA466" s="85"/>
      <c r="DB466" s="85"/>
      <c r="DC466" s="85"/>
      <c r="DD466" s="85"/>
      <c r="DE466" s="85"/>
      <c r="DF466" s="85"/>
      <c r="DG466" s="85"/>
      <c r="DH466" s="85"/>
      <c r="DI466" s="85"/>
      <c r="DJ466" s="85"/>
      <c r="DK466" s="85"/>
      <c r="DL466" s="85"/>
      <c r="DM466" s="85"/>
      <c r="DN466" s="85"/>
      <c r="DO466" s="85"/>
      <c r="DP466" s="85"/>
      <c r="DQ466" s="85"/>
      <c r="DR466" s="85"/>
      <c r="DS466" s="85"/>
      <c r="DT466" s="85"/>
      <c r="DU466" s="85"/>
      <c r="DV466" s="85"/>
      <c r="DW466" s="85"/>
      <c r="DX466" s="85"/>
      <c r="DY466" s="85"/>
      <c r="DZ466" s="85"/>
      <c r="EA466" s="85"/>
      <c r="EB466" s="85"/>
      <c r="EC466" s="85"/>
      <c r="ED466" s="85"/>
      <c r="EE466" s="85"/>
      <c r="EF466" s="85"/>
      <c r="EG466" s="85"/>
      <c r="EH466" s="85"/>
      <c r="EI466" s="85"/>
      <c r="EJ466" s="85"/>
      <c r="EK466" s="85"/>
      <c r="EL466" s="85"/>
      <c r="EM466" s="85"/>
      <c r="EN466" s="85"/>
      <c r="EO466" s="85"/>
      <c r="EP466" s="85"/>
      <c r="EQ466" s="85"/>
      <c r="ER466" s="85"/>
      <c r="ES466" s="85"/>
      <c r="ET466" s="85"/>
      <c r="EU466" s="85"/>
      <c r="EV466" s="85"/>
      <c r="EW466" s="85"/>
      <c r="EX466" s="85"/>
      <c r="EY466" s="85"/>
      <c r="EZ466" s="85"/>
      <c r="FA466" s="85"/>
      <c r="FB466" s="85"/>
      <c r="FC466" s="85"/>
      <c r="FD466" s="85"/>
      <c r="FE466" s="85"/>
      <c r="FF466" s="85"/>
      <c r="FG466" s="85"/>
      <c r="FH466" s="85"/>
      <c r="FI466" s="85"/>
      <c r="FJ466" s="85"/>
      <c r="FK466" s="85"/>
      <c r="FL466" s="85"/>
      <c r="FM466" s="85"/>
      <c r="FN466" s="85"/>
      <c r="FO466" s="85"/>
      <c r="FP466" s="85"/>
      <c r="FQ466" s="85"/>
      <c r="FR466" s="85"/>
      <c r="FS466" s="85"/>
      <c r="FT466" s="85"/>
      <c r="FU466" s="85"/>
      <c r="FV466" s="85"/>
      <c r="FW466" s="85"/>
      <c r="FX466" s="85"/>
      <c r="FY466" s="85"/>
      <c r="FZ466" s="85"/>
      <c r="GA466" s="85"/>
      <c r="GB466" s="85"/>
      <c r="GC466" s="85"/>
      <c r="GD466" s="85"/>
      <c r="GE466" s="85"/>
      <c r="GF466" s="85"/>
      <c r="GG466" s="85"/>
      <c r="GH466" s="85"/>
      <c r="GI466" s="85"/>
      <c r="GJ466" s="85"/>
      <c r="GK466" s="85"/>
      <c r="GL466" s="85"/>
      <c r="GM466" s="85"/>
      <c r="GN466" s="85"/>
      <c r="GO466" s="85"/>
      <c r="GP466" s="85"/>
      <c r="GQ466" s="85"/>
      <c r="GR466" s="85"/>
      <c r="GS466" s="85"/>
      <c r="GT466" s="85"/>
      <c r="GU466" s="85"/>
      <c r="GV466" s="85"/>
      <c r="GW466" s="85"/>
      <c r="GX466" s="85"/>
      <c r="GY466" s="85"/>
      <c r="GZ466" s="85"/>
      <c r="HA466" s="85"/>
      <c r="HB466" s="85"/>
      <c r="HC466" s="85"/>
      <c r="HD466" s="85"/>
      <c r="HE466" s="85"/>
      <c r="HF466" s="85"/>
      <c r="HG466" s="85"/>
      <c r="HH466" s="85"/>
      <c r="HI466" s="85"/>
      <c r="HJ466" s="85"/>
      <c r="HK466" s="85"/>
      <c r="HL466" s="85"/>
      <c r="HM466" s="85"/>
      <c r="HN466" s="85"/>
      <c r="HO466" s="85"/>
      <c r="HP466" s="85"/>
      <c r="HQ466" s="85"/>
      <c r="HR466" s="85"/>
      <c r="HS466" s="85"/>
      <c r="HT466" s="85"/>
      <c r="HU466" s="85"/>
      <c r="HV466" s="85"/>
      <c r="HW466" s="85"/>
      <c r="HX466" s="85"/>
      <c r="HY466" s="85"/>
      <c r="HZ466" s="85"/>
      <c r="IA466" s="85"/>
      <c r="IB466" s="85"/>
      <c r="IC466" s="85"/>
      <c r="ID466" s="85"/>
      <c r="IE466" s="85"/>
      <c r="IF466" s="85"/>
      <c r="IG466" s="85"/>
      <c r="IH466" s="85"/>
      <c r="II466" s="85"/>
      <c r="IJ466" s="85"/>
      <c r="IK466" s="85"/>
      <c r="IL466" s="85"/>
      <c r="IM466" s="85"/>
      <c r="IN466" s="85"/>
      <c r="IO466" s="85"/>
      <c r="IP466" s="85"/>
      <c r="IQ466" s="85"/>
      <c r="IR466" s="85"/>
      <c r="IS466" s="85"/>
      <c r="IT466" s="85"/>
      <c r="IU466" s="85"/>
      <c r="IV466" s="85"/>
      <c r="IW466" s="85"/>
      <c r="IX466" s="85"/>
      <c r="IY466" s="85"/>
      <c r="IZ466" s="85"/>
      <c r="JA466" s="85"/>
      <c r="JB466" s="85"/>
      <c r="JC466" s="85"/>
      <c r="JD466" s="85"/>
      <c r="JE466" s="85"/>
      <c r="JF466" s="85"/>
      <c r="JG466" s="85"/>
      <c r="JH466" s="85"/>
      <c r="JI466" s="85"/>
      <c r="JJ466" s="85"/>
      <c r="JK466" s="85"/>
      <c r="JL466" s="85"/>
      <c r="JM466" s="85"/>
      <c r="JN466" s="85"/>
      <c r="JO466" s="85"/>
      <c r="JP466" s="85"/>
      <c r="JQ466" s="85"/>
      <c r="JR466" s="85"/>
      <c r="JS466" s="85"/>
      <c r="JT466" s="85"/>
      <c r="JU466" s="85"/>
      <c r="JV466" s="85"/>
      <c r="JW466" s="85"/>
      <c r="JX466" s="85"/>
      <c r="JY466" s="85"/>
      <c r="JZ466" s="85"/>
      <c r="KA466" s="85"/>
      <c r="KB466" s="85"/>
      <c r="KC466" s="85"/>
      <c r="KD466" s="85"/>
      <c r="KE466" s="85"/>
      <c r="KF466" s="85"/>
      <c r="KG466" s="85"/>
      <c r="KH466" s="85"/>
      <c r="KI466" s="85"/>
      <c r="KJ466" s="85"/>
      <c r="KK466" s="85"/>
      <c r="KL466" s="85"/>
      <c r="KM466" s="85"/>
      <c r="KN466" s="85"/>
      <c r="KO466" s="85"/>
      <c r="KP466" s="85"/>
      <c r="KQ466" s="85"/>
      <c r="KR466" s="85"/>
      <c r="KS466" s="85"/>
      <c r="KT466" s="85"/>
      <c r="KU466" s="85"/>
      <c r="KV466" s="85"/>
      <c r="KW466" s="85"/>
      <c r="KX466" s="85"/>
      <c r="KY466" s="85"/>
      <c r="KZ466" s="85"/>
      <c r="LA466" s="85"/>
      <c r="LB466" s="85"/>
      <c r="LC466" s="85"/>
      <c r="LD466" s="85"/>
      <c r="LE466" s="85"/>
      <c r="LF466" s="85"/>
      <c r="LG466" s="85"/>
      <c r="LH466" s="85"/>
      <c r="LI466" s="85"/>
      <c r="LJ466" s="85"/>
      <c r="LK466" s="85"/>
      <c r="LL466" s="85"/>
      <c r="LM466" s="85"/>
      <c r="LN466" s="85"/>
      <c r="LO466" s="85"/>
      <c r="LP466" s="85"/>
      <c r="LQ466" s="85"/>
      <c r="LR466" s="85"/>
      <c r="LS466" s="85"/>
      <c r="LT466" s="85"/>
      <c r="LU466" s="85"/>
      <c r="LV466" s="85"/>
      <c r="LW466" s="85"/>
      <c r="LX466" s="85"/>
      <c r="LY466" s="85"/>
      <c r="LZ466" s="85"/>
      <c r="MA466" s="85"/>
      <c r="MB466" s="85"/>
      <c r="MC466" s="85"/>
      <c r="MD466" s="85"/>
      <c r="ME466" s="85"/>
      <c r="MF466" s="85"/>
      <c r="MG466" s="85"/>
      <c r="MH466" s="85"/>
      <c r="MI466" s="85"/>
      <c r="MJ466" s="85"/>
      <c r="MK466" s="85"/>
      <c r="ML466" s="85"/>
      <c r="MM466" s="85"/>
      <c r="MN466" s="85"/>
      <c r="MO466" s="85"/>
      <c r="MP466" s="85"/>
      <c r="MQ466" s="85"/>
      <c r="MR466" s="85"/>
      <c r="MS466" s="85"/>
      <c r="MT466" s="85"/>
      <c r="MU466" s="85"/>
      <c r="MV466" s="85"/>
      <c r="MW466" s="85"/>
      <c r="MX466" s="85"/>
      <c r="MY466" s="85"/>
      <c r="MZ466" s="85"/>
      <c r="NA466" s="85"/>
      <c r="NB466" s="85"/>
      <c r="NC466" s="85"/>
      <c r="ND466" s="85"/>
      <c r="NE466" s="85"/>
      <c r="NF466" s="85"/>
      <c r="NG466" s="85"/>
      <c r="NH466" s="85"/>
      <c r="NI466" s="85"/>
      <c r="NJ466" s="85"/>
      <c r="NK466" s="85"/>
      <c r="NL466" s="85"/>
      <c r="NM466" s="85"/>
      <c r="NN466" s="85"/>
      <c r="NO466" s="85"/>
      <c r="NP466" s="85"/>
      <c r="NQ466" s="85"/>
      <c r="NR466" s="85"/>
      <c r="NS466" s="85"/>
      <c r="NT466" s="85"/>
      <c r="NU466" s="85"/>
      <c r="NV466" s="85"/>
      <c r="NW466" s="85"/>
      <c r="NX466" s="85"/>
      <c r="NY466" s="85"/>
      <c r="NZ466" s="85"/>
      <c r="OA466" s="85"/>
      <c r="OB466" s="85"/>
      <c r="OC466" s="85"/>
      <c r="OD466" s="85"/>
      <c r="OE466" s="85"/>
      <c r="OF466" s="85"/>
      <c r="OG466" s="85"/>
      <c r="OH466" s="85"/>
      <c r="OI466" s="85"/>
      <c r="OJ466" s="85"/>
      <c r="OK466" s="85"/>
      <c r="OL466" s="85"/>
      <c r="OM466" s="85"/>
      <c r="ON466" s="85"/>
      <c r="OO466" s="85"/>
      <c r="OP466" s="85"/>
      <c r="OQ466" s="85"/>
      <c r="OR466" s="85"/>
      <c r="OS466" s="85"/>
      <c r="OT466" s="85"/>
      <c r="OU466" s="85"/>
      <c r="OV466" s="85"/>
      <c r="OW466" s="85"/>
      <c r="OX466" s="85"/>
      <c r="OY466" s="85"/>
      <c r="OZ466" s="85"/>
      <c r="PA466" s="85"/>
      <c r="PB466" s="85"/>
      <c r="PC466" s="85"/>
      <c r="PD466" s="85"/>
      <c r="PE466" s="85"/>
      <c r="PF466" s="85"/>
      <c r="PG466" s="85"/>
      <c r="PH466" s="85"/>
      <c r="PI466" s="85"/>
      <c r="PJ466" s="85"/>
      <c r="PK466" s="85"/>
      <c r="PL466" s="85"/>
      <c r="PM466" s="85"/>
      <c r="PN466" s="85"/>
      <c r="PO466" s="85"/>
      <c r="PP466" s="85"/>
      <c r="PQ466" s="85"/>
      <c r="PR466" s="85"/>
      <c r="PS466" s="85"/>
      <c r="PT466" s="85"/>
      <c r="PU466" s="85"/>
      <c r="PV466" s="85"/>
      <c r="PW466" s="85"/>
      <c r="PX466" s="85"/>
      <c r="PY466" s="85"/>
      <c r="PZ466" s="85"/>
      <c r="QA466" s="85"/>
      <c r="QB466" s="85"/>
      <c r="QC466" s="85"/>
      <c r="QD466" s="85"/>
      <c r="QE466" s="85"/>
      <c r="QF466" s="85"/>
      <c r="QG466" s="85"/>
      <c r="QH466" s="85"/>
      <c r="QI466" s="85"/>
      <c r="QJ466" s="85"/>
      <c r="QK466" s="85"/>
      <c r="QL466" s="85"/>
      <c r="QM466" s="85"/>
      <c r="QN466" s="85"/>
      <c r="QO466" s="85"/>
      <c r="QP466" s="85"/>
      <c r="QQ466" s="85"/>
      <c r="QR466" s="85"/>
      <c r="QS466" s="85"/>
      <c r="QT466" s="85"/>
      <c r="QU466" s="85"/>
      <c r="QV466" s="85"/>
      <c r="QW466" s="85"/>
      <c r="QX466" s="85"/>
      <c r="QY466" s="85"/>
      <c r="QZ466" s="85"/>
      <c r="RA466" s="85"/>
      <c r="RB466" s="85"/>
      <c r="RC466" s="85"/>
      <c r="RD466" s="85"/>
      <c r="RE466" s="85"/>
      <c r="RF466" s="85"/>
      <c r="RG466" s="85"/>
      <c r="RH466" s="85"/>
      <c r="RI466" s="85"/>
      <c r="RJ466" s="85"/>
      <c r="RK466" s="85"/>
      <c r="RL466" s="85"/>
      <c r="RM466" s="85"/>
      <c r="RN466" s="85"/>
      <c r="RO466" s="85"/>
      <c r="RP466" s="85"/>
      <c r="RQ466" s="85"/>
      <c r="RR466" s="85"/>
      <c r="RS466" s="85"/>
      <c r="RT466" s="85"/>
      <c r="RU466" s="85"/>
      <c r="RV466" s="85"/>
      <c r="RW466" s="85"/>
      <c r="RX466" s="85"/>
      <c r="RY466" s="85"/>
      <c r="RZ466" s="85"/>
      <c r="SA466" s="85"/>
      <c r="SB466" s="85"/>
      <c r="SC466" s="85"/>
      <c r="SD466" s="85"/>
      <c r="SE466" s="85"/>
      <c r="SF466" s="85"/>
      <c r="SG466" s="85"/>
      <c r="SH466" s="85"/>
      <c r="SI466" s="85"/>
      <c r="SJ466" s="85"/>
      <c r="SK466" s="85"/>
      <c r="SL466" s="85"/>
      <c r="SM466" s="85"/>
      <c r="SN466" s="85"/>
      <c r="SO466" s="85"/>
      <c r="SP466" s="85"/>
      <c r="SQ466" s="85"/>
      <c r="SR466" s="85"/>
      <c r="SS466" s="85"/>
      <c r="ST466" s="85"/>
      <c r="SU466" s="85"/>
      <c r="SV466" s="85"/>
      <c r="SW466" s="85"/>
      <c r="SX466" s="85"/>
      <c r="SY466" s="85"/>
      <c r="SZ466" s="85"/>
      <c r="TA466" s="85"/>
      <c r="TB466" s="85"/>
      <c r="TC466" s="85"/>
      <c r="TD466" s="85"/>
      <c r="TE466" s="85"/>
      <c r="TF466" s="85"/>
      <c r="TG466" s="85"/>
      <c r="TH466" s="85"/>
      <c r="TI466" s="85"/>
      <c r="TJ466" s="85"/>
      <c r="TK466" s="85"/>
      <c r="TL466" s="85"/>
    </row>
    <row r="467" spans="1:532" s="85" customFormat="1" ht="12.75" customHeight="1">
      <c r="A467" s="128" t="s">
        <v>337</v>
      </c>
      <c r="B467" s="129" t="s">
        <v>338</v>
      </c>
      <c r="C467" s="95" t="s">
        <v>339</v>
      </c>
      <c r="D467" s="95">
        <f>+[2]ordinario!C604</f>
        <v>65653460.359999999</v>
      </c>
      <c r="E467" s="95">
        <v>133291861.45</v>
      </c>
      <c r="F467" s="256"/>
      <c r="G467" s="107"/>
      <c r="H467" s="105"/>
      <c r="I467" s="94">
        <f t="shared" ref="I467:N467" si="26">SUM(I468:I469)</f>
        <v>65653460.359999999</v>
      </c>
      <c r="J467" s="94">
        <f t="shared" si="26"/>
        <v>65653460.359999999</v>
      </c>
      <c r="K467" s="94">
        <f t="shared" si="26"/>
        <v>0</v>
      </c>
      <c r="L467" s="94">
        <f t="shared" si="26"/>
        <v>0</v>
      </c>
      <c r="M467" s="94">
        <f t="shared" si="26"/>
        <v>0</v>
      </c>
      <c r="N467" s="94">
        <f t="shared" si="26"/>
        <v>67638401.090000004</v>
      </c>
    </row>
    <row r="468" spans="1:532" s="85" customFormat="1" ht="12.75" customHeight="1">
      <c r="A468" s="106"/>
      <c r="B468" s="257"/>
      <c r="C468" s="95"/>
      <c r="D468" s="95"/>
      <c r="E468" s="95"/>
      <c r="F468" s="256" t="s">
        <v>178</v>
      </c>
      <c r="G468" s="108" t="s">
        <v>179</v>
      </c>
      <c r="H468" s="105" t="s">
        <v>77</v>
      </c>
      <c r="I468" s="99">
        <v>65653460.359999999</v>
      </c>
      <c r="J468" s="99">
        <f>+I468</f>
        <v>65653460.359999999</v>
      </c>
      <c r="K468" s="99"/>
      <c r="L468" s="99"/>
      <c r="M468" s="99"/>
      <c r="N468" s="99">
        <f>-I468+[2]ordinario!I606</f>
        <v>0</v>
      </c>
    </row>
    <row r="469" spans="1:532" s="85" customFormat="1" ht="12.75" customHeight="1">
      <c r="A469" s="106"/>
      <c r="B469" s="257"/>
      <c r="C469" s="95"/>
      <c r="D469" s="95"/>
      <c r="E469" s="95"/>
      <c r="F469" s="256" t="s">
        <v>277</v>
      </c>
      <c r="G469" s="108"/>
      <c r="H469" s="105"/>
      <c r="I469" s="99"/>
      <c r="J469" s="99"/>
      <c r="K469" s="99"/>
      <c r="L469" s="99"/>
      <c r="M469" s="99"/>
      <c r="N469" s="99">
        <f>-D467+E467</f>
        <v>67638401.090000004</v>
      </c>
    </row>
    <row r="470" spans="1:532" s="135" customFormat="1" ht="12.75" customHeight="1">
      <c r="A470" s="111"/>
      <c r="B470" s="243"/>
      <c r="C470" s="112"/>
      <c r="D470" s="112"/>
      <c r="E470" s="112"/>
      <c r="F470" s="242"/>
      <c r="G470" s="113"/>
      <c r="H470" s="114"/>
      <c r="I470" s="115"/>
      <c r="J470" s="115"/>
      <c r="K470" s="115"/>
      <c r="L470" s="115"/>
      <c r="M470" s="115"/>
      <c r="N470" s="116"/>
      <c r="O470" s="85"/>
      <c r="P470" s="85"/>
      <c r="Q470" s="85"/>
      <c r="R470" s="85"/>
      <c r="S470" s="85"/>
      <c r="T470" s="85"/>
      <c r="U470" s="85"/>
      <c r="V470" s="85"/>
      <c r="W470" s="85"/>
      <c r="X470" s="85"/>
      <c r="Y470" s="85"/>
      <c r="Z470" s="85"/>
      <c r="AA470" s="85"/>
      <c r="AB470" s="85"/>
      <c r="AC470" s="85"/>
      <c r="AD470" s="85"/>
      <c r="AE470" s="85"/>
      <c r="AF470" s="85"/>
      <c r="AG470" s="85"/>
      <c r="AH470" s="85"/>
      <c r="AI470" s="85"/>
      <c r="AJ470" s="85"/>
      <c r="AK470" s="85"/>
      <c r="AL470" s="85"/>
      <c r="AM470" s="85"/>
      <c r="AN470" s="85"/>
      <c r="AO470" s="85"/>
      <c r="AP470" s="85"/>
      <c r="AQ470" s="85"/>
      <c r="AR470" s="85"/>
      <c r="AS470" s="85"/>
      <c r="AT470" s="85"/>
      <c r="AU470" s="85"/>
      <c r="AV470" s="85"/>
      <c r="AW470" s="85"/>
      <c r="AX470" s="85"/>
      <c r="AY470" s="85"/>
      <c r="AZ470" s="85"/>
      <c r="BA470" s="85"/>
      <c r="BB470" s="85"/>
      <c r="BC470" s="85"/>
      <c r="BD470" s="85"/>
      <c r="BE470" s="85"/>
      <c r="BF470" s="85"/>
      <c r="BG470" s="85"/>
      <c r="BH470" s="85"/>
      <c r="BI470" s="85"/>
      <c r="BJ470" s="85"/>
      <c r="BK470" s="85"/>
      <c r="BL470" s="85"/>
      <c r="BM470" s="85"/>
      <c r="BN470" s="85"/>
      <c r="BO470" s="85"/>
      <c r="BP470" s="85"/>
      <c r="BQ470" s="85"/>
      <c r="BR470" s="85"/>
      <c r="BS470" s="85"/>
      <c r="BT470" s="85"/>
      <c r="BU470" s="85"/>
      <c r="BV470" s="85"/>
      <c r="BW470" s="85"/>
      <c r="BX470" s="85"/>
      <c r="BY470" s="85"/>
      <c r="BZ470" s="85"/>
      <c r="CA470" s="85"/>
      <c r="CB470" s="85"/>
      <c r="CC470" s="85"/>
      <c r="CD470" s="85"/>
      <c r="CE470" s="85"/>
      <c r="CF470" s="85"/>
      <c r="CG470" s="85"/>
      <c r="CH470" s="85"/>
      <c r="CI470" s="85"/>
      <c r="CJ470" s="85"/>
      <c r="CK470" s="85"/>
      <c r="CL470" s="85"/>
      <c r="CM470" s="85"/>
      <c r="CN470" s="85"/>
      <c r="CO470" s="85"/>
      <c r="CP470" s="85"/>
      <c r="CQ470" s="85"/>
      <c r="CR470" s="85"/>
      <c r="CS470" s="85"/>
      <c r="CT470" s="85"/>
      <c r="CU470" s="85"/>
      <c r="CV470" s="85"/>
      <c r="CW470" s="85"/>
      <c r="CX470" s="85"/>
      <c r="CY470" s="85"/>
      <c r="CZ470" s="85"/>
      <c r="DA470" s="85"/>
      <c r="DB470" s="85"/>
      <c r="DC470" s="85"/>
      <c r="DD470" s="85"/>
      <c r="DE470" s="85"/>
      <c r="DF470" s="85"/>
      <c r="DG470" s="85"/>
      <c r="DH470" s="85"/>
      <c r="DI470" s="85"/>
      <c r="DJ470" s="85"/>
      <c r="DK470" s="85"/>
      <c r="DL470" s="85"/>
      <c r="DM470" s="85"/>
      <c r="DN470" s="85"/>
      <c r="DO470" s="85"/>
      <c r="DP470" s="85"/>
      <c r="DQ470" s="85"/>
      <c r="DR470" s="85"/>
      <c r="DS470" s="85"/>
      <c r="DT470" s="85"/>
      <c r="DU470" s="85"/>
      <c r="DV470" s="85"/>
      <c r="DW470" s="85"/>
      <c r="DX470" s="85"/>
      <c r="DY470" s="85"/>
      <c r="DZ470" s="85"/>
      <c r="EA470" s="85"/>
      <c r="EB470" s="85"/>
      <c r="EC470" s="85"/>
      <c r="ED470" s="85"/>
      <c r="EE470" s="85"/>
      <c r="EF470" s="85"/>
      <c r="EG470" s="85"/>
      <c r="EH470" s="85"/>
      <c r="EI470" s="85"/>
      <c r="EJ470" s="85"/>
      <c r="EK470" s="85"/>
      <c r="EL470" s="85"/>
      <c r="EM470" s="85"/>
      <c r="EN470" s="85"/>
      <c r="EO470" s="85"/>
      <c r="EP470" s="85"/>
      <c r="EQ470" s="85"/>
      <c r="ER470" s="85"/>
      <c r="ES470" s="85"/>
      <c r="ET470" s="85"/>
      <c r="EU470" s="85"/>
      <c r="EV470" s="85"/>
      <c r="EW470" s="85"/>
      <c r="EX470" s="85"/>
      <c r="EY470" s="85"/>
      <c r="EZ470" s="85"/>
      <c r="FA470" s="85"/>
      <c r="FB470" s="85"/>
      <c r="FC470" s="85"/>
      <c r="FD470" s="85"/>
      <c r="FE470" s="85"/>
      <c r="FF470" s="85"/>
      <c r="FG470" s="85"/>
      <c r="FH470" s="85"/>
      <c r="FI470" s="85"/>
      <c r="FJ470" s="85"/>
      <c r="FK470" s="85"/>
      <c r="FL470" s="85"/>
      <c r="FM470" s="85"/>
      <c r="FN470" s="85"/>
      <c r="FO470" s="85"/>
      <c r="FP470" s="85"/>
      <c r="FQ470" s="85"/>
      <c r="FR470" s="85"/>
      <c r="FS470" s="85"/>
      <c r="FT470" s="85"/>
      <c r="FU470" s="85"/>
      <c r="FV470" s="85"/>
      <c r="FW470" s="85"/>
      <c r="FX470" s="85"/>
      <c r="FY470" s="85"/>
      <c r="FZ470" s="85"/>
      <c r="GA470" s="85"/>
      <c r="GB470" s="85"/>
      <c r="GC470" s="85"/>
      <c r="GD470" s="85"/>
      <c r="GE470" s="85"/>
      <c r="GF470" s="85"/>
      <c r="GG470" s="85"/>
      <c r="GH470" s="85"/>
      <c r="GI470" s="85"/>
      <c r="GJ470" s="85"/>
      <c r="GK470" s="85"/>
      <c r="GL470" s="85"/>
      <c r="GM470" s="85"/>
      <c r="GN470" s="85"/>
      <c r="GO470" s="85"/>
      <c r="GP470" s="85"/>
      <c r="GQ470" s="85"/>
      <c r="GR470" s="85"/>
      <c r="GS470" s="85"/>
      <c r="GT470" s="85"/>
      <c r="GU470" s="85"/>
      <c r="GV470" s="85"/>
      <c r="GW470" s="85"/>
      <c r="GX470" s="85"/>
      <c r="GY470" s="85"/>
      <c r="GZ470" s="85"/>
      <c r="HA470" s="85"/>
      <c r="HB470" s="85"/>
      <c r="HC470" s="85"/>
      <c r="HD470" s="85"/>
      <c r="HE470" s="85"/>
      <c r="HF470" s="85"/>
      <c r="HG470" s="85"/>
      <c r="HH470" s="85"/>
      <c r="HI470" s="85"/>
      <c r="HJ470" s="85"/>
      <c r="HK470" s="85"/>
      <c r="HL470" s="85"/>
      <c r="HM470" s="85"/>
      <c r="HN470" s="85"/>
      <c r="HO470" s="85"/>
      <c r="HP470" s="85"/>
      <c r="HQ470" s="85"/>
      <c r="HR470" s="85"/>
      <c r="HS470" s="85"/>
      <c r="HT470" s="85"/>
      <c r="HU470" s="85"/>
      <c r="HV470" s="85"/>
      <c r="HW470" s="85"/>
      <c r="HX470" s="85"/>
      <c r="HY470" s="85"/>
      <c r="HZ470" s="85"/>
      <c r="IA470" s="85"/>
      <c r="IB470" s="85"/>
      <c r="IC470" s="85"/>
      <c r="ID470" s="85"/>
      <c r="IE470" s="85"/>
      <c r="IF470" s="85"/>
      <c r="IG470" s="85"/>
      <c r="IH470" s="85"/>
      <c r="II470" s="85"/>
      <c r="IJ470" s="85"/>
      <c r="IK470" s="85"/>
      <c r="IL470" s="85"/>
      <c r="IM470" s="85"/>
      <c r="IN470" s="85"/>
      <c r="IO470" s="85"/>
      <c r="IP470" s="85"/>
      <c r="IQ470" s="85"/>
      <c r="IR470" s="85"/>
      <c r="IS470" s="85"/>
      <c r="IT470" s="85"/>
      <c r="IU470" s="85"/>
      <c r="IV470" s="85"/>
      <c r="IW470" s="85"/>
      <c r="IX470" s="85"/>
      <c r="IY470" s="85"/>
      <c r="IZ470" s="85"/>
      <c r="JA470" s="85"/>
      <c r="JB470" s="85"/>
      <c r="JC470" s="85"/>
      <c r="JD470" s="85"/>
      <c r="JE470" s="85"/>
      <c r="JF470" s="85"/>
      <c r="JG470" s="85"/>
      <c r="JH470" s="85"/>
      <c r="JI470" s="85"/>
      <c r="JJ470" s="85"/>
      <c r="JK470" s="85"/>
      <c r="JL470" s="85"/>
      <c r="JM470" s="85"/>
      <c r="JN470" s="85"/>
      <c r="JO470" s="85"/>
      <c r="JP470" s="85"/>
      <c r="JQ470" s="85"/>
      <c r="JR470" s="85"/>
      <c r="JS470" s="85"/>
      <c r="JT470" s="85"/>
      <c r="JU470" s="85"/>
      <c r="JV470" s="85"/>
      <c r="JW470" s="85"/>
      <c r="JX470" s="85"/>
      <c r="JY470" s="85"/>
      <c r="JZ470" s="85"/>
      <c r="KA470" s="85"/>
      <c r="KB470" s="85"/>
      <c r="KC470" s="85"/>
      <c r="KD470" s="85"/>
      <c r="KE470" s="85"/>
      <c r="KF470" s="85"/>
      <c r="KG470" s="85"/>
      <c r="KH470" s="85"/>
      <c r="KI470" s="85"/>
      <c r="KJ470" s="85"/>
      <c r="KK470" s="85"/>
      <c r="KL470" s="85"/>
      <c r="KM470" s="85"/>
      <c r="KN470" s="85"/>
      <c r="KO470" s="85"/>
      <c r="KP470" s="85"/>
      <c r="KQ470" s="85"/>
      <c r="KR470" s="85"/>
      <c r="KS470" s="85"/>
      <c r="KT470" s="85"/>
      <c r="KU470" s="85"/>
      <c r="KV470" s="85"/>
      <c r="KW470" s="85"/>
      <c r="KX470" s="85"/>
      <c r="KY470" s="85"/>
      <c r="KZ470" s="85"/>
      <c r="LA470" s="85"/>
      <c r="LB470" s="85"/>
      <c r="LC470" s="85"/>
      <c r="LD470" s="85"/>
      <c r="LE470" s="85"/>
      <c r="LF470" s="85"/>
      <c r="LG470" s="85"/>
      <c r="LH470" s="85"/>
      <c r="LI470" s="85"/>
      <c r="LJ470" s="85"/>
      <c r="LK470" s="85"/>
      <c r="LL470" s="85"/>
      <c r="LM470" s="85"/>
      <c r="LN470" s="85"/>
      <c r="LO470" s="85"/>
      <c r="LP470" s="85"/>
      <c r="LQ470" s="85"/>
      <c r="LR470" s="85"/>
      <c r="LS470" s="85"/>
      <c r="LT470" s="85"/>
      <c r="LU470" s="85"/>
      <c r="LV470" s="85"/>
      <c r="LW470" s="85"/>
      <c r="LX470" s="85"/>
      <c r="LY470" s="85"/>
      <c r="LZ470" s="85"/>
      <c r="MA470" s="85"/>
      <c r="MB470" s="85"/>
      <c r="MC470" s="85"/>
      <c r="MD470" s="85"/>
      <c r="ME470" s="85"/>
      <c r="MF470" s="85"/>
      <c r="MG470" s="85"/>
      <c r="MH470" s="85"/>
      <c r="MI470" s="85"/>
      <c r="MJ470" s="85"/>
      <c r="MK470" s="85"/>
      <c r="ML470" s="85"/>
      <c r="MM470" s="85"/>
      <c r="MN470" s="85"/>
      <c r="MO470" s="85"/>
      <c r="MP470" s="85"/>
      <c r="MQ470" s="85"/>
      <c r="MR470" s="85"/>
      <c r="MS470" s="85"/>
      <c r="MT470" s="85"/>
      <c r="MU470" s="85"/>
      <c r="MV470" s="85"/>
      <c r="MW470" s="85"/>
      <c r="MX470" s="85"/>
      <c r="MY470" s="85"/>
      <c r="MZ470" s="85"/>
      <c r="NA470" s="85"/>
      <c r="NB470" s="85"/>
      <c r="NC470" s="85"/>
      <c r="ND470" s="85"/>
      <c r="NE470" s="85"/>
      <c r="NF470" s="85"/>
      <c r="NG470" s="85"/>
      <c r="NH470" s="85"/>
      <c r="NI470" s="85"/>
      <c r="NJ470" s="85"/>
      <c r="NK470" s="85"/>
      <c r="NL470" s="85"/>
      <c r="NM470" s="85"/>
      <c r="NN470" s="85"/>
      <c r="NO470" s="85"/>
      <c r="NP470" s="85"/>
      <c r="NQ470" s="85"/>
      <c r="NR470" s="85"/>
      <c r="NS470" s="85"/>
      <c r="NT470" s="85"/>
      <c r="NU470" s="85"/>
      <c r="NV470" s="85"/>
      <c r="NW470" s="85"/>
      <c r="NX470" s="85"/>
      <c r="NY470" s="85"/>
      <c r="NZ470" s="85"/>
      <c r="OA470" s="85"/>
      <c r="OB470" s="85"/>
      <c r="OC470" s="85"/>
      <c r="OD470" s="85"/>
      <c r="OE470" s="85"/>
      <c r="OF470" s="85"/>
      <c r="OG470" s="85"/>
      <c r="OH470" s="85"/>
      <c r="OI470" s="85"/>
      <c r="OJ470" s="85"/>
      <c r="OK470" s="85"/>
      <c r="OL470" s="85"/>
      <c r="OM470" s="85"/>
      <c r="ON470" s="85"/>
      <c r="OO470" s="85"/>
      <c r="OP470" s="85"/>
      <c r="OQ470" s="85"/>
      <c r="OR470" s="85"/>
      <c r="OS470" s="85"/>
      <c r="OT470" s="85"/>
      <c r="OU470" s="85"/>
      <c r="OV470" s="85"/>
      <c r="OW470" s="85"/>
      <c r="OX470" s="85"/>
      <c r="OY470" s="85"/>
      <c r="OZ470" s="85"/>
      <c r="PA470" s="85"/>
      <c r="PB470" s="85"/>
      <c r="PC470" s="85"/>
      <c r="PD470" s="85"/>
      <c r="PE470" s="85"/>
      <c r="PF470" s="85"/>
      <c r="PG470" s="85"/>
      <c r="PH470" s="85"/>
      <c r="PI470" s="85"/>
      <c r="PJ470" s="85"/>
      <c r="PK470" s="85"/>
      <c r="PL470" s="85"/>
      <c r="PM470" s="85"/>
      <c r="PN470" s="85"/>
      <c r="PO470" s="85"/>
      <c r="PP470" s="85"/>
      <c r="PQ470" s="85"/>
      <c r="PR470" s="85"/>
      <c r="PS470" s="85"/>
      <c r="PT470" s="85"/>
      <c r="PU470" s="85"/>
      <c r="PV470" s="85"/>
      <c r="PW470" s="85"/>
      <c r="PX470" s="85"/>
      <c r="PY470" s="85"/>
      <c r="PZ470" s="85"/>
      <c r="QA470" s="85"/>
      <c r="QB470" s="85"/>
      <c r="QC470" s="85"/>
      <c r="QD470" s="85"/>
      <c r="QE470" s="85"/>
      <c r="QF470" s="85"/>
      <c r="QG470" s="85"/>
      <c r="QH470" s="85"/>
      <c r="QI470" s="85"/>
      <c r="QJ470" s="85"/>
      <c r="QK470" s="85"/>
      <c r="QL470" s="85"/>
      <c r="QM470" s="85"/>
      <c r="QN470" s="85"/>
      <c r="QO470" s="85"/>
      <c r="QP470" s="85"/>
      <c r="QQ470" s="85"/>
      <c r="QR470" s="85"/>
      <c r="QS470" s="85"/>
      <c r="QT470" s="85"/>
      <c r="QU470" s="85"/>
      <c r="QV470" s="85"/>
      <c r="QW470" s="85"/>
      <c r="QX470" s="85"/>
      <c r="QY470" s="85"/>
      <c r="QZ470" s="85"/>
      <c r="RA470" s="85"/>
      <c r="RB470" s="85"/>
      <c r="RC470" s="85"/>
      <c r="RD470" s="85"/>
      <c r="RE470" s="85"/>
      <c r="RF470" s="85"/>
      <c r="RG470" s="85"/>
      <c r="RH470" s="85"/>
      <c r="RI470" s="85"/>
      <c r="RJ470" s="85"/>
      <c r="RK470" s="85"/>
      <c r="RL470" s="85"/>
      <c r="RM470" s="85"/>
      <c r="RN470" s="85"/>
      <c r="RO470" s="85"/>
      <c r="RP470" s="85"/>
      <c r="RQ470" s="85"/>
      <c r="RR470" s="85"/>
      <c r="RS470" s="85"/>
      <c r="RT470" s="85"/>
      <c r="RU470" s="85"/>
      <c r="RV470" s="85"/>
      <c r="RW470" s="85"/>
      <c r="RX470" s="85"/>
      <c r="RY470" s="85"/>
      <c r="RZ470" s="85"/>
      <c r="SA470" s="85"/>
      <c r="SB470" s="85"/>
      <c r="SC470" s="85"/>
      <c r="SD470" s="85"/>
      <c r="SE470" s="85"/>
      <c r="SF470" s="85"/>
      <c r="SG470" s="85"/>
      <c r="SH470" s="85"/>
      <c r="SI470" s="85"/>
      <c r="SJ470" s="85"/>
      <c r="SK470" s="85"/>
      <c r="SL470" s="85"/>
      <c r="SM470" s="85"/>
      <c r="SN470" s="85"/>
      <c r="SO470" s="85"/>
      <c r="SP470" s="85"/>
      <c r="SQ470" s="85"/>
      <c r="SR470" s="85"/>
      <c r="SS470" s="85"/>
      <c r="ST470" s="85"/>
      <c r="SU470" s="85"/>
      <c r="SV470" s="85"/>
      <c r="SW470" s="85"/>
      <c r="SX470" s="85"/>
      <c r="SY470" s="85"/>
      <c r="SZ470" s="85"/>
      <c r="TA470" s="85"/>
      <c r="TB470" s="85"/>
      <c r="TC470" s="85"/>
      <c r="TD470" s="85"/>
      <c r="TE470" s="85"/>
      <c r="TF470" s="85"/>
      <c r="TG470" s="85"/>
      <c r="TH470" s="85"/>
      <c r="TI470" s="85"/>
      <c r="TJ470" s="85"/>
      <c r="TK470" s="85"/>
      <c r="TL470" s="85"/>
    </row>
    <row r="471" spans="1:532" s="85" customFormat="1" ht="12.75" customHeight="1">
      <c r="A471" s="155" t="s">
        <v>340</v>
      </c>
      <c r="B471" s="123" t="s">
        <v>148</v>
      </c>
      <c r="C471" s="124"/>
      <c r="D471" s="124">
        <f>+[2]ordinario!C623</f>
        <v>7000000</v>
      </c>
      <c r="E471" s="124">
        <v>7880300.0199999996</v>
      </c>
      <c r="F471" s="146"/>
      <c r="G471" s="138"/>
      <c r="H471" s="98"/>
      <c r="I471" s="140">
        <f t="shared" ref="I471:N471" si="27">SUM(I472:I473)</f>
        <v>7000000</v>
      </c>
      <c r="J471" s="140">
        <f t="shared" si="27"/>
        <v>7000000</v>
      </c>
      <c r="K471" s="140">
        <f t="shared" si="27"/>
        <v>0</v>
      </c>
      <c r="L471" s="140">
        <f t="shared" si="27"/>
        <v>0</v>
      </c>
      <c r="M471" s="140">
        <f t="shared" si="27"/>
        <v>0</v>
      </c>
      <c r="N471" s="140">
        <f t="shared" si="27"/>
        <v>880300.01999999955</v>
      </c>
    </row>
    <row r="472" spans="1:532" s="85" customFormat="1" ht="12.75" customHeight="1">
      <c r="A472" s="122"/>
      <c r="B472" s="240"/>
      <c r="C472" s="124"/>
      <c r="D472" s="124"/>
      <c r="E472" s="124"/>
      <c r="F472" s="146" t="s">
        <v>157</v>
      </c>
      <c r="G472" s="138" t="s">
        <v>341</v>
      </c>
      <c r="H472" s="98" t="s">
        <v>82</v>
      </c>
      <c r="I472" s="125">
        <v>7000000</v>
      </c>
      <c r="J472" s="125">
        <f>+I472</f>
        <v>7000000</v>
      </c>
      <c r="K472" s="125"/>
      <c r="L472" s="125"/>
      <c r="M472" s="125"/>
      <c r="N472" s="125">
        <f>-I472+[2]ordinario!I625</f>
        <v>0</v>
      </c>
    </row>
    <row r="473" spans="1:532" s="85" customFormat="1" ht="12.75" customHeight="1">
      <c r="A473" s="122"/>
      <c r="B473" s="240"/>
      <c r="C473" s="124"/>
      <c r="D473" s="124"/>
      <c r="E473" s="124"/>
      <c r="F473" s="146" t="s">
        <v>277</v>
      </c>
      <c r="G473" s="138"/>
      <c r="H473" s="98"/>
      <c r="I473" s="125"/>
      <c r="J473" s="125"/>
      <c r="K473" s="125"/>
      <c r="L473" s="125"/>
      <c r="M473" s="125"/>
      <c r="N473" s="125">
        <f>+E471-D471</f>
        <v>880300.01999999955</v>
      </c>
    </row>
    <row r="474" spans="1:532" s="135" customFormat="1" ht="12.75" customHeight="1">
      <c r="A474" s="111"/>
      <c r="B474" s="243"/>
      <c r="C474" s="112"/>
      <c r="D474" s="112"/>
      <c r="E474" s="112"/>
      <c r="F474" s="242"/>
      <c r="G474" s="113"/>
      <c r="H474" s="114"/>
      <c r="I474" s="115"/>
      <c r="J474" s="115"/>
      <c r="K474" s="115"/>
      <c r="L474" s="115"/>
      <c r="M474" s="115"/>
      <c r="N474" s="116"/>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85"/>
      <c r="AL474" s="85"/>
      <c r="AM474" s="85"/>
      <c r="AN474" s="85"/>
      <c r="AO474" s="85"/>
      <c r="AP474" s="85"/>
      <c r="AQ474" s="85"/>
      <c r="AR474" s="85"/>
      <c r="AS474" s="85"/>
      <c r="AT474" s="85"/>
      <c r="AU474" s="85"/>
      <c r="AV474" s="85"/>
      <c r="AW474" s="85"/>
      <c r="AX474" s="85"/>
      <c r="AY474" s="85"/>
      <c r="AZ474" s="85"/>
      <c r="BA474" s="85"/>
      <c r="BB474" s="85"/>
      <c r="BC474" s="85"/>
      <c r="BD474" s="85"/>
      <c r="BE474" s="85"/>
      <c r="BF474" s="85"/>
      <c r="BG474" s="85"/>
      <c r="BH474" s="85"/>
      <c r="BI474" s="85"/>
      <c r="BJ474" s="85"/>
      <c r="BK474" s="85"/>
      <c r="BL474" s="85"/>
      <c r="BM474" s="85"/>
      <c r="BN474" s="85"/>
      <c r="BO474" s="85"/>
      <c r="BP474" s="85"/>
      <c r="BQ474" s="85"/>
      <c r="BR474" s="85"/>
      <c r="BS474" s="85"/>
      <c r="BT474" s="85"/>
      <c r="BU474" s="85"/>
      <c r="BV474" s="85"/>
      <c r="BW474" s="85"/>
      <c r="BX474" s="85"/>
      <c r="BY474" s="85"/>
      <c r="BZ474" s="85"/>
      <c r="CA474" s="85"/>
      <c r="CB474" s="85"/>
      <c r="CC474" s="85"/>
      <c r="CD474" s="85"/>
      <c r="CE474" s="85"/>
      <c r="CF474" s="85"/>
      <c r="CG474" s="85"/>
      <c r="CH474" s="85"/>
      <c r="CI474" s="85"/>
      <c r="CJ474" s="85"/>
      <c r="CK474" s="85"/>
      <c r="CL474" s="85"/>
      <c r="CM474" s="85"/>
      <c r="CN474" s="85"/>
      <c r="CO474" s="85"/>
      <c r="CP474" s="85"/>
      <c r="CQ474" s="85"/>
      <c r="CR474" s="85"/>
      <c r="CS474" s="85"/>
      <c r="CT474" s="85"/>
      <c r="CU474" s="85"/>
      <c r="CV474" s="85"/>
      <c r="CW474" s="85"/>
      <c r="CX474" s="85"/>
      <c r="CY474" s="85"/>
      <c r="CZ474" s="85"/>
      <c r="DA474" s="85"/>
      <c r="DB474" s="85"/>
      <c r="DC474" s="85"/>
      <c r="DD474" s="85"/>
      <c r="DE474" s="85"/>
      <c r="DF474" s="85"/>
      <c r="DG474" s="85"/>
      <c r="DH474" s="85"/>
      <c r="DI474" s="85"/>
      <c r="DJ474" s="85"/>
      <c r="DK474" s="85"/>
      <c r="DL474" s="85"/>
      <c r="DM474" s="85"/>
      <c r="DN474" s="85"/>
      <c r="DO474" s="85"/>
      <c r="DP474" s="85"/>
      <c r="DQ474" s="85"/>
      <c r="DR474" s="85"/>
      <c r="DS474" s="85"/>
      <c r="DT474" s="85"/>
      <c r="DU474" s="85"/>
      <c r="DV474" s="85"/>
      <c r="DW474" s="85"/>
      <c r="DX474" s="85"/>
      <c r="DY474" s="85"/>
      <c r="DZ474" s="85"/>
      <c r="EA474" s="85"/>
      <c r="EB474" s="85"/>
      <c r="EC474" s="85"/>
      <c r="ED474" s="85"/>
      <c r="EE474" s="85"/>
      <c r="EF474" s="85"/>
      <c r="EG474" s="85"/>
      <c r="EH474" s="85"/>
      <c r="EI474" s="85"/>
      <c r="EJ474" s="85"/>
      <c r="EK474" s="85"/>
      <c r="EL474" s="85"/>
      <c r="EM474" s="85"/>
      <c r="EN474" s="85"/>
      <c r="EO474" s="85"/>
      <c r="EP474" s="85"/>
      <c r="EQ474" s="85"/>
      <c r="ER474" s="85"/>
      <c r="ES474" s="85"/>
      <c r="ET474" s="85"/>
      <c r="EU474" s="85"/>
      <c r="EV474" s="85"/>
      <c r="EW474" s="85"/>
      <c r="EX474" s="85"/>
      <c r="EY474" s="85"/>
      <c r="EZ474" s="85"/>
      <c r="FA474" s="85"/>
      <c r="FB474" s="85"/>
      <c r="FC474" s="85"/>
      <c r="FD474" s="85"/>
      <c r="FE474" s="85"/>
      <c r="FF474" s="85"/>
      <c r="FG474" s="85"/>
      <c r="FH474" s="85"/>
      <c r="FI474" s="85"/>
      <c r="FJ474" s="85"/>
      <c r="FK474" s="85"/>
      <c r="FL474" s="85"/>
      <c r="FM474" s="85"/>
      <c r="FN474" s="85"/>
      <c r="FO474" s="85"/>
      <c r="FP474" s="85"/>
      <c r="FQ474" s="85"/>
      <c r="FR474" s="85"/>
      <c r="FS474" s="85"/>
      <c r="FT474" s="85"/>
      <c r="FU474" s="85"/>
      <c r="FV474" s="85"/>
      <c r="FW474" s="85"/>
      <c r="FX474" s="85"/>
      <c r="FY474" s="85"/>
      <c r="FZ474" s="85"/>
      <c r="GA474" s="85"/>
      <c r="GB474" s="85"/>
      <c r="GC474" s="85"/>
      <c r="GD474" s="85"/>
      <c r="GE474" s="85"/>
      <c r="GF474" s="85"/>
      <c r="GG474" s="85"/>
      <c r="GH474" s="85"/>
      <c r="GI474" s="85"/>
      <c r="GJ474" s="85"/>
      <c r="GK474" s="85"/>
      <c r="GL474" s="85"/>
      <c r="GM474" s="85"/>
      <c r="GN474" s="85"/>
      <c r="GO474" s="85"/>
      <c r="GP474" s="85"/>
      <c r="GQ474" s="85"/>
      <c r="GR474" s="85"/>
      <c r="GS474" s="85"/>
      <c r="GT474" s="85"/>
      <c r="GU474" s="85"/>
      <c r="GV474" s="85"/>
      <c r="GW474" s="85"/>
      <c r="GX474" s="85"/>
      <c r="GY474" s="85"/>
      <c r="GZ474" s="85"/>
      <c r="HA474" s="85"/>
      <c r="HB474" s="85"/>
      <c r="HC474" s="85"/>
      <c r="HD474" s="85"/>
      <c r="HE474" s="85"/>
      <c r="HF474" s="85"/>
      <c r="HG474" s="85"/>
      <c r="HH474" s="85"/>
      <c r="HI474" s="85"/>
      <c r="HJ474" s="85"/>
      <c r="HK474" s="85"/>
      <c r="HL474" s="85"/>
      <c r="HM474" s="85"/>
      <c r="HN474" s="85"/>
      <c r="HO474" s="85"/>
      <c r="HP474" s="85"/>
      <c r="HQ474" s="85"/>
      <c r="HR474" s="85"/>
      <c r="HS474" s="85"/>
      <c r="HT474" s="85"/>
      <c r="HU474" s="85"/>
      <c r="HV474" s="85"/>
      <c r="HW474" s="85"/>
      <c r="HX474" s="85"/>
      <c r="HY474" s="85"/>
      <c r="HZ474" s="85"/>
      <c r="IA474" s="85"/>
      <c r="IB474" s="85"/>
      <c r="IC474" s="85"/>
      <c r="ID474" s="85"/>
      <c r="IE474" s="85"/>
      <c r="IF474" s="85"/>
      <c r="IG474" s="85"/>
      <c r="IH474" s="85"/>
      <c r="II474" s="85"/>
      <c r="IJ474" s="85"/>
      <c r="IK474" s="85"/>
      <c r="IL474" s="85"/>
      <c r="IM474" s="85"/>
      <c r="IN474" s="85"/>
      <c r="IO474" s="85"/>
      <c r="IP474" s="85"/>
      <c r="IQ474" s="85"/>
      <c r="IR474" s="85"/>
      <c r="IS474" s="85"/>
      <c r="IT474" s="85"/>
      <c r="IU474" s="85"/>
      <c r="IV474" s="85"/>
      <c r="IW474" s="85"/>
      <c r="IX474" s="85"/>
      <c r="IY474" s="85"/>
      <c r="IZ474" s="85"/>
      <c r="JA474" s="85"/>
      <c r="JB474" s="85"/>
      <c r="JC474" s="85"/>
      <c r="JD474" s="85"/>
      <c r="JE474" s="85"/>
      <c r="JF474" s="85"/>
      <c r="JG474" s="85"/>
      <c r="JH474" s="85"/>
      <c r="JI474" s="85"/>
      <c r="JJ474" s="85"/>
      <c r="JK474" s="85"/>
      <c r="JL474" s="85"/>
      <c r="JM474" s="85"/>
      <c r="JN474" s="85"/>
      <c r="JO474" s="85"/>
      <c r="JP474" s="85"/>
      <c r="JQ474" s="85"/>
      <c r="JR474" s="85"/>
      <c r="JS474" s="85"/>
      <c r="JT474" s="85"/>
      <c r="JU474" s="85"/>
      <c r="JV474" s="85"/>
      <c r="JW474" s="85"/>
      <c r="JX474" s="85"/>
      <c r="JY474" s="85"/>
      <c r="JZ474" s="85"/>
      <c r="KA474" s="85"/>
      <c r="KB474" s="85"/>
      <c r="KC474" s="85"/>
      <c r="KD474" s="85"/>
      <c r="KE474" s="85"/>
      <c r="KF474" s="85"/>
      <c r="KG474" s="85"/>
      <c r="KH474" s="85"/>
      <c r="KI474" s="85"/>
      <c r="KJ474" s="85"/>
      <c r="KK474" s="85"/>
      <c r="KL474" s="85"/>
      <c r="KM474" s="85"/>
      <c r="KN474" s="85"/>
      <c r="KO474" s="85"/>
      <c r="KP474" s="85"/>
      <c r="KQ474" s="85"/>
      <c r="KR474" s="85"/>
      <c r="KS474" s="85"/>
      <c r="KT474" s="85"/>
      <c r="KU474" s="85"/>
      <c r="KV474" s="85"/>
      <c r="KW474" s="85"/>
      <c r="KX474" s="85"/>
      <c r="KY474" s="85"/>
      <c r="KZ474" s="85"/>
      <c r="LA474" s="85"/>
      <c r="LB474" s="85"/>
      <c r="LC474" s="85"/>
      <c r="LD474" s="85"/>
      <c r="LE474" s="85"/>
      <c r="LF474" s="85"/>
      <c r="LG474" s="85"/>
      <c r="LH474" s="85"/>
      <c r="LI474" s="85"/>
      <c r="LJ474" s="85"/>
      <c r="LK474" s="85"/>
      <c r="LL474" s="85"/>
      <c r="LM474" s="85"/>
      <c r="LN474" s="85"/>
      <c r="LO474" s="85"/>
      <c r="LP474" s="85"/>
      <c r="LQ474" s="85"/>
      <c r="LR474" s="85"/>
      <c r="LS474" s="85"/>
      <c r="LT474" s="85"/>
      <c r="LU474" s="85"/>
      <c r="LV474" s="85"/>
      <c r="LW474" s="85"/>
      <c r="LX474" s="85"/>
      <c r="LY474" s="85"/>
      <c r="LZ474" s="85"/>
      <c r="MA474" s="85"/>
      <c r="MB474" s="85"/>
      <c r="MC474" s="85"/>
      <c r="MD474" s="85"/>
      <c r="ME474" s="85"/>
      <c r="MF474" s="85"/>
      <c r="MG474" s="85"/>
      <c r="MH474" s="85"/>
      <c r="MI474" s="85"/>
      <c r="MJ474" s="85"/>
      <c r="MK474" s="85"/>
      <c r="ML474" s="85"/>
      <c r="MM474" s="85"/>
      <c r="MN474" s="85"/>
      <c r="MO474" s="85"/>
      <c r="MP474" s="85"/>
      <c r="MQ474" s="85"/>
      <c r="MR474" s="85"/>
      <c r="MS474" s="85"/>
      <c r="MT474" s="85"/>
      <c r="MU474" s="85"/>
      <c r="MV474" s="85"/>
      <c r="MW474" s="85"/>
      <c r="MX474" s="85"/>
      <c r="MY474" s="85"/>
      <c r="MZ474" s="85"/>
      <c r="NA474" s="85"/>
      <c r="NB474" s="85"/>
      <c r="NC474" s="85"/>
      <c r="ND474" s="85"/>
      <c r="NE474" s="85"/>
      <c r="NF474" s="85"/>
      <c r="NG474" s="85"/>
      <c r="NH474" s="85"/>
      <c r="NI474" s="85"/>
      <c r="NJ474" s="85"/>
      <c r="NK474" s="85"/>
      <c r="NL474" s="85"/>
      <c r="NM474" s="85"/>
      <c r="NN474" s="85"/>
      <c r="NO474" s="85"/>
      <c r="NP474" s="85"/>
      <c r="NQ474" s="85"/>
      <c r="NR474" s="85"/>
      <c r="NS474" s="85"/>
      <c r="NT474" s="85"/>
      <c r="NU474" s="85"/>
      <c r="NV474" s="85"/>
      <c r="NW474" s="85"/>
      <c r="NX474" s="85"/>
      <c r="NY474" s="85"/>
      <c r="NZ474" s="85"/>
      <c r="OA474" s="85"/>
      <c r="OB474" s="85"/>
      <c r="OC474" s="85"/>
      <c r="OD474" s="85"/>
      <c r="OE474" s="85"/>
      <c r="OF474" s="85"/>
      <c r="OG474" s="85"/>
      <c r="OH474" s="85"/>
      <c r="OI474" s="85"/>
      <c r="OJ474" s="85"/>
      <c r="OK474" s="85"/>
      <c r="OL474" s="85"/>
      <c r="OM474" s="85"/>
      <c r="ON474" s="85"/>
      <c r="OO474" s="85"/>
      <c r="OP474" s="85"/>
      <c r="OQ474" s="85"/>
      <c r="OR474" s="85"/>
      <c r="OS474" s="85"/>
      <c r="OT474" s="85"/>
      <c r="OU474" s="85"/>
      <c r="OV474" s="85"/>
      <c r="OW474" s="85"/>
      <c r="OX474" s="85"/>
      <c r="OY474" s="85"/>
      <c r="OZ474" s="85"/>
      <c r="PA474" s="85"/>
      <c r="PB474" s="85"/>
      <c r="PC474" s="85"/>
      <c r="PD474" s="85"/>
      <c r="PE474" s="85"/>
      <c r="PF474" s="85"/>
      <c r="PG474" s="85"/>
      <c r="PH474" s="85"/>
      <c r="PI474" s="85"/>
      <c r="PJ474" s="85"/>
      <c r="PK474" s="85"/>
      <c r="PL474" s="85"/>
      <c r="PM474" s="85"/>
      <c r="PN474" s="85"/>
      <c r="PO474" s="85"/>
      <c r="PP474" s="85"/>
      <c r="PQ474" s="85"/>
      <c r="PR474" s="85"/>
      <c r="PS474" s="85"/>
      <c r="PT474" s="85"/>
      <c r="PU474" s="85"/>
      <c r="PV474" s="85"/>
      <c r="PW474" s="85"/>
      <c r="PX474" s="85"/>
      <c r="PY474" s="85"/>
      <c r="PZ474" s="85"/>
      <c r="QA474" s="85"/>
      <c r="QB474" s="85"/>
      <c r="QC474" s="85"/>
      <c r="QD474" s="85"/>
      <c r="QE474" s="85"/>
      <c r="QF474" s="85"/>
      <c r="QG474" s="85"/>
      <c r="QH474" s="85"/>
      <c r="QI474" s="85"/>
      <c r="QJ474" s="85"/>
      <c r="QK474" s="85"/>
      <c r="QL474" s="85"/>
      <c r="QM474" s="85"/>
      <c r="QN474" s="85"/>
      <c r="QO474" s="85"/>
      <c r="QP474" s="85"/>
      <c r="QQ474" s="85"/>
      <c r="QR474" s="85"/>
      <c r="QS474" s="85"/>
      <c r="QT474" s="85"/>
      <c r="QU474" s="85"/>
      <c r="QV474" s="85"/>
      <c r="QW474" s="85"/>
      <c r="QX474" s="85"/>
      <c r="QY474" s="85"/>
      <c r="QZ474" s="85"/>
      <c r="RA474" s="85"/>
      <c r="RB474" s="85"/>
      <c r="RC474" s="85"/>
      <c r="RD474" s="85"/>
      <c r="RE474" s="85"/>
      <c r="RF474" s="85"/>
      <c r="RG474" s="85"/>
      <c r="RH474" s="85"/>
      <c r="RI474" s="85"/>
      <c r="RJ474" s="85"/>
      <c r="RK474" s="85"/>
      <c r="RL474" s="85"/>
      <c r="RM474" s="85"/>
      <c r="RN474" s="85"/>
      <c r="RO474" s="85"/>
      <c r="RP474" s="85"/>
      <c r="RQ474" s="85"/>
      <c r="RR474" s="85"/>
      <c r="RS474" s="85"/>
      <c r="RT474" s="85"/>
      <c r="RU474" s="85"/>
      <c r="RV474" s="85"/>
      <c r="RW474" s="85"/>
      <c r="RX474" s="85"/>
      <c r="RY474" s="85"/>
      <c r="RZ474" s="85"/>
      <c r="SA474" s="85"/>
      <c r="SB474" s="85"/>
      <c r="SC474" s="85"/>
      <c r="SD474" s="85"/>
      <c r="SE474" s="85"/>
      <c r="SF474" s="85"/>
      <c r="SG474" s="85"/>
      <c r="SH474" s="85"/>
      <c r="SI474" s="85"/>
      <c r="SJ474" s="85"/>
      <c r="SK474" s="85"/>
      <c r="SL474" s="85"/>
      <c r="SM474" s="85"/>
      <c r="SN474" s="85"/>
      <c r="SO474" s="85"/>
      <c r="SP474" s="85"/>
      <c r="SQ474" s="85"/>
      <c r="SR474" s="85"/>
      <c r="SS474" s="85"/>
      <c r="ST474" s="85"/>
      <c r="SU474" s="85"/>
      <c r="SV474" s="85"/>
      <c r="SW474" s="85"/>
      <c r="SX474" s="85"/>
      <c r="SY474" s="85"/>
      <c r="SZ474" s="85"/>
      <c r="TA474" s="85"/>
      <c r="TB474" s="85"/>
      <c r="TC474" s="85"/>
      <c r="TD474" s="85"/>
      <c r="TE474" s="85"/>
      <c r="TF474" s="85"/>
      <c r="TG474" s="85"/>
      <c r="TH474" s="85"/>
      <c r="TI474" s="85"/>
      <c r="TJ474" s="85"/>
      <c r="TK474" s="85"/>
      <c r="TL474" s="85"/>
    </row>
    <row r="475" spans="1:532" s="85" customFormat="1" ht="12.75" customHeight="1">
      <c r="A475" s="155" t="s">
        <v>342</v>
      </c>
      <c r="B475" s="156" t="s">
        <v>343</v>
      </c>
      <c r="C475" s="156" t="s">
        <v>344</v>
      </c>
      <c r="D475" s="124">
        <f>+[2]ordinario!C629</f>
        <v>1194580859.8800001</v>
      </c>
      <c r="E475" s="124">
        <v>1194580860</v>
      </c>
      <c r="F475" s="146"/>
      <c r="G475" s="138"/>
      <c r="H475" s="98"/>
      <c r="I475" s="140">
        <f>SUM(I476)</f>
        <v>548085810.53999996</v>
      </c>
      <c r="J475" s="140">
        <f>SUM(J476)</f>
        <v>0</v>
      </c>
      <c r="K475" s="140">
        <f>SUM(K476)</f>
        <v>548085810.53999996</v>
      </c>
      <c r="L475" s="140">
        <f>SUM(L476)</f>
        <v>0</v>
      </c>
      <c r="M475" s="140">
        <f>SUM(M476)</f>
        <v>0</v>
      </c>
      <c r="N475" s="140">
        <f>SUM(N476:N477)</f>
        <v>646495049.46000004</v>
      </c>
    </row>
    <row r="476" spans="1:532" s="85" customFormat="1" ht="12.75" customHeight="1">
      <c r="A476" s="122"/>
      <c r="B476" s="240"/>
      <c r="C476" s="124"/>
      <c r="D476" s="124"/>
      <c r="E476" s="124"/>
      <c r="F476" s="174" t="s">
        <v>245</v>
      </c>
      <c r="G476" s="157" t="s">
        <v>246</v>
      </c>
      <c r="H476" s="98" t="s">
        <v>81</v>
      </c>
      <c r="I476" s="125">
        <v>548085810.53999996</v>
      </c>
      <c r="J476" s="125"/>
      <c r="K476" s="125">
        <f>+I476</f>
        <v>548085810.53999996</v>
      </c>
      <c r="L476" s="125"/>
      <c r="M476" s="125"/>
      <c r="N476" s="125">
        <f>-I476+[2]ordinario!I633</f>
        <v>646495049.34000015</v>
      </c>
    </row>
    <row r="477" spans="1:532" s="85" customFormat="1" ht="12.75" customHeight="1">
      <c r="A477" s="122"/>
      <c r="B477" s="240"/>
      <c r="C477" s="124"/>
      <c r="D477" s="124"/>
      <c r="E477" s="124"/>
      <c r="F477" s="146" t="s">
        <v>277</v>
      </c>
      <c r="G477" s="157"/>
      <c r="H477" s="98"/>
      <c r="I477" s="125"/>
      <c r="J477" s="125"/>
      <c r="K477" s="125"/>
      <c r="L477" s="125"/>
      <c r="M477" s="125"/>
      <c r="N477" s="125">
        <f>+E475-D475</f>
        <v>0.11999988555908203</v>
      </c>
    </row>
    <row r="478" spans="1:532" s="135" customFormat="1" ht="12.75" customHeight="1">
      <c r="A478" s="111"/>
      <c r="B478" s="243"/>
      <c r="C478" s="112"/>
      <c r="D478" s="112"/>
      <c r="E478" s="112"/>
      <c r="F478" s="242"/>
      <c r="G478" s="113"/>
      <c r="H478" s="114"/>
      <c r="I478" s="115"/>
      <c r="J478" s="115"/>
      <c r="K478" s="115"/>
      <c r="L478" s="115"/>
      <c r="M478" s="115"/>
      <c r="N478" s="116"/>
      <c r="O478" s="85"/>
      <c r="P478" s="85"/>
      <c r="Q478" s="85"/>
      <c r="R478" s="85"/>
      <c r="S478" s="85"/>
      <c r="T478" s="85"/>
      <c r="U478" s="85"/>
      <c r="V478" s="85"/>
      <c r="W478" s="85"/>
      <c r="X478" s="85"/>
      <c r="Y478" s="85"/>
      <c r="Z478" s="85"/>
      <c r="AA478" s="85"/>
      <c r="AB478" s="85"/>
      <c r="AC478" s="85"/>
      <c r="AD478" s="85"/>
      <c r="AE478" s="85"/>
      <c r="AF478" s="85"/>
      <c r="AG478" s="85"/>
      <c r="AH478" s="85"/>
      <c r="AI478" s="85"/>
      <c r="AJ478" s="85"/>
      <c r="AK478" s="85"/>
      <c r="AL478" s="85"/>
      <c r="AM478" s="85"/>
      <c r="AN478" s="85"/>
      <c r="AO478" s="85"/>
      <c r="AP478" s="85"/>
      <c r="AQ478" s="85"/>
      <c r="AR478" s="85"/>
      <c r="AS478" s="85"/>
      <c r="AT478" s="85"/>
      <c r="AU478" s="85"/>
      <c r="AV478" s="85"/>
      <c r="AW478" s="85"/>
      <c r="AX478" s="85"/>
      <c r="AY478" s="85"/>
      <c r="AZ478" s="85"/>
      <c r="BA478" s="85"/>
      <c r="BB478" s="85"/>
      <c r="BC478" s="85"/>
      <c r="BD478" s="85"/>
      <c r="BE478" s="85"/>
      <c r="BF478" s="85"/>
      <c r="BG478" s="85"/>
      <c r="BH478" s="85"/>
      <c r="BI478" s="85"/>
      <c r="BJ478" s="85"/>
      <c r="BK478" s="85"/>
      <c r="BL478" s="85"/>
      <c r="BM478" s="85"/>
      <c r="BN478" s="85"/>
      <c r="BO478" s="85"/>
      <c r="BP478" s="85"/>
      <c r="BQ478" s="85"/>
      <c r="BR478" s="85"/>
      <c r="BS478" s="85"/>
      <c r="BT478" s="85"/>
      <c r="BU478" s="85"/>
      <c r="BV478" s="85"/>
      <c r="BW478" s="85"/>
      <c r="BX478" s="85"/>
      <c r="BY478" s="85"/>
      <c r="BZ478" s="85"/>
      <c r="CA478" s="85"/>
      <c r="CB478" s="85"/>
      <c r="CC478" s="85"/>
      <c r="CD478" s="85"/>
      <c r="CE478" s="85"/>
      <c r="CF478" s="85"/>
      <c r="CG478" s="85"/>
      <c r="CH478" s="85"/>
      <c r="CI478" s="85"/>
      <c r="CJ478" s="85"/>
      <c r="CK478" s="85"/>
      <c r="CL478" s="85"/>
      <c r="CM478" s="85"/>
      <c r="CN478" s="85"/>
      <c r="CO478" s="85"/>
      <c r="CP478" s="85"/>
      <c r="CQ478" s="85"/>
      <c r="CR478" s="85"/>
      <c r="CS478" s="85"/>
      <c r="CT478" s="85"/>
      <c r="CU478" s="85"/>
      <c r="CV478" s="85"/>
      <c r="CW478" s="85"/>
      <c r="CX478" s="85"/>
      <c r="CY478" s="85"/>
      <c r="CZ478" s="85"/>
      <c r="DA478" s="85"/>
      <c r="DB478" s="85"/>
      <c r="DC478" s="85"/>
      <c r="DD478" s="85"/>
      <c r="DE478" s="85"/>
      <c r="DF478" s="85"/>
      <c r="DG478" s="85"/>
      <c r="DH478" s="85"/>
      <c r="DI478" s="85"/>
      <c r="DJ478" s="85"/>
      <c r="DK478" s="85"/>
      <c r="DL478" s="85"/>
      <c r="DM478" s="85"/>
      <c r="DN478" s="85"/>
      <c r="DO478" s="85"/>
      <c r="DP478" s="85"/>
      <c r="DQ478" s="85"/>
      <c r="DR478" s="85"/>
      <c r="DS478" s="85"/>
      <c r="DT478" s="85"/>
      <c r="DU478" s="85"/>
      <c r="DV478" s="85"/>
      <c r="DW478" s="85"/>
      <c r="DX478" s="85"/>
      <c r="DY478" s="85"/>
      <c r="DZ478" s="85"/>
      <c r="EA478" s="85"/>
      <c r="EB478" s="85"/>
      <c r="EC478" s="85"/>
      <c r="ED478" s="85"/>
      <c r="EE478" s="85"/>
      <c r="EF478" s="85"/>
      <c r="EG478" s="85"/>
      <c r="EH478" s="85"/>
      <c r="EI478" s="85"/>
      <c r="EJ478" s="85"/>
      <c r="EK478" s="85"/>
      <c r="EL478" s="85"/>
      <c r="EM478" s="85"/>
      <c r="EN478" s="85"/>
      <c r="EO478" s="85"/>
      <c r="EP478" s="85"/>
      <c r="EQ478" s="85"/>
      <c r="ER478" s="85"/>
      <c r="ES478" s="85"/>
      <c r="ET478" s="85"/>
      <c r="EU478" s="85"/>
      <c r="EV478" s="85"/>
      <c r="EW478" s="85"/>
      <c r="EX478" s="85"/>
      <c r="EY478" s="85"/>
      <c r="EZ478" s="85"/>
      <c r="FA478" s="85"/>
      <c r="FB478" s="85"/>
      <c r="FC478" s="85"/>
      <c r="FD478" s="85"/>
      <c r="FE478" s="85"/>
      <c r="FF478" s="85"/>
      <c r="FG478" s="85"/>
      <c r="FH478" s="85"/>
      <c r="FI478" s="85"/>
      <c r="FJ478" s="85"/>
      <c r="FK478" s="85"/>
      <c r="FL478" s="85"/>
      <c r="FM478" s="85"/>
      <c r="FN478" s="85"/>
      <c r="FO478" s="85"/>
      <c r="FP478" s="85"/>
      <c r="FQ478" s="85"/>
      <c r="FR478" s="85"/>
      <c r="FS478" s="85"/>
      <c r="FT478" s="85"/>
      <c r="FU478" s="85"/>
      <c r="FV478" s="85"/>
      <c r="FW478" s="85"/>
      <c r="FX478" s="85"/>
      <c r="FY478" s="85"/>
      <c r="FZ478" s="85"/>
      <c r="GA478" s="85"/>
      <c r="GB478" s="85"/>
      <c r="GC478" s="85"/>
      <c r="GD478" s="85"/>
      <c r="GE478" s="85"/>
      <c r="GF478" s="85"/>
      <c r="GG478" s="85"/>
      <c r="GH478" s="85"/>
      <c r="GI478" s="85"/>
      <c r="GJ478" s="85"/>
      <c r="GK478" s="85"/>
      <c r="GL478" s="85"/>
      <c r="GM478" s="85"/>
      <c r="GN478" s="85"/>
      <c r="GO478" s="85"/>
      <c r="GP478" s="85"/>
      <c r="GQ478" s="85"/>
      <c r="GR478" s="85"/>
      <c r="GS478" s="85"/>
      <c r="GT478" s="85"/>
      <c r="GU478" s="85"/>
      <c r="GV478" s="85"/>
      <c r="GW478" s="85"/>
      <c r="GX478" s="85"/>
      <c r="GY478" s="85"/>
      <c r="GZ478" s="85"/>
      <c r="HA478" s="85"/>
      <c r="HB478" s="85"/>
      <c r="HC478" s="85"/>
      <c r="HD478" s="85"/>
      <c r="HE478" s="85"/>
      <c r="HF478" s="85"/>
      <c r="HG478" s="85"/>
      <c r="HH478" s="85"/>
      <c r="HI478" s="85"/>
      <c r="HJ478" s="85"/>
      <c r="HK478" s="85"/>
      <c r="HL478" s="85"/>
      <c r="HM478" s="85"/>
      <c r="HN478" s="85"/>
      <c r="HO478" s="85"/>
      <c r="HP478" s="85"/>
      <c r="HQ478" s="85"/>
      <c r="HR478" s="85"/>
      <c r="HS478" s="85"/>
      <c r="HT478" s="85"/>
      <c r="HU478" s="85"/>
      <c r="HV478" s="85"/>
      <c r="HW478" s="85"/>
      <c r="HX478" s="85"/>
      <c r="HY478" s="85"/>
      <c r="HZ478" s="85"/>
      <c r="IA478" s="85"/>
      <c r="IB478" s="85"/>
      <c r="IC478" s="85"/>
      <c r="ID478" s="85"/>
      <c r="IE478" s="85"/>
      <c r="IF478" s="85"/>
      <c r="IG478" s="85"/>
      <c r="IH478" s="85"/>
      <c r="II478" s="85"/>
      <c r="IJ478" s="85"/>
      <c r="IK478" s="85"/>
      <c r="IL478" s="85"/>
      <c r="IM478" s="85"/>
      <c r="IN478" s="85"/>
      <c r="IO478" s="85"/>
      <c r="IP478" s="85"/>
      <c r="IQ478" s="85"/>
      <c r="IR478" s="85"/>
      <c r="IS478" s="85"/>
      <c r="IT478" s="85"/>
      <c r="IU478" s="85"/>
      <c r="IV478" s="85"/>
      <c r="IW478" s="85"/>
      <c r="IX478" s="85"/>
      <c r="IY478" s="85"/>
      <c r="IZ478" s="85"/>
      <c r="JA478" s="85"/>
      <c r="JB478" s="85"/>
      <c r="JC478" s="85"/>
      <c r="JD478" s="85"/>
      <c r="JE478" s="85"/>
      <c r="JF478" s="85"/>
      <c r="JG478" s="85"/>
      <c r="JH478" s="85"/>
      <c r="JI478" s="85"/>
      <c r="JJ478" s="85"/>
      <c r="JK478" s="85"/>
      <c r="JL478" s="85"/>
      <c r="JM478" s="85"/>
      <c r="JN478" s="85"/>
      <c r="JO478" s="85"/>
      <c r="JP478" s="85"/>
      <c r="JQ478" s="85"/>
      <c r="JR478" s="85"/>
      <c r="JS478" s="85"/>
      <c r="JT478" s="85"/>
      <c r="JU478" s="85"/>
      <c r="JV478" s="85"/>
      <c r="JW478" s="85"/>
      <c r="JX478" s="85"/>
      <c r="JY478" s="85"/>
      <c r="JZ478" s="85"/>
      <c r="KA478" s="85"/>
      <c r="KB478" s="85"/>
      <c r="KC478" s="85"/>
      <c r="KD478" s="85"/>
      <c r="KE478" s="85"/>
      <c r="KF478" s="85"/>
      <c r="KG478" s="85"/>
      <c r="KH478" s="85"/>
      <c r="KI478" s="85"/>
      <c r="KJ478" s="85"/>
      <c r="KK478" s="85"/>
      <c r="KL478" s="85"/>
      <c r="KM478" s="85"/>
      <c r="KN478" s="85"/>
      <c r="KO478" s="85"/>
      <c r="KP478" s="85"/>
      <c r="KQ478" s="85"/>
      <c r="KR478" s="85"/>
      <c r="KS478" s="85"/>
      <c r="KT478" s="85"/>
      <c r="KU478" s="85"/>
      <c r="KV478" s="85"/>
      <c r="KW478" s="85"/>
      <c r="KX478" s="85"/>
      <c r="KY478" s="85"/>
      <c r="KZ478" s="85"/>
      <c r="LA478" s="85"/>
      <c r="LB478" s="85"/>
      <c r="LC478" s="85"/>
      <c r="LD478" s="85"/>
      <c r="LE478" s="85"/>
      <c r="LF478" s="85"/>
      <c r="LG478" s="85"/>
      <c r="LH478" s="85"/>
      <c r="LI478" s="85"/>
      <c r="LJ478" s="85"/>
      <c r="LK478" s="85"/>
      <c r="LL478" s="85"/>
      <c r="LM478" s="85"/>
      <c r="LN478" s="85"/>
      <c r="LO478" s="85"/>
      <c r="LP478" s="85"/>
      <c r="LQ478" s="85"/>
      <c r="LR478" s="85"/>
      <c r="LS478" s="85"/>
      <c r="LT478" s="85"/>
      <c r="LU478" s="85"/>
      <c r="LV478" s="85"/>
      <c r="LW478" s="85"/>
      <c r="LX478" s="85"/>
      <c r="LY478" s="85"/>
      <c r="LZ478" s="85"/>
      <c r="MA478" s="85"/>
      <c r="MB478" s="85"/>
      <c r="MC478" s="85"/>
      <c r="MD478" s="85"/>
      <c r="ME478" s="85"/>
      <c r="MF478" s="85"/>
      <c r="MG478" s="85"/>
      <c r="MH478" s="85"/>
      <c r="MI478" s="85"/>
      <c r="MJ478" s="85"/>
      <c r="MK478" s="85"/>
      <c r="ML478" s="85"/>
      <c r="MM478" s="85"/>
      <c r="MN478" s="85"/>
      <c r="MO478" s="85"/>
      <c r="MP478" s="85"/>
      <c r="MQ478" s="85"/>
      <c r="MR478" s="85"/>
      <c r="MS478" s="85"/>
      <c r="MT478" s="85"/>
      <c r="MU478" s="85"/>
      <c r="MV478" s="85"/>
      <c r="MW478" s="85"/>
      <c r="MX478" s="85"/>
      <c r="MY478" s="85"/>
      <c r="MZ478" s="85"/>
      <c r="NA478" s="85"/>
      <c r="NB478" s="85"/>
      <c r="NC478" s="85"/>
      <c r="ND478" s="85"/>
      <c r="NE478" s="85"/>
      <c r="NF478" s="85"/>
      <c r="NG478" s="85"/>
      <c r="NH478" s="85"/>
      <c r="NI478" s="85"/>
      <c r="NJ478" s="85"/>
      <c r="NK478" s="85"/>
      <c r="NL478" s="85"/>
      <c r="NM478" s="85"/>
      <c r="NN478" s="85"/>
      <c r="NO478" s="85"/>
      <c r="NP478" s="85"/>
      <c r="NQ478" s="85"/>
      <c r="NR478" s="85"/>
      <c r="NS478" s="85"/>
      <c r="NT478" s="85"/>
      <c r="NU478" s="85"/>
      <c r="NV478" s="85"/>
      <c r="NW478" s="85"/>
      <c r="NX478" s="85"/>
      <c r="NY478" s="85"/>
      <c r="NZ478" s="85"/>
      <c r="OA478" s="85"/>
      <c r="OB478" s="85"/>
      <c r="OC478" s="85"/>
      <c r="OD478" s="85"/>
      <c r="OE478" s="85"/>
      <c r="OF478" s="85"/>
      <c r="OG478" s="85"/>
      <c r="OH478" s="85"/>
      <c r="OI478" s="85"/>
      <c r="OJ478" s="85"/>
      <c r="OK478" s="85"/>
      <c r="OL478" s="85"/>
      <c r="OM478" s="85"/>
      <c r="ON478" s="85"/>
      <c r="OO478" s="85"/>
      <c r="OP478" s="85"/>
      <c r="OQ478" s="85"/>
      <c r="OR478" s="85"/>
      <c r="OS478" s="85"/>
      <c r="OT478" s="85"/>
      <c r="OU478" s="85"/>
      <c r="OV478" s="85"/>
      <c r="OW478" s="85"/>
      <c r="OX478" s="85"/>
      <c r="OY478" s="85"/>
      <c r="OZ478" s="85"/>
      <c r="PA478" s="85"/>
      <c r="PB478" s="85"/>
      <c r="PC478" s="85"/>
      <c r="PD478" s="85"/>
      <c r="PE478" s="85"/>
      <c r="PF478" s="85"/>
      <c r="PG478" s="85"/>
      <c r="PH478" s="85"/>
      <c r="PI478" s="85"/>
      <c r="PJ478" s="85"/>
      <c r="PK478" s="85"/>
      <c r="PL478" s="85"/>
      <c r="PM478" s="85"/>
      <c r="PN478" s="85"/>
      <c r="PO478" s="85"/>
      <c r="PP478" s="85"/>
      <c r="PQ478" s="85"/>
      <c r="PR478" s="85"/>
      <c r="PS478" s="85"/>
      <c r="PT478" s="85"/>
      <c r="PU478" s="85"/>
      <c r="PV478" s="85"/>
      <c r="PW478" s="85"/>
      <c r="PX478" s="85"/>
      <c r="PY478" s="85"/>
      <c r="PZ478" s="85"/>
      <c r="QA478" s="85"/>
      <c r="QB478" s="85"/>
      <c r="QC478" s="85"/>
      <c r="QD478" s="85"/>
      <c r="QE478" s="85"/>
      <c r="QF478" s="85"/>
      <c r="QG478" s="85"/>
      <c r="QH478" s="85"/>
      <c r="QI478" s="85"/>
      <c r="QJ478" s="85"/>
      <c r="QK478" s="85"/>
      <c r="QL478" s="85"/>
      <c r="QM478" s="85"/>
      <c r="QN478" s="85"/>
      <c r="QO478" s="85"/>
      <c r="QP478" s="85"/>
      <c r="QQ478" s="85"/>
      <c r="QR478" s="85"/>
      <c r="QS478" s="85"/>
      <c r="QT478" s="85"/>
      <c r="QU478" s="85"/>
      <c r="QV478" s="85"/>
      <c r="QW478" s="85"/>
      <c r="QX478" s="85"/>
      <c r="QY478" s="85"/>
      <c r="QZ478" s="85"/>
      <c r="RA478" s="85"/>
      <c r="RB478" s="85"/>
      <c r="RC478" s="85"/>
      <c r="RD478" s="85"/>
      <c r="RE478" s="85"/>
      <c r="RF478" s="85"/>
      <c r="RG478" s="85"/>
      <c r="RH478" s="85"/>
      <c r="RI478" s="85"/>
      <c r="RJ478" s="85"/>
      <c r="RK478" s="85"/>
      <c r="RL478" s="85"/>
      <c r="RM478" s="85"/>
      <c r="RN478" s="85"/>
      <c r="RO478" s="85"/>
      <c r="RP478" s="85"/>
      <c r="RQ478" s="85"/>
      <c r="RR478" s="85"/>
      <c r="RS478" s="85"/>
      <c r="RT478" s="85"/>
      <c r="RU478" s="85"/>
      <c r="RV478" s="85"/>
      <c r="RW478" s="85"/>
      <c r="RX478" s="85"/>
      <c r="RY478" s="85"/>
      <c r="RZ478" s="85"/>
      <c r="SA478" s="85"/>
      <c r="SB478" s="85"/>
      <c r="SC478" s="85"/>
      <c r="SD478" s="85"/>
      <c r="SE478" s="85"/>
      <c r="SF478" s="85"/>
      <c r="SG478" s="85"/>
      <c r="SH478" s="85"/>
      <c r="SI478" s="85"/>
      <c r="SJ478" s="85"/>
      <c r="SK478" s="85"/>
      <c r="SL478" s="85"/>
      <c r="SM478" s="85"/>
      <c r="SN478" s="85"/>
      <c r="SO478" s="85"/>
      <c r="SP478" s="85"/>
      <c r="SQ478" s="85"/>
      <c r="SR478" s="85"/>
      <c r="SS478" s="85"/>
      <c r="ST478" s="85"/>
      <c r="SU478" s="85"/>
      <c r="SV478" s="85"/>
      <c r="SW478" s="85"/>
      <c r="SX478" s="85"/>
      <c r="SY478" s="85"/>
      <c r="SZ478" s="85"/>
      <c r="TA478" s="85"/>
      <c r="TB478" s="85"/>
      <c r="TC478" s="85"/>
      <c r="TD478" s="85"/>
      <c r="TE478" s="85"/>
      <c r="TF478" s="85"/>
      <c r="TG478" s="85"/>
      <c r="TH478" s="85"/>
      <c r="TI478" s="85"/>
      <c r="TJ478" s="85"/>
      <c r="TK478" s="85"/>
      <c r="TL478" s="85"/>
    </row>
    <row r="479" spans="1:532" s="85" customFormat="1" ht="12.75" customHeight="1">
      <c r="A479" s="122" t="s">
        <v>345</v>
      </c>
      <c r="B479" s="156" t="s">
        <v>346</v>
      </c>
      <c r="C479" s="156" t="s">
        <v>347</v>
      </c>
      <c r="D479" s="143">
        <f>+[2]ordinario!C639</f>
        <v>500000000</v>
      </c>
      <c r="E479" s="143">
        <v>158333333.33000001</v>
      </c>
      <c r="F479" s="146"/>
      <c r="G479" s="138"/>
      <c r="H479" s="98"/>
      <c r="I479" s="140">
        <f>SUM(I480:I491)</f>
        <v>372943989.83999991</v>
      </c>
      <c r="J479" s="140">
        <f>SUM(J480:J491)</f>
        <v>215547382.03999999</v>
      </c>
      <c r="K479" s="140">
        <f>SUM(K480:K491)</f>
        <v>109586408.75</v>
      </c>
      <c r="L479" s="140">
        <f>SUM(L480:L491)</f>
        <v>47810199.049999997</v>
      </c>
      <c r="M479" s="140">
        <f>SUM(M480:M485)</f>
        <v>0</v>
      </c>
      <c r="N479" s="140">
        <f>SUM(N480:N492)</f>
        <v>-214610656.50999987</v>
      </c>
    </row>
    <row r="480" spans="1:532" s="85" customFormat="1" ht="12.75" customHeight="1">
      <c r="A480" s="122"/>
      <c r="B480" s="240"/>
      <c r="C480" s="124"/>
      <c r="D480" s="143"/>
      <c r="E480" s="143"/>
      <c r="F480" s="146" t="s">
        <v>172</v>
      </c>
      <c r="G480" s="138" t="s">
        <v>348</v>
      </c>
      <c r="H480" s="98" t="s">
        <v>84</v>
      </c>
      <c r="I480" s="125"/>
      <c r="J480" s="125"/>
      <c r="K480" s="125"/>
      <c r="L480" s="125">
        <f>+I480</f>
        <v>0</v>
      </c>
      <c r="M480" s="125"/>
      <c r="N480" s="125"/>
    </row>
    <row r="481" spans="1:532" s="85" customFormat="1" ht="12.75" customHeight="1">
      <c r="A481" s="122"/>
      <c r="B481" s="240"/>
      <c r="C481" s="124"/>
      <c r="D481" s="143"/>
      <c r="E481" s="143"/>
      <c r="F481" s="146"/>
      <c r="G481" s="138"/>
      <c r="H481" s="98"/>
      <c r="I481" s="125"/>
      <c r="J481" s="125"/>
      <c r="K481" s="125"/>
      <c r="L481" s="125"/>
      <c r="M481" s="125"/>
      <c r="N481" s="125"/>
    </row>
    <row r="482" spans="1:532" s="85" customFormat="1" ht="12.75" customHeight="1">
      <c r="A482" s="122"/>
      <c r="B482" s="240"/>
      <c r="C482" s="124"/>
      <c r="D482" s="124"/>
      <c r="E482" s="124"/>
      <c r="F482" s="146" t="s">
        <v>188</v>
      </c>
      <c r="G482" s="138" t="s">
        <v>349</v>
      </c>
      <c r="H482" s="98" t="s">
        <v>80</v>
      </c>
      <c r="I482" s="125">
        <v>215547382.03999999</v>
      </c>
      <c r="J482" s="125">
        <f>+I482</f>
        <v>215547382.03999999</v>
      </c>
      <c r="K482" s="125"/>
      <c r="L482" s="125"/>
      <c r="M482" s="125"/>
      <c r="N482" s="148">
        <f>-'3_Detalle Origen y Aplicación'!I482+[2]ordinario!I642+8000000-4363584.58</f>
        <v>1.3038516044616699E-8</v>
      </c>
    </row>
    <row r="483" spans="1:532" s="85" customFormat="1" ht="12.75" customHeight="1">
      <c r="A483" s="122"/>
      <c r="B483" s="240"/>
      <c r="C483" s="124"/>
      <c r="D483" s="124"/>
      <c r="E483" s="124"/>
      <c r="F483" s="146"/>
      <c r="G483" s="138"/>
      <c r="H483" s="98" t="s">
        <v>84</v>
      </c>
      <c r="I483" s="125">
        <v>47810199.049999997</v>
      </c>
      <c r="J483" s="125"/>
      <c r="K483" s="125"/>
      <c r="L483" s="125">
        <f>+I483</f>
        <v>47810199.049999997</v>
      </c>
      <c r="M483" s="125"/>
      <c r="N483" s="148">
        <f>-'3_Detalle Origen y Aplicación'!I483+[2]ordinario!I643-8000000-817481.2</f>
        <v>3.0267983675003052E-9</v>
      </c>
    </row>
    <row r="484" spans="1:532" s="85" customFormat="1" ht="12.75" customHeight="1">
      <c r="A484" s="122"/>
      <c r="B484" s="240"/>
      <c r="C484" s="124"/>
      <c r="D484" s="124"/>
      <c r="E484" s="124"/>
      <c r="F484" s="146"/>
      <c r="G484" s="138"/>
      <c r="H484" s="98"/>
      <c r="I484" s="125"/>
      <c r="J484" s="125"/>
      <c r="K484" s="125"/>
      <c r="L484" s="125"/>
      <c r="M484" s="125"/>
      <c r="N484" s="148"/>
    </row>
    <row r="485" spans="1:532" s="85" customFormat="1" ht="12.75" customHeight="1">
      <c r="A485" s="122"/>
      <c r="B485" s="240"/>
      <c r="C485" s="124"/>
      <c r="D485" s="124"/>
      <c r="E485" s="124"/>
      <c r="F485" s="124" t="s">
        <v>350</v>
      </c>
      <c r="G485" s="263" t="s">
        <v>693</v>
      </c>
      <c r="H485" s="98" t="s">
        <v>81</v>
      </c>
      <c r="I485" s="125">
        <v>16507094.57</v>
      </c>
      <c r="J485" s="125"/>
      <c r="K485" s="125">
        <f>+I485</f>
        <v>16507094.57</v>
      </c>
      <c r="L485" s="125"/>
      <c r="M485" s="125"/>
      <c r="N485" s="125">
        <f>-I485+[2]ordinario!I647-10492905.43</f>
        <v>0</v>
      </c>
    </row>
    <row r="486" spans="1:532" s="85" customFormat="1" ht="12.75" customHeight="1">
      <c r="A486" s="122"/>
      <c r="B486" s="240"/>
      <c r="C486" s="124"/>
      <c r="D486" s="124"/>
      <c r="E486" s="124"/>
      <c r="F486" s="124"/>
      <c r="G486" s="86"/>
      <c r="H486" s="98"/>
      <c r="I486" s="125"/>
      <c r="J486" s="125"/>
      <c r="K486" s="125"/>
      <c r="L486" s="125"/>
      <c r="M486" s="125"/>
      <c r="N486" s="125"/>
    </row>
    <row r="487" spans="1:532" s="85" customFormat="1" ht="12.75" customHeight="1">
      <c r="A487" s="122"/>
      <c r="B487" s="240"/>
      <c r="C487" s="124"/>
      <c r="D487" s="124"/>
      <c r="E487" s="124"/>
      <c r="F487" s="124" t="s">
        <v>352</v>
      </c>
      <c r="G487" s="263" t="s">
        <v>692</v>
      </c>
      <c r="H487" s="98" t="s">
        <v>81</v>
      </c>
      <c r="I487" s="125">
        <v>0</v>
      </c>
      <c r="J487" s="125"/>
      <c r="K487" s="125">
        <f>+I487</f>
        <v>0</v>
      </c>
      <c r="L487" s="125"/>
      <c r="M487" s="125"/>
      <c r="N487" s="125">
        <f>-I487+[2]ordinario!I649-64961353.13</f>
        <v>0</v>
      </c>
    </row>
    <row r="488" spans="1:532" s="85" customFormat="1" ht="12.5" customHeight="1">
      <c r="A488" s="122"/>
      <c r="B488" s="240"/>
      <c r="C488" s="124"/>
      <c r="D488" s="124"/>
      <c r="E488" s="124"/>
      <c r="F488" s="124"/>
      <c r="G488" s="86"/>
      <c r="H488" s="98"/>
      <c r="I488" s="125"/>
      <c r="J488" s="125"/>
      <c r="K488" s="125"/>
      <c r="L488" s="125"/>
      <c r="M488" s="125"/>
      <c r="N488" s="125"/>
    </row>
    <row r="489" spans="1:532" s="168" customFormat="1" ht="12.5" customHeight="1">
      <c r="A489" s="164"/>
      <c r="B489" s="239"/>
      <c r="C489" s="165"/>
      <c r="D489" s="165"/>
      <c r="E489" s="165"/>
      <c r="F489" s="165" t="s">
        <v>391</v>
      </c>
      <c r="G489" s="264" t="s">
        <v>691</v>
      </c>
      <c r="H489" s="167" t="s">
        <v>81</v>
      </c>
      <c r="I489" s="94">
        <f>55459855.23-46253163.02</f>
        <v>9206692.2099999934</v>
      </c>
      <c r="J489" s="94"/>
      <c r="K489" s="94">
        <f>+I489</f>
        <v>9206692.2099999934</v>
      </c>
      <c r="L489" s="94"/>
      <c r="M489" s="94"/>
      <c r="N489" s="94">
        <v>0</v>
      </c>
    </row>
    <row r="490" spans="1:532" s="85" customFormat="1" ht="12.75" customHeight="1">
      <c r="A490" s="122"/>
      <c r="B490" s="240"/>
      <c r="C490" s="124"/>
      <c r="D490" s="124"/>
      <c r="E490" s="124"/>
      <c r="F490" s="124"/>
      <c r="G490" s="86"/>
      <c r="H490" s="98"/>
      <c r="I490" s="125"/>
      <c r="J490" s="125"/>
      <c r="K490" s="125"/>
      <c r="L490" s="125"/>
      <c r="M490" s="125"/>
      <c r="N490" s="125"/>
    </row>
    <row r="491" spans="1:532" s="85" customFormat="1" ht="12.75" customHeight="1">
      <c r="A491" s="122"/>
      <c r="B491" s="240"/>
      <c r="C491" s="124"/>
      <c r="D491" s="124"/>
      <c r="E491" s="124"/>
      <c r="F491" s="124" t="s">
        <v>351</v>
      </c>
      <c r="G491" s="263" t="s">
        <v>690</v>
      </c>
      <c r="H491" s="98" t="s">
        <v>81</v>
      </c>
      <c r="I491" s="125">
        <v>83872621.969999999</v>
      </c>
      <c r="J491" s="125"/>
      <c r="K491" s="125">
        <f>+I491</f>
        <v>83872621.969999999</v>
      </c>
      <c r="L491" s="125"/>
      <c r="M491" s="125"/>
      <c r="N491" s="125">
        <f>-I491+[2]ordinario!I653-127378.03</f>
        <v>1.1932570487260818E-9</v>
      </c>
    </row>
    <row r="492" spans="1:532" s="85" customFormat="1" ht="12.75" customHeight="1">
      <c r="A492" s="122"/>
      <c r="B492" s="240"/>
      <c r="C492" s="124"/>
      <c r="D492" s="124"/>
      <c r="E492" s="124"/>
      <c r="F492" s="124"/>
      <c r="G492" s="138"/>
      <c r="H492" s="98"/>
      <c r="I492" s="125"/>
      <c r="J492" s="125"/>
      <c r="K492" s="125"/>
      <c r="L492" s="125"/>
      <c r="M492" s="125"/>
      <c r="N492" s="125">
        <f>-+I479+E479</f>
        <v>-214610656.5099999</v>
      </c>
    </row>
    <row r="493" spans="1:532" s="135" customFormat="1" ht="12.75" customHeight="1">
      <c r="A493" s="111"/>
      <c r="B493" s="243"/>
      <c r="C493" s="112"/>
      <c r="D493" s="112"/>
      <c r="E493" s="112"/>
      <c r="F493" s="242"/>
      <c r="G493" s="113"/>
      <c r="H493" s="114"/>
      <c r="I493" s="115"/>
      <c r="J493" s="115"/>
      <c r="K493" s="115"/>
      <c r="L493" s="115"/>
      <c r="M493" s="115"/>
      <c r="N493" s="116"/>
      <c r="O493" s="85"/>
      <c r="P493" s="85"/>
      <c r="Q493" s="85"/>
      <c r="R493" s="85"/>
      <c r="S493" s="85"/>
      <c r="T493" s="85"/>
      <c r="U493" s="85"/>
      <c r="V493" s="85"/>
      <c r="W493" s="85"/>
      <c r="X493" s="85"/>
      <c r="Y493" s="85"/>
      <c r="Z493" s="85"/>
      <c r="AA493" s="85"/>
      <c r="AB493" s="85"/>
      <c r="AC493" s="85"/>
      <c r="AD493" s="85"/>
      <c r="AE493" s="85"/>
      <c r="AF493" s="85"/>
      <c r="AG493" s="85"/>
      <c r="AH493" s="85"/>
      <c r="AI493" s="85"/>
      <c r="AJ493" s="85"/>
      <c r="AK493" s="85"/>
      <c r="AL493" s="85"/>
      <c r="AM493" s="85"/>
      <c r="AN493" s="85"/>
      <c r="AO493" s="85"/>
      <c r="AP493" s="85"/>
      <c r="AQ493" s="85"/>
      <c r="AR493" s="85"/>
      <c r="AS493" s="85"/>
      <c r="AT493" s="85"/>
      <c r="AU493" s="85"/>
      <c r="AV493" s="85"/>
      <c r="AW493" s="85"/>
      <c r="AX493" s="85"/>
      <c r="AY493" s="85"/>
      <c r="AZ493" s="85"/>
      <c r="BA493" s="85"/>
      <c r="BB493" s="85"/>
      <c r="BC493" s="85"/>
      <c r="BD493" s="85"/>
      <c r="BE493" s="85"/>
      <c r="BF493" s="85"/>
      <c r="BG493" s="85"/>
      <c r="BH493" s="85"/>
      <c r="BI493" s="85"/>
      <c r="BJ493" s="85"/>
      <c r="BK493" s="85"/>
      <c r="BL493" s="85"/>
      <c r="BM493" s="85"/>
      <c r="BN493" s="85"/>
      <c r="BO493" s="85"/>
      <c r="BP493" s="85"/>
      <c r="BQ493" s="85"/>
      <c r="BR493" s="85"/>
      <c r="BS493" s="85"/>
      <c r="BT493" s="85"/>
      <c r="BU493" s="85"/>
      <c r="BV493" s="85"/>
      <c r="BW493" s="85"/>
      <c r="BX493" s="85"/>
      <c r="BY493" s="85"/>
      <c r="BZ493" s="85"/>
      <c r="CA493" s="85"/>
      <c r="CB493" s="85"/>
      <c r="CC493" s="85"/>
      <c r="CD493" s="85"/>
      <c r="CE493" s="85"/>
      <c r="CF493" s="85"/>
      <c r="CG493" s="85"/>
      <c r="CH493" s="85"/>
      <c r="CI493" s="85"/>
      <c r="CJ493" s="85"/>
      <c r="CK493" s="85"/>
      <c r="CL493" s="85"/>
      <c r="CM493" s="85"/>
      <c r="CN493" s="85"/>
      <c r="CO493" s="85"/>
      <c r="CP493" s="85"/>
      <c r="CQ493" s="85"/>
      <c r="CR493" s="85"/>
      <c r="CS493" s="85"/>
      <c r="CT493" s="85"/>
      <c r="CU493" s="85"/>
      <c r="CV493" s="85"/>
      <c r="CW493" s="85"/>
      <c r="CX493" s="85"/>
      <c r="CY493" s="85"/>
      <c r="CZ493" s="85"/>
      <c r="DA493" s="85"/>
      <c r="DB493" s="85"/>
      <c r="DC493" s="85"/>
      <c r="DD493" s="85"/>
      <c r="DE493" s="85"/>
      <c r="DF493" s="85"/>
      <c r="DG493" s="85"/>
      <c r="DH493" s="85"/>
      <c r="DI493" s="85"/>
      <c r="DJ493" s="85"/>
      <c r="DK493" s="85"/>
      <c r="DL493" s="85"/>
      <c r="DM493" s="85"/>
      <c r="DN493" s="85"/>
      <c r="DO493" s="85"/>
      <c r="DP493" s="85"/>
      <c r="DQ493" s="85"/>
      <c r="DR493" s="85"/>
      <c r="DS493" s="85"/>
      <c r="DT493" s="85"/>
      <c r="DU493" s="85"/>
      <c r="DV493" s="85"/>
      <c r="DW493" s="85"/>
      <c r="DX493" s="85"/>
      <c r="DY493" s="85"/>
      <c r="DZ493" s="85"/>
      <c r="EA493" s="85"/>
      <c r="EB493" s="85"/>
      <c r="EC493" s="85"/>
      <c r="ED493" s="85"/>
      <c r="EE493" s="85"/>
      <c r="EF493" s="85"/>
      <c r="EG493" s="85"/>
      <c r="EH493" s="85"/>
      <c r="EI493" s="85"/>
      <c r="EJ493" s="85"/>
      <c r="EK493" s="85"/>
      <c r="EL493" s="85"/>
      <c r="EM493" s="85"/>
      <c r="EN493" s="85"/>
      <c r="EO493" s="85"/>
      <c r="EP493" s="85"/>
      <c r="EQ493" s="85"/>
      <c r="ER493" s="85"/>
      <c r="ES493" s="85"/>
      <c r="ET493" s="85"/>
      <c r="EU493" s="85"/>
      <c r="EV493" s="85"/>
      <c r="EW493" s="85"/>
      <c r="EX493" s="85"/>
      <c r="EY493" s="85"/>
      <c r="EZ493" s="85"/>
      <c r="FA493" s="85"/>
      <c r="FB493" s="85"/>
      <c r="FC493" s="85"/>
      <c r="FD493" s="85"/>
      <c r="FE493" s="85"/>
      <c r="FF493" s="85"/>
      <c r="FG493" s="85"/>
      <c r="FH493" s="85"/>
      <c r="FI493" s="85"/>
      <c r="FJ493" s="85"/>
      <c r="FK493" s="85"/>
      <c r="FL493" s="85"/>
      <c r="FM493" s="85"/>
      <c r="FN493" s="85"/>
      <c r="FO493" s="85"/>
      <c r="FP493" s="85"/>
      <c r="FQ493" s="85"/>
      <c r="FR493" s="85"/>
      <c r="FS493" s="85"/>
      <c r="FT493" s="85"/>
      <c r="FU493" s="85"/>
      <c r="FV493" s="85"/>
      <c r="FW493" s="85"/>
      <c r="FX493" s="85"/>
      <c r="FY493" s="85"/>
      <c r="FZ493" s="85"/>
      <c r="GA493" s="85"/>
      <c r="GB493" s="85"/>
      <c r="GC493" s="85"/>
      <c r="GD493" s="85"/>
      <c r="GE493" s="85"/>
      <c r="GF493" s="85"/>
      <c r="GG493" s="85"/>
      <c r="GH493" s="85"/>
      <c r="GI493" s="85"/>
      <c r="GJ493" s="85"/>
      <c r="GK493" s="85"/>
      <c r="GL493" s="85"/>
      <c r="GM493" s="85"/>
      <c r="GN493" s="85"/>
      <c r="GO493" s="85"/>
      <c r="GP493" s="85"/>
      <c r="GQ493" s="85"/>
      <c r="GR493" s="85"/>
      <c r="GS493" s="85"/>
      <c r="GT493" s="85"/>
      <c r="GU493" s="85"/>
      <c r="GV493" s="85"/>
      <c r="GW493" s="85"/>
      <c r="GX493" s="85"/>
      <c r="GY493" s="85"/>
      <c r="GZ493" s="85"/>
      <c r="HA493" s="85"/>
      <c r="HB493" s="85"/>
      <c r="HC493" s="85"/>
      <c r="HD493" s="85"/>
      <c r="HE493" s="85"/>
      <c r="HF493" s="85"/>
      <c r="HG493" s="85"/>
      <c r="HH493" s="85"/>
      <c r="HI493" s="85"/>
      <c r="HJ493" s="85"/>
      <c r="HK493" s="85"/>
      <c r="HL493" s="85"/>
      <c r="HM493" s="85"/>
      <c r="HN493" s="85"/>
      <c r="HO493" s="85"/>
      <c r="HP493" s="85"/>
      <c r="HQ493" s="85"/>
      <c r="HR493" s="85"/>
      <c r="HS493" s="85"/>
      <c r="HT493" s="85"/>
      <c r="HU493" s="85"/>
      <c r="HV493" s="85"/>
      <c r="HW493" s="85"/>
      <c r="HX493" s="85"/>
      <c r="HY493" s="85"/>
      <c r="HZ493" s="85"/>
      <c r="IA493" s="85"/>
      <c r="IB493" s="85"/>
      <c r="IC493" s="85"/>
      <c r="ID493" s="85"/>
      <c r="IE493" s="85"/>
      <c r="IF493" s="85"/>
      <c r="IG493" s="85"/>
      <c r="IH493" s="85"/>
      <c r="II493" s="85"/>
      <c r="IJ493" s="85"/>
      <c r="IK493" s="85"/>
      <c r="IL493" s="85"/>
      <c r="IM493" s="85"/>
      <c r="IN493" s="85"/>
      <c r="IO493" s="85"/>
      <c r="IP493" s="85"/>
      <c r="IQ493" s="85"/>
      <c r="IR493" s="85"/>
      <c r="IS493" s="85"/>
      <c r="IT493" s="85"/>
      <c r="IU493" s="85"/>
      <c r="IV493" s="85"/>
      <c r="IW493" s="85"/>
      <c r="IX493" s="85"/>
      <c r="IY493" s="85"/>
      <c r="IZ493" s="85"/>
      <c r="JA493" s="85"/>
      <c r="JB493" s="85"/>
      <c r="JC493" s="85"/>
      <c r="JD493" s="85"/>
      <c r="JE493" s="85"/>
      <c r="JF493" s="85"/>
      <c r="JG493" s="85"/>
      <c r="JH493" s="85"/>
      <c r="JI493" s="85"/>
      <c r="JJ493" s="85"/>
      <c r="JK493" s="85"/>
      <c r="JL493" s="85"/>
      <c r="JM493" s="85"/>
      <c r="JN493" s="85"/>
      <c r="JO493" s="85"/>
      <c r="JP493" s="85"/>
      <c r="JQ493" s="85"/>
      <c r="JR493" s="85"/>
      <c r="JS493" s="85"/>
      <c r="JT493" s="85"/>
      <c r="JU493" s="85"/>
      <c r="JV493" s="85"/>
      <c r="JW493" s="85"/>
      <c r="JX493" s="85"/>
      <c r="JY493" s="85"/>
      <c r="JZ493" s="85"/>
      <c r="KA493" s="85"/>
      <c r="KB493" s="85"/>
      <c r="KC493" s="85"/>
      <c r="KD493" s="85"/>
      <c r="KE493" s="85"/>
      <c r="KF493" s="85"/>
      <c r="KG493" s="85"/>
      <c r="KH493" s="85"/>
      <c r="KI493" s="85"/>
      <c r="KJ493" s="85"/>
      <c r="KK493" s="85"/>
      <c r="KL493" s="85"/>
      <c r="KM493" s="85"/>
      <c r="KN493" s="85"/>
      <c r="KO493" s="85"/>
      <c r="KP493" s="85"/>
      <c r="KQ493" s="85"/>
      <c r="KR493" s="85"/>
      <c r="KS493" s="85"/>
      <c r="KT493" s="85"/>
      <c r="KU493" s="85"/>
      <c r="KV493" s="85"/>
      <c r="KW493" s="85"/>
      <c r="KX493" s="85"/>
      <c r="KY493" s="85"/>
      <c r="KZ493" s="85"/>
      <c r="LA493" s="85"/>
      <c r="LB493" s="85"/>
      <c r="LC493" s="85"/>
      <c r="LD493" s="85"/>
      <c r="LE493" s="85"/>
      <c r="LF493" s="85"/>
      <c r="LG493" s="85"/>
      <c r="LH493" s="85"/>
      <c r="LI493" s="85"/>
      <c r="LJ493" s="85"/>
      <c r="LK493" s="85"/>
      <c r="LL493" s="85"/>
      <c r="LM493" s="85"/>
      <c r="LN493" s="85"/>
      <c r="LO493" s="85"/>
      <c r="LP493" s="85"/>
      <c r="LQ493" s="85"/>
      <c r="LR493" s="85"/>
      <c r="LS493" s="85"/>
      <c r="LT493" s="85"/>
      <c r="LU493" s="85"/>
      <c r="LV493" s="85"/>
      <c r="LW493" s="85"/>
      <c r="LX493" s="85"/>
      <c r="LY493" s="85"/>
      <c r="LZ493" s="85"/>
      <c r="MA493" s="85"/>
      <c r="MB493" s="85"/>
      <c r="MC493" s="85"/>
      <c r="MD493" s="85"/>
      <c r="ME493" s="85"/>
      <c r="MF493" s="85"/>
      <c r="MG493" s="85"/>
      <c r="MH493" s="85"/>
      <c r="MI493" s="85"/>
      <c r="MJ493" s="85"/>
      <c r="MK493" s="85"/>
      <c r="ML493" s="85"/>
      <c r="MM493" s="85"/>
      <c r="MN493" s="85"/>
      <c r="MO493" s="85"/>
      <c r="MP493" s="85"/>
      <c r="MQ493" s="85"/>
      <c r="MR493" s="85"/>
      <c r="MS493" s="85"/>
      <c r="MT493" s="85"/>
      <c r="MU493" s="85"/>
      <c r="MV493" s="85"/>
      <c r="MW493" s="85"/>
      <c r="MX493" s="85"/>
      <c r="MY493" s="85"/>
      <c r="MZ493" s="85"/>
      <c r="NA493" s="85"/>
      <c r="NB493" s="85"/>
      <c r="NC493" s="85"/>
      <c r="ND493" s="85"/>
      <c r="NE493" s="85"/>
      <c r="NF493" s="85"/>
      <c r="NG493" s="85"/>
      <c r="NH493" s="85"/>
      <c r="NI493" s="85"/>
      <c r="NJ493" s="85"/>
      <c r="NK493" s="85"/>
      <c r="NL493" s="85"/>
      <c r="NM493" s="85"/>
      <c r="NN493" s="85"/>
      <c r="NO493" s="85"/>
      <c r="NP493" s="85"/>
      <c r="NQ493" s="85"/>
      <c r="NR493" s="85"/>
      <c r="NS493" s="85"/>
      <c r="NT493" s="85"/>
      <c r="NU493" s="85"/>
      <c r="NV493" s="85"/>
      <c r="NW493" s="85"/>
      <c r="NX493" s="85"/>
      <c r="NY493" s="85"/>
      <c r="NZ493" s="85"/>
      <c r="OA493" s="85"/>
      <c r="OB493" s="85"/>
      <c r="OC493" s="85"/>
      <c r="OD493" s="85"/>
      <c r="OE493" s="85"/>
      <c r="OF493" s="85"/>
      <c r="OG493" s="85"/>
      <c r="OH493" s="85"/>
      <c r="OI493" s="85"/>
      <c r="OJ493" s="85"/>
      <c r="OK493" s="85"/>
      <c r="OL493" s="85"/>
      <c r="OM493" s="85"/>
      <c r="ON493" s="85"/>
      <c r="OO493" s="85"/>
      <c r="OP493" s="85"/>
      <c r="OQ493" s="85"/>
      <c r="OR493" s="85"/>
      <c r="OS493" s="85"/>
      <c r="OT493" s="85"/>
      <c r="OU493" s="85"/>
      <c r="OV493" s="85"/>
      <c r="OW493" s="85"/>
      <c r="OX493" s="85"/>
      <c r="OY493" s="85"/>
      <c r="OZ493" s="85"/>
      <c r="PA493" s="85"/>
      <c r="PB493" s="85"/>
      <c r="PC493" s="85"/>
      <c r="PD493" s="85"/>
      <c r="PE493" s="85"/>
      <c r="PF493" s="85"/>
      <c r="PG493" s="85"/>
      <c r="PH493" s="85"/>
      <c r="PI493" s="85"/>
      <c r="PJ493" s="85"/>
      <c r="PK493" s="85"/>
      <c r="PL493" s="85"/>
      <c r="PM493" s="85"/>
      <c r="PN493" s="85"/>
      <c r="PO493" s="85"/>
      <c r="PP493" s="85"/>
      <c r="PQ493" s="85"/>
      <c r="PR493" s="85"/>
      <c r="PS493" s="85"/>
      <c r="PT493" s="85"/>
      <c r="PU493" s="85"/>
      <c r="PV493" s="85"/>
      <c r="PW493" s="85"/>
      <c r="PX493" s="85"/>
      <c r="PY493" s="85"/>
      <c r="PZ493" s="85"/>
      <c r="QA493" s="85"/>
      <c r="QB493" s="85"/>
      <c r="QC493" s="85"/>
      <c r="QD493" s="85"/>
      <c r="QE493" s="85"/>
      <c r="QF493" s="85"/>
      <c r="QG493" s="85"/>
      <c r="QH493" s="85"/>
      <c r="QI493" s="85"/>
      <c r="QJ493" s="85"/>
      <c r="QK493" s="85"/>
      <c r="QL493" s="85"/>
      <c r="QM493" s="85"/>
      <c r="QN493" s="85"/>
      <c r="QO493" s="85"/>
      <c r="QP493" s="85"/>
      <c r="QQ493" s="85"/>
      <c r="QR493" s="85"/>
      <c r="QS493" s="85"/>
      <c r="QT493" s="85"/>
      <c r="QU493" s="85"/>
      <c r="QV493" s="85"/>
      <c r="QW493" s="85"/>
      <c r="QX493" s="85"/>
      <c r="QY493" s="85"/>
      <c r="QZ493" s="85"/>
      <c r="RA493" s="85"/>
      <c r="RB493" s="85"/>
      <c r="RC493" s="85"/>
      <c r="RD493" s="85"/>
      <c r="RE493" s="85"/>
      <c r="RF493" s="85"/>
      <c r="RG493" s="85"/>
      <c r="RH493" s="85"/>
      <c r="RI493" s="85"/>
      <c r="RJ493" s="85"/>
      <c r="RK493" s="85"/>
      <c r="RL493" s="85"/>
      <c r="RM493" s="85"/>
      <c r="RN493" s="85"/>
      <c r="RO493" s="85"/>
      <c r="RP493" s="85"/>
      <c r="RQ493" s="85"/>
      <c r="RR493" s="85"/>
      <c r="RS493" s="85"/>
      <c r="RT493" s="85"/>
      <c r="RU493" s="85"/>
      <c r="RV493" s="85"/>
      <c r="RW493" s="85"/>
      <c r="RX493" s="85"/>
      <c r="RY493" s="85"/>
      <c r="RZ493" s="85"/>
      <c r="SA493" s="85"/>
      <c r="SB493" s="85"/>
      <c r="SC493" s="85"/>
      <c r="SD493" s="85"/>
      <c r="SE493" s="85"/>
      <c r="SF493" s="85"/>
      <c r="SG493" s="85"/>
      <c r="SH493" s="85"/>
      <c r="SI493" s="85"/>
      <c r="SJ493" s="85"/>
      <c r="SK493" s="85"/>
      <c r="SL493" s="85"/>
      <c r="SM493" s="85"/>
      <c r="SN493" s="85"/>
      <c r="SO493" s="85"/>
      <c r="SP493" s="85"/>
      <c r="SQ493" s="85"/>
      <c r="SR493" s="85"/>
      <c r="SS493" s="85"/>
      <c r="ST493" s="85"/>
      <c r="SU493" s="85"/>
      <c r="SV493" s="85"/>
      <c r="SW493" s="85"/>
      <c r="SX493" s="85"/>
      <c r="SY493" s="85"/>
      <c r="SZ493" s="85"/>
      <c r="TA493" s="85"/>
      <c r="TB493" s="85"/>
      <c r="TC493" s="85"/>
      <c r="TD493" s="85"/>
      <c r="TE493" s="85"/>
      <c r="TF493" s="85"/>
      <c r="TG493" s="85"/>
      <c r="TH493" s="85"/>
      <c r="TI493" s="85"/>
      <c r="TJ493" s="85"/>
      <c r="TK493" s="85"/>
      <c r="TL493" s="85"/>
    </row>
    <row r="494" spans="1:532" s="85" customFormat="1" ht="12.75" customHeight="1">
      <c r="A494" s="155" t="s">
        <v>357</v>
      </c>
      <c r="B494" s="156" t="s">
        <v>358</v>
      </c>
      <c r="C494" s="156" t="s">
        <v>339</v>
      </c>
      <c r="D494" s="124">
        <f>+[2]ordinario!C658</f>
        <v>14443665.02</v>
      </c>
      <c r="E494" s="124">
        <v>35230411.640000001</v>
      </c>
      <c r="F494" s="146"/>
      <c r="G494" s="138"/>
      <c r="H494" s="98"/>
      <c r="I494" s="140">
        <f t="shared" ref="I494:N494" si="28">SUM(I495:I496)</f>
        <v>14443665.02</v>
      </c>
      <c r="J494" s="140">
        <f t="shared" si="28"/>
        <v>0</v>
      </c>
      <c r="K494" s="140">
        <f t="shared" si="28"/>
        <v>14443665.02</v>
      </c>
      <c r="L494" s="140">
        <f t="shared" si="28"/>
        <v>0</v>
      </c>
      <c r="M494" s="140">
        <f t="shared" si="28"/>
        <v>0</v>
      </c>
      <c r="N494" s="140">
        <f t="shared" si="28"/>
        <v>20786746.620000001</v>
      </c>
    </row>
    <row r="495" spans="1:532" s="85" customFormat="1" ht="12.75" customHeight="1">
      <c r="A495" s="122"/>
      <c r="B495" s="240"/>
      <c r="C495" s="124"/>
      <c r="D495" s="124"/>
      <c r="E495" s="124"/>
      <c r="F495" s="146" t="s">
        <v>359</v>
      </c>
      <c r="G495" s="138" t="s">
        <v>216</v>
      </c>
      <c r="H495" s="98" t="s">
        <v>81</v>
      </c>
      <c r="I495" s="125">
        <v>14443665.02</v>
      </c>
      <c r="J495" s="125"/>
      <c r="K495" s="125">
        <f>+I495</f>
        <v>14443665.02</v>
      </c>
      <c r="L495" s="125"/>
      <c r="M495" s="125"/>
      <c r="N495" s="125">
        <f>-I495+[2]ordinario!I660</f>
        <v>0</v>
      </c>
    </row>
    <row r="496" spans="1:532" s="85" customFormat="1" ht="12.75" customHeight="1">
      <c r="A496" s="122"/>
      <c r="B496" s="240"/>
      <c r="C496" s="124"/>
      <c r="D496" s="124"/>
      <c r="E496" s="124"/>
      <c r="F496" s="146"/>
      <c r="G496" s="138"/>
      <c r="H496" s="98"/>
      <c r="I496" s="125"/>
      <c r="J496" s="125"/>
      <c r="K496" s="125"/>
      <c r="L496" s="125"/>
      <c r="M496" s="125"/>
      <c r="N496" s="125">
        <f>+E494-D494</f>
        <v>20786746.620000001</v>
      </c>
    </row>
    <row r="497" spans="1:532" s="135" customFormat="1" ht="12.75" customHeight="1">
      <c r="A497" s="111"/>
      <c r="B497" s="243"/>
      <c r="C497" s="112"/>
      <c r="D497" s="112"/>
      <c r="E497" s="112"/>
      <c r="F497" s="242"/>
      <c r="G497" s="113"/>
      <c r="H497" s="114"/>
      <c r="I497" s="115"/>
      <c r="J497" s="115"/>
      <c r="K497" s="115"/>
      <c r="L497" s="115"/>
      <c r="M497" s="115"/>
      <c r="N497" s="116"/>
      <c r="O497" s="85"/>
      <c r="P497" s="85"/>
      <c r="Q497" s="85"/>
      <c r="R497" s="85"/>
      <c r="S497" s="85"/>
      <c r="T497" s="85"/>
      <c r="U497" s="85"/>
      <c r="V497" s="85"/>
      <c r="W497" s="85"/>
      <c r="X497" s="85"/>
      <c r="Y497" s="85"/>
      <c r="Z497" s="85"/>
      <c r="AA497" s="85"/>
      <c r="AB497" s="85"/>
      <c r="AC497" s="85"/>
      <c r="AD497" s="85"/>
      <c r="AE497" s="85"/>
      <c r="AF497" s="85"/>
      <c r="AG497" s="85"/>
      <c r="AH497" s="85"/>
      <c r="AI497" s="85"/>
      <c r="AJ497" s="85"/>
      <c r="AK497" s="85"/>
      <c r="AL497" s="85"/>
      <c r="AM497" s="85"/>
      <c r="AN497" s="85"/>
      <c r="AO497" s="85"/>
      <c r="AP497" s="85"/>
      <c r="AQ497" s="85"/>
      <c r="AR497" s="85"/>
      <c r="AS497" s="85"/>
      <c r="AT497" s="85"/>
      <c r="AU497" s="85"/>
      <c r="AV497" s="85"/>
      <c r="AW497" s="85"/>
      <c r="AX497" s="85"/>
      <c r="AY497" s="85"/>
      <c r="AZ497" s="85"/>
      <c r="BA497" s="85"/>
      <c r="BB497" s="85"/>
      <c r="BC497" s="85"/>
      <c r="BD497" s="85"/>
      <c r="BE497" s="85"/>
      <c r="BF497" s="85"/>
      <c r="BG497" s="85"/>
      <c r="BH497" s="85"/>
      <c r="BI497" s="85"/>
      <c r="BJ497" s="85"/>
      <c r="BK497" s="85"/>
      <c r="BL497" s="85"/>
      <c r="BM497" s="85"/>
      <c r="BN497" s="85"/>
      <c r="BO497" s="85"/>
      <c r="BP497" s="85"/>
      <c r="BQ497" s="85"/>
      <c r="BR497" s="85"/>
      <c r="BS497" s="85"/>
      <c r="BT497" s="85"/>
      <c r="BU497" s="85"/>
      <c r="BV497" s="85"/>
      <c r="BW497" s="85"/>
      <c r="BX497" s="85"/>
      <c r="BY497" s="85"/>
      <c r="BZ497" s="85"/>
      <c r="CA497" s="85"/>
      <c r="CB497" s="85"/>
      <c r="CC497" s="85"/>
      <c r="CD497" s="85"/>
      <c r="CE497" s="85"/>
      <c r="CF497" s="85"/>
      <c r="CG497" s="85"/>
      <c r="CH497" s="85"/>
      <c r="CI497" s="85"/>
      <c r="CJ497" s="85"/>
      <c r="CK497" s="85"/>
      <c r="CL497" s="85"/>
      <c r="CM497" s="85"/>
      <c r="CN497" s="85"/>
      <c r="CO497" s="85"/>
      <c r="CP497" s="85"/>
      <c r="CQ497" s="85"/>
      <c r="CR497" s="85"/>
      <c r="CS497" s="85"/>
      <c r="CT497" s="85"/>
      <c r="CU497" s="85"/>
      <c r="CV497" s="85"/>
      <c r="CW497" s="85"/>
      <c r="CX497" s="85"/>
      <c r="CY497" s="85"/>
      <c r="CZ497" s="85"/>
      <c r="DA497" s="85"/>
      <c r="DB497" s="85"/>
      <c r="DC497" s="85"/>
      <c r="DD497" s="85"/>
      <c r="DE497" s="85"/>
      <c r="DF497" s="85"/>
      <c r="DG497" s="85"/>
      <c r="DH497" s="85"/>
      <c r="DI497" s="85"/>
      <c r="DJ497" s="85"/>
      <c r="DK497" s="85"/>
      <c r="DL497" s="85"/>
      <c r="DM497" s="85"/>
      <c r="DN497" s="85"/>
      <c r="DO497" s="85"/>
      <c r="DP497" s="85"/>
      <c r="DQ497" s="85"/>
      <c r="DR497" s="85"/>
      <c r="DS497" s="85"/>
      <c r="DT497" s="85"/>
      <c r="DU497" s="85"/>
      <c r="DV497" s="85"/>
      <c r="DW497" s="85"/>
      <c r="DX497" s="85"/>
      <c r="DY497" s="85"/>
      <c r="DZ497" s="85"/>
      <c r="EA497" s="85"/>
      <c r="EB497" s="85"/>
      <c r="EC497" s="85"/>
      <c r="ED497" s="85"/>
      <c r="EE497" s="85"/>
      <c r="EF497" s="85"/>
      <c r="EG497" s="85"/>
      <c r="EH497" s="85"/>
      <c r="EI497" s="85"/>
      <c r="EJ497" s="85"/>
      <c r="EK497" s="85"/>
      <c r="EL497" s="85"/>
      <c r="EM497" s="85"/>
      <c r="EN497" s="85"/>
      <c r="EO497" s="85"/>
      <c r="EP497" s="85"/>
      <c r="EQ497" s="85"/>
      <c r="ER497" s="85"/>
      <c r="ES497" s="85"/>
      <c r="ET497" s="85"/>
      <c r="EU497" s="85"/>
      <c r="EV497" s="85"/>
      <c r="EW497" s="85"/>
      <c r="EX497" s="85"/>
      <c r="EY497" s="85"/>
      <c r="EZ497" s="85"/>
      <c r="FA497" s="85"/>
      <c r="FB497" s="85"/>
      <c r="FC497" s="85"/>
      <c r="FD497" s="85"/>
      <c r="FE497" s="85"/>
      <c r="FF497" s="85"/>
      <c r="FG497" s="85"/>
      <c r="FH497" s="85"/>
      <c r="FI497" s="85"/>
      <c r="FJ497" s="85"/>
      <c r="FK497" s="85"/>
      <c r="FL497" s="85"/>
      <c r="FM497" s="85"/>
      <c r="FN497" s="85"/>
      <c r="FO497" s="85"/>
      <c r="FP497" s="85"/>
      <c r="FQ497" s="85"/>
      <c r="FR497" s="85"/>
      <c r="FS497" s="85"/>
      <c r="FT497" s="85"/>
      <c r="FU497" s="85"/>
      <c r="FV497" s="85"/>
      <c r="FW497" s="85"/>
      <c r="FX497" s="85"/>
      <c r="FY497" s="85"/>
      <c r="FZ497" s="85"/>
      <c r="GA497" s="85"/>
      <c r="GB497" s="85"/>
      <c r="GC497" s="85"/>
      <c r="GD497" s="85"/>
      <c r="GE497" s="85"/>
      <c r="GF497" s="85"/>
      <c r="GG497" s="85"/>
      <c r="GH497" s="85"/>
      <c r="GI497" s="85"/>
      <c r="GJ497" s="85"/>
      <c r="GK497" s="85"/>
      <c r="GL497" s="85"/>
      <c r="GM497" s="85"/>
      <c r="GN497" s="85"/>
      <c r="GO497" s="85"/>
      <c r="GP497" s="85"/>
      <c r="GQ497" s="85"/>
      <c r="GR497" s="85"/>
      <c r="GS497" s="85"/>
      <c r="GT497" s="85"/>
      <c r="GU497" s="85"/>
      <c r="GV497" s="85"/>
      <c r="GW497" s="85"/>
      <c r="GX497" s="85"/>
      <c r="GY497" s="85"/>
      <c r="GZ497" s="85"/>
      <c r="HA497" s="85"/>
      <c r="HB497" s="85"/>
      <c r="HC497" s="85"/>
      <c r="HD497" s="85"/>
      <c r="HE497" s="85"/>
      <c r="HF497" s="85"/>
      <c r="HG497" s="85"/>
      <c r="HH497" s="85"/>
      <c r="HI497" s="85"/>
      <c r="HJ497" s="85"/>
      <c r="HK497" s="85"/>
      <c r="HL497" s="85"/>
      <c r="HM497" s="85"/>
      <c r="HN497" s="85"/>
      <c r="HO497" s="85"/>
      <c r="HP497" s="85"/>
      <c r="HQ497" s="85"/>
      <c r="HR497" s="85"/>
      <c r="HS497" s="85"/>
      <c r="HT497" s="85"/>
      <c r="HU497" s="85"/>
      <c r="HV497" s="85"/>
      <c r="HW497" s="85"/>
      <c r="HX497" s="85"/>
      <c r="HY497" s="85"/>
      <c r="HZ497" s="85"/>
      <c r="IA497" s="85"/>
      <c r="IB497" s="85"/>
      <c r="IC497" s="85"/>
      <c r="ID497" s="85"/>
      <c r="IE497" s="85"/>
      <c r="IF497" s="85"/>
      <c r="IG497" s="85"/>
      <c r="IH497" s="85"/>
      <c r="II497" s="85"/>
      <c r="IJ497" s="85"/>
      <c r="IK497" s="85"/>
      <c r="IL497" s="85"/>
      <c r="IM497" s="85"/>
      <c r="IN497" s="85"/>
      <c r="IO497" s="85"/>
      <c r="IP497" s="85"/>
      <c r="IQ497" s="85"/>
      <c r="IR497" s="85"/>
      <c r="IS497" s="85"/>
      <c r="IT497" s="85"/>
      <c r="IU497" s="85"/>
      <c r="IV497" s="85"/>
      <c r="IW497" s="85"/>
      <c r="IX497" s="85"/>
      <c r="IY497" s="85"/>
      <c r="IZ497" s="85"/>
      <c r="JA497" s="85"/>
      <c r="JB497" s="85"/>
      <c r="JC497" s="85"/>
      <c r="JD497" s="85"/>
      <c r="JE497" s="85"/>
      <c r="JF497" s="85"/>
      <c r="JG497" s="85"/>
      <c r="JH497" s="85"/>
      <c r="JI497" s="85"/>
      <c r="JJ497" s="85"/>
      <c r="JK497" s="85"/>
      <c r="JL497" s="85"/>
      <c r="JM497" s="85"/>
      <c r="JN497" s="85"/>
      <c r="JO497" s="85"/>
      <c r="JP497" s="85"/>
      <c r="JQ497" s="85"/>
      <c r="JR497" s="85"/>
      <c r="JS497" s="85"/>
      <c r="JT497" s="85"/>
      <c r="JU497" s="85"/>
      <c r="JV497" s="85"/>
      <c r="JW497" s="85"/>
      <c r="JX497" s="85"/>
      <c r="JY497" s="85"/>
      <c r="JZ497" s="85"/>
      <c r="KA497" s="85"/>
      <c r="KB497" s="85"/>
      <c r="KC497" s="85"/>
      <c r="KD497" s="85"/>
      <c r="KE497" s="85"/>
      <c r="KF497" s="85"/>
      <c r="KG497" s="85"/>
      <c r="KH497" s="85"/>
      <c r="KI497" s="85"/>
      <c r="KJ497" s="85"/>
      <c r="KK497" s="85"/>
      <c r="KL497" s="85"/>
      <c r="KM497" s="85"/>
      <c r="KN497" s="85"/>
      <c r="KO497" s="85"/>
      <c r="KP497" s="85"/>
      <c r="KQ497" s="85"/>
      <c r="KR497" s="85"/>
      <c r="KS497" s="85"/>
      <c r="KT497" s="85"/>
      <c r="KU497" s="85"/>
      <c r="KV497" s="85"/>
      <c r="KW497" s="85"/>
      <c r="KX497" s="85"/>
      <c r="KY497" s="85"/>
      <c r="KZ497" s="85"/>
      <c r="LA497" s="85"/>
      <c r="LB497" s="85"/>
      <c r="LC497" s="85"/>
      <c r="LD497" s="85"/>
      <c r="LE497" s="85"/>
      <c r="LF497" s="85"/>
      <c r="LG497" s="85"/>
      <c r="LH497" s="85"/>
      <c r="LI497" s="85"/>
      <c r="LJ497" s="85"/>
      <c r="LK497" s="85"/>
      <c r="LL497" s="85"/>
      <c r="LM497" s="85"/>
      <c r="LN497" s="85"/>
      <c r="LO497" s="85"/>
      <c r="LP497" s="85"/>
      <c r="LQ497" s="85"/>
      <c r="LR497" s="85"/>
      <c r="LS497" s="85"/>
      <c r="LT497" s="85"/>
      <c r="LU497" s="85"/>
      <c r="LV497" s="85"/>
      <c r="LW497" s="85"/>
      <c r="LX497" s="85"/>
      <c r="LY497" s="85"/>
      <c r="LZ497" s="85"/>
      <c r="MA497" s="85"/>
      <c r="MB497" s="85"/>
      <c r="MC497" s="85"/>
      <c r="MD497" s="85"/>
      <c r="ME497" s="85"/>
      <c r="MF497" s="85"/>
      <c r="MG497" s="85"/>
      <c r="MH497" s="85"/>
      <c r="MI497" s="85"/>
      <c r="MJ497" s="85"/>
      <c r="MK497" s="85"/>
      <c r="ML497" s="85"/>
      <c r="MM497" s="85"/>
      <c r="MN497" s="85"/>
      <c r="MO497" s="85"/>
      <c r="MP497" s="85"/>
      <c r="MQ497" s="85"/>
      <c r="MR497" s="85"/>
      <c r="MS497" s="85"/>
      <c r="MT497" s="85"/>
      <c r="MU497" s="85"/>
      <c r="MV497" s="85"/>
      <c r="MW497" s="85"/>
      <c r="MX497" s="85"/>
      <c r="MY497" s="85"/>
      <c r="MZ497" s="85"/>
      <c r="NA497" s="85"/>
      <c r="NB497" s="85"/>
      <c r="NC497" s="85"/>
      <c r="ND497" s="85"/>
      <c r="NE497" s="85"/>
      <c r="NF497" s="85"/>
      <c r="NG497" s="85"/>
      <c r="NH497" s="85"/>
      <c r="NI497" s="85"/>
      <c r="NJ497" s="85"/>
      <c r="NK497" s="85"/>
      <c r="NL497" s="85"/>
      <c r="NM497" s="85"/>
      <c r="NN497" s="85"/>
      <c r="NO497" s="85"/>
      <c r="NP497" s="85"/>
      <c r="NQ497" s="85"/>
      <c r="NR497" s="85"/>
      <c r="NS497" s="85"/>
      <c r="NT497" s="85"/>
      <c r="NU497" s="85"/>
      <c r="NV497" s="85"/>
      <c r="NW497" s="85"/>
      <c r="NX497" s="85"/>
      <c r="NY497" s="85"/>
      <c r="NZ497" s="85"/>
      <c r="OA497" s="85"/>
      <c r="OB497" s="85"/>
      <c r="OC497" s="85"/>
      <c r="OD497" s="85"/>
      <c r="OE497" s="85"/>
      <c r="OF497" s="85"/>
      <c r="OG497" s="85"/>
      <c r="OH497" s="85"/>
      <c r="OI497" s="85"/>
      <c r="OJ497" s="85"/>
      <c r="OK497" s="85"/>
      <c r="OL497" s="85"/>
      <c r="OM497" s="85"/>
      <c r="ON497" s="85"/>
      <c r="OO497" s="85"/>
      <c r="OP497" s="85"/>
      <c r="OQ497" s="85"/>
      <c r="OR497" s="85"/>
      <c r="OS497" s="85"/>
      <c r="OT497" s="85"/>
      <c r="OU497" s="85"/>
      <c r="OV497" s="85"/>
      <c r="OW497" s="85"/>
      <c r="OX497" s="85"/>
      <c r="OY497" s="85"/>
      <c r="OZ497" s="85"/>
      <c r="PA497" s="85"/>
      <c r="PB497" s="85"/>
      <c r="PC497" s="85"/>
      <c r="PD497" s="85"/>
      <c r="PE497" s="85"/>
      <c r="PF497" s="85"/>
      <c r="PG497" s="85"/>
      <c r="PH497" s="85"/>
      <c r="PI497" s="85"/>
      <c r="PJ497" s="85"/>
      <c r="PK497" s="85"/>
      <c r="PL497" s="85"/>
      <c r="PM497" s="85"/>
      <c r="PN497" s="85"/>
      <c r="PO497" s="85"/>
      <c r="PP497" s="85"/>
      <c r="PQ497" s="85"/>
      <c r="PR497" s="85"/>
      <c r="PS497" s="85"/>
      <c r="PT497" s="85"/>
      <c r="PU497" s="85"/>
      <c r="PV497" s="85"/>
      <c r="PW497" s="85"/>
      <c r="PX497" s="85"/>
      <c r="PY497" s="85"/>
      <c r="PZ497" s="85"/>
      <c r="QA497" s="85"/>
      <c r="QB497" s="85"/>
      <c r="QC497" s="85"/>
      <c r="QD497" s="85"/>
      <c r="QE497" s="85"/>
      <c r="QF497" s="85"/>
      <c r="QG497" s="85"/>
      <c r="QH497" s="85"/>
      <c r="QI497" s="85"/>
      <c r="QJ497" s="85"/>
      <c r="QK497" s="85"/>
      <c r="QL497" s="85"/>
      <c r="QM497" s="85"/>
      <c r="QN497" s="85"/>
      <c r="QO497" s="85"/>
      <c r="QP497" s="85"/>
      <c r="QQ497" s="85"/>
      <c r="QR497" s="85"/>
      <c r="QS497" s="85"/>
      <c r="QT497" s="85"/>
      <c r="QU497" s="85"/>
      <c r="QV497" s="85"/>
      <c r="QW497" s="85"/>
      <c r="QX497" s="85"/>
      <c r="QY497" s="85"/>
      <c r="QZ497" s="85"/>
      <c r="RA497" s="85"/>
      <c r="RB497" s="85"/>
      <c r="RC497" s="85"/>
      <c r="RD497" s="85"/>
      <c r="RE497" s="85"/>
      <c r="RF497" s="85"/>
      <c r="RG497" s="85"/>
      <c r="RH497" s="85"/>
      <c r="RI497" s="85"/>
      <c r="RJ497" s="85"/>
      <c r="RK497" s="85"/>
      <c r="RL497" s="85"/>
      <c r="RM497" s="85"/>
      <c r="RN497" s="85"/>
      <c r="RO497" s="85"/>
      <c r="RP497" s="85"/>
      <c r="RQ497" s="85"/>
      <c r="RR497" s="85"/>
      <c r="RS497" s="85"/>
      <c r="RT497" s="85"/>
      <c r="RU497" s="85"/>
      <c r="RV497" s="85"/>
      <c r="RW497" s="85"/>
      <c r="RX497" s="85"/>
      <c r="RY497" s="85"/>
      <c r="RZ497" s="85"/>
      <c r="SA497" s="85"/>
      <c r="SB497" s="85"/>
      <c r="SC497" s="85"/>
      <c r="SD497" s="85"/>
      <c r="SE497" s="85"/>
      <c r="SF497" s="85"/>
      <c r="SG497" s="85"/>
      <c r="SH497" s="85"/>
      <c r="SI497" s="85"/>
      <c r="SJ497" s="85"/>
      <c r="SK497" s="85"/>
      <c r="SL497" s="85"/>
      <c r="SM497" s="85"/>
      <c r="SN497" s="85"/>
      <c r="SO497" s="85"/>
      <c r="SP497" s="85"/>
      <c r="SQ497" s="85"/>
      <c r="SR497" s="85"/>
      <c r="SS497" s="85"/>
      <c r="ST497" s="85"/>
      <c r="SU497" s="85"/>
      <c r="SV497" s="85"/>
      <c r="SW497" s="85"/>
      <c r="SX497" s="85"/>
      <c r="SY497" s="85"/>
      <c r="SZ497" s="85"/>
      <c r="TA497" s="85"/>
      <c r="TB497" s="85"/>
      <c r="TC497" s="85"/>
      <c r="TD497" s="85"/>
      <c r="TE497" s="85"/>
      <c r="TF497" s="85"/>
      <c r="TG497" s="85"/>
      <c r="TH497" s="85"/>
      <c r="TI497" s="85"/>
      <c r="TJ497" s="85"/>
      <c r="TK497" s="85"/>
      <c r="TL497" s="85"/>
    </row>
    <row r="498" spans="1:532" s="85" customFormat="1" ht="12.75" customHeight="1">
      <c r="A498" s="122" t="s">
        <v>492</v>
      </c>
      <c r="B498" s="240" t="s">
        <v>562</v>
      </c>
      <c r="C498" s="124"/>
      <c r="D498" s="173">
        <v>320135224.63</v>
      </c>
      <c r="E498" s="252">
        <v>0</v>
      </c>
      <c r="F498" s="146"/>
      <c r="G498" s="138"/>
      <c r="H498" s="98"/>
      <c r="I498" s="140">
        <f>SUM(I499)</f>
        <v>0</v>
      </c>
      <c r="J498" s="140"/>
      <c r="K498" s="140"/>
      <c r="L498" s="140"/>
      <c r="M498" s="140"/>
      <c r="N498" s="140">
        <f>SUM(N499)</f>
        <v>0</v>
      </c>
    </row>
    <row r="499" spans="1:532" s="85" customFormat="1" ht="12.75" customHeight="1">
      <c r="A499" s="122"/>
      <c r="B499" s="240"/>
      <c r="C499" s="124"/>
      <c r="D499" s="124"/>
      <c r="E499" s="124"/>
      <c r="F499" s="146" t="s">
        <v>394</v>
      </c>
      <c r="G499" s="138" t="s">
        <v>496</v>
      </c>
      <c r="H499" s="98" t="s">
        <v>81</v>
      </c>
      <c r="I499" s="124"/>
      <c r="J499" s="125"/>
      <c r="K499" s="125">
        <f>+I499</f>
        <v>0</v>
      </c>
      <c r="L499" s="125"/>
      <c r="M499" s="125"/>
      <c r="N499" s="126">
        <v>0</v>
      </c>
    </row>
    <row r="500" spans="1:532" s="163" customFormat="1" ht="12.75" customHeight="1">
      <c r="A500" s="158"/>
      <c r="B500" s="246"/>
      <c r="C500" s="159"/>
      <c r="D500" s="159"/>
      <c r="E500" s="159"/>
      <c r="F500" s="245"/>
      <c r="G500" s="160"/>
      <c r="H500" s="161"/>
      <c r="I500" s="162"/>
      <c r="J500" s="162"/>
      <c r="K500" s="162"/>
      <c r="L500" s="162"/>
      <c r="M500" s="162"/>
      <c r="N500" s="162"/>
      <c r="O500" s="85"/>
      <c r="P500" s="85"/>
      <c r="Q500" s="85"/>
      <c r="R500" s="85"/>
      <c r="S500" s="85"/>
      <c r="T500" s="85"/>
      <c r="U500" s="85"/>
      <c r="V500" s="85"/>
      <c r="W500" s="85"/>
      <c r="X500" s="85"/>
      <c r="Y500" s="85"/>
      <c r="Z500" s="85"/>
      <c r="AA500" s="85"/>
      <c r="AB500" s="85"/>
      <c r="AC500" s="85"/>
      <c r="AD500" s="85"/>
      <c r="AE500" s="85"/>
      <c r="AF500" s="85"/>
      <c r="AG500" s="85"/>
      <c r="AH500" s="85"/>
      <c r="AI500" s="85"/>
      <c r="AJ500" s="85"/>
      <c r="AK500" s="85"/>
      <c r="AL500" s="85"/>
      <c r="AM500" s="85"/>
      <c r="AN500" s="85"/>
      <c r="AO500" s="85"/>
      <c r="AP500" s="85"/>
      <c r="AQ500" s="85"/>
      <c r="AR500" s="85"/>
      <c r="AS500" s="85"/>
      <c r="AT500" s="85"/>
      <c r="AU500" s="85"/>
      <c r="AV500" s="85"/>
      <c r="AW500" s="85"/>
      <c r="AX500" s="85"/>
      <c r="AY500" s="85"/>
      <c r="AZ500" s="85"/>
      <c r="BA500" s="85"/>
      <c r="BB500" s="85"/>
      <c r="BC500" s="85"/>
      <c r="BD500" s="85"/>
      <c r="BE500" s="85"/>
      <c r="BF500" s="85"/>
      <c r="BG500" s="85"/>
      <c r="BH500" s="85"/>
      <c r="BI500" s="85"/>
      <c r="BJ500" s="85"/>
      <c r="BK500" s="85"/>
      <c r="BL500" s="85"/>
      <c r="BM500" s="85"/>
      <c r="BN500" s="85"/>
      <c r="BO500" s="85"/>
      <c r="BP500" s="85"/>
      <c r="BQ500" s="85"/>
      <c r="BR500" s="85"/>
      <c r="BS500" s="85"/>
      <c r="BT500" s="85"/>
      <c r="BU500" s="85"/>
      <c r="BV500" s="85"/>
      <c r="BW500" s="85"/>
      <c r="BX500" s="85"/>
      <c r="BY500" s="85"/>
      <c r="BZ500" s="85"/>
      <c r="CA500" s="85"/>
      <c r="CB500" s="85"/>
      <c r="CC500" s="85"/>
      <c r="CD500" s="85"/>
      <c r="CE500" s="85"/>
      <c r="CF500" s="85"/>
      <c r="CG500" s="85"/>
      <c r="CH500" s="85"/>
      <c r="CI500" s="85"/>
      <c r="CJ500" s="85"/>
      <c r="CK500" s="85"/>
      <c r="CL500" s="85"/>
      <c r="CM500" s="85"/>
      <c r="CN500" s="85"/>
      <c r="CO500" s="85"/>
      <c r="CP500" s="85"/>
      <c r="CQ500" s="85"/>
      <c r="CR500" s="85"/>
      <c r="CS500" s="85"/>
      <c r="CT500" s="85"/>
      <c r="CU500" s="85"/>
      <c r="CV500" s="85"/>
      <c r="CW500" s="85"/>
      <c r="CX500" s="85"/>
      <c r="CY500" s="85"/>
      <c r="CZ500" s="85"/>
      <c r="DA500" s="85"/>
      <c r="DB500" s="85"/>
      <c r="DC500" s="85"/>
      <c r="DD500" s="85"/>
      <c r="DE500" s="85"/>
      <c r="DF500" s="85"/>
      <c r="DG500" s="85"/>
      <c r="DH500" s="85"/>
      <c r="DI500" s="85"/>
      <c r="DJ500" s="85"/>
      <c r="DK500" s="85"/>
      <c r="DL500" s="85"/>
      <c r="DM500" s="85"/>
      <c r="DN500" s="85"/>
      <c r="DO500" s="85"/>
      <c r="DP500" s="85"/>
      <c r="DQ500" s="85"/>
      <c r="DR500" s="85"/>
      <c r="DS500" s="85"/>
      <c r="DT500" s="85"/>
      <c r="DU500" s="85"/>
      <c r="DV500" s="85"/>
      <c r="DW500" s="85"/>
      <c r="DX500" s="85"/>
      <c r="DY500" s="85"/>
      <c r="DZ500" s="85"/>
      <c r="EA500" s="85"/>
      <c r="EB500" s="85"/>
      <c r="EC500" s="85"/>
      <c r="ED500" s="85"/>
      <c r="EE500" s="85"/>
      <c r="EF500" s="85"/>
      <c r="EG500" s="85"/>
      <c r="EH500" s="85"/>
      <c r="EI500" s="85"/>
      <c r="EJ500" s="85"/>
      <c r="EK500" s="85"/>
      <c r="EL500" s="85"/>
      <c r="EM500" s="85"/>
      <c r="EN500" s="85"/>
      <c r="EO500" s="85"/>
      <c r="EP500" s="85"/>
      <c r="EQ500" s="85"/>
      <c r="ER500" s="85"/>
      <c r="ES500" s="85"/>
      <c r="ET500" s="85"/>
      <c r="EU500" s="85"/>
      <c r="EV500" s="85"/>
      <c r="EW500" s="85"/>
      <c r="EX500" s="85"/>
      <c r="EY500" s="85"/>
      <c r="EZ500" s="85"/>
      <c r="FA500" s="85"/>
      <c r="FB500" s="85"/>
      <c r="FC500" s="85"/>
      <c r="FD500" s="85"/>
      <c r="FE500" s="85"/>
      <c r="FF500" s="85"/>
      <c r="FG500" s="85"/>
      <c r="FH500" s="85"/>
      <c r="FI500" s="85"/>
      <c r="FJ500" s="85"/>
      <c r="FK500" s="85"/>
      <c r="FL500" s="85"/>
      <c r="FM500" s="85"/>
      <c r="FN500" s="85"/>
      <c r="FO500" s="85"/>
      <c r="FP500" s="85"/>
      <c r="FQ500" s="85"/>
      <c r="FR500" s="85"/>
      <c r="FS500" s="85"/>
      <c r="FT500" s="85"/>
      <c r="FU500" s="85"/>
      <c r="FV500" s="85"/>
      <c r="FW500" s="85"/>
      <c r="FX500" s="85"/>
      <c r="FY500" s="85"/>
      <c r="FZ500" s="85"/>
      <c r="GA500" s="85"/>
      <c r="GB500" s="85"/>
      <c r="GC500" s="85"/>
      <c r="GD500" s="85"/>
      <c r="GE500" s="85"/>
      <c r="GF500" s="85"/>
      <c r="GG500" s="85"/>
      <c r="GH500" s="85"/>
      <c r="GI500" s="85"/>
      <c r="GJ500" s="85"/>
      <c r="GK500" s="85"/>
      <c r="GL500" s="85"/>
      <c r="GM500" s="85"/>
      <c r="GN500" s="85"/>
      <c r="GO500" s="85"/>
      <c r="GP500" s="85"/>
      <c r="GQ500" s="85"/>
      <c r="GR500" s="85"/>
      <c r="GS500" s="85"/>
      <c r="GT500" s="85"/>
      <c r="GU500" s="85"/>
      <c r="GV500" s="85"/>
      <c r="GW500" s="85"/>
      <c r="GX500" s="85"/>
      <c r="GY500" s="85"/>
      <c r="GZ500" s="85"/>
      <c r="HA500" s="85"/>
      <c r="HB500" s="85"/>
      <c r="HC500" s="85"/>
      <c r="HD500" s="85"/>
      <c r="HE500" s="85"/>
      <c r="HF500" s="85"/>
      <c r="HG500" s="85"/>
      <c r="HH500" s="85"/>
      <c r="HI500" s="85"/>
      <c r="HJ500" s="85"/>
      <c r="HK500" s="85"/>
      <c r="HL500" s="85"/>
      <c r="HM500" s="85"/>
      <c r="HN500" s="85"/>
      <c r="HO500" s="85"/>
      <c r="HP500" s="85"/>
      <c r="HQ500" s="85"/>
      <c r="HR500" s="85"/>
      <c r="HS500" s="85"/>
      <c r="HT500" s="85"/>
      <c r="HU500" s="85"/>
      <c r="HV500" s="85"/>
      <c r="HW500" s="85"/>
      <c r="HX500" s="85"/>
      <c r="HY500" s="85"/>
      <c r="HZ500" s="85"/>
      <c r="IA500" s="85"/>
      <c r="IB500" s="85"/>
      <c r="IC500" s="85"/>
      <c r="ID500" s="85"/>
      <c r="IE500" s="85"/>
      <c r="IF500" s="85"/>
      <c r="IG500" s="85"/>
      <c r="IH500" s="85"/>
      <c r="II500" s="85"/>
      <c r="IJ500" s="85"/>
      <c r="IK500" s="85"/>
      <c r="IL500" s="85"/>
      <c r="IM500" s="85"/>
      <c r="IN500" s="85"/>
      <c r="IO500" s="85"/>
      <c r="IP500" s="85"/>
      <c r="IQ500" s="85"/>
      <c r="IR500" s="85"/>
      <c r="IS500" s="85"/>
      <c r="IT500" s="85"/>
      <c r="IU500" s="85"/>
      <c r="IV500" s="85"/>
      <c r="IW500" s="85"/>
      <c r="IX500" s="85"/>
      <c r="IY500" s="85"/>
      <c r="IZ500" s="85"/>
      <c r="JA500" s="85"/>
      <c r="JB500" s="85"/>
      <c r="JC500" s="85"/>
      <c r="JD500" s="85"/>
      <c r="JE500" s="85"/>
      <c r="JF500" s="85"/>
      <c r="JG500" s="85"/>
      <c r="JH500" s="85"/>
      <c r="JI500" s="85"/>
      <c r="JJ500" s="85"/>
      <c r="JK500" s="85"/>
      <c r="JL500" s="85"/>
      <c r="JM500" s="85"/>
      <c r="JN500" s="85"/>
      <c r="JO500" s="85"/>
      <c r="JP500" s="85"/>
      <c r="JQ500" s="85"/>
      <c r="JR500" s="85"/>
      <c r="JS500" s="85"/>
      <c r="JT500" s="85"/>
      <c r="JU500" s="85"/>
      <c r="JV500" s="85"/>
      <c r="JW500" s="85"/>
      <c r="JX500" s="85"/>
      <c r="JY500" s="85"/>
      <c r="JZ500" s="85"/>
      <c r="KA500" s="85"/>
      <c r="KB500" s="85"/>
      <c r="KC500" s="85"/>
      <c r="KD500" s="85"/>
      <c r="KE500" s="85"/>
      <c r="KF500" s="85"/>
      <c r="KG500" s="85"/>
      <c r="KH500" s="85"/>
      <c r="KI500" s="85"/>
      <c r="KJ500" s="85"/>
      <c r="KK500" s="85"/>
      <c r="KL500" s="85"/>
      <c r="KM500" s="85"/>
      <c r="KN500" s="85"/>
      <c r="KO500" s="85"/>
      <c r="KP500" s="85"/>
      <c r="KQ500" s="85"/>
      <c r="KR500" s="85"/>
      <c r="KS500" s="85"/>
      <c r="KT500" s="85"/>
      <c r="KU500" s="85"/>
      <c r="KV500" s="85"/>
      <c r="KW500" s="85"/>
      <c r="KX500" s="85"/>
      <c r="KY500" s="85"/>
      <c r="KZ500" s="85"/>
      <c r="LA500" s="85"/>
      <c r="LB500" s="85"/>
      <c r="LC500" s="85"/>
      <c r="LD500" s="85"/>
      <c r="LE500" s="85"/>
      <c r="LF500" s="85"/>
      <c r="LG500" s="85"/>
      <c r="LH500" s="85"/>
      <c r="LI500" s="85"/>
      <c r="LJ500" s="85"/>
      <c r="LK500" s="85"/>
      <c r="LL500" s="85"/>
      <c r="LM500" s="85"/>
      <c r="LN500" s="85"/>
      <c r="LO500" s="85"/>
      <c r="LP500" s="85"/>
      <c r="LQ500" s="85"/>
      <c r="LR500" s="85"/>
      <c r="LS500" s="85"/>
      <c r="LT500" s="85"/>
      <c r="LU500" s="85"/>
      <c r="LV500" s="85"/>
      <c r="LW500" s="85"/>
      <c r="LX500" s="85"/>
      <c r="LY500" s="85"/>
      <c r="LZ500" s="85"/>
      <c r="MA500" s="85"/>
      <c r="MB500" s="85"/>
      <c r="MC500" s="85"/>
      <c r="MD500" s="85"/>
      <c r="ME500" s="85"/>
      <c r="MF500" s="85"/>
      <c r="MG500" s="85"/>
      <c r="MH500" s="85"/>
      <c r="MI500" s="85"/>
      <c r="MJ500" s="85"/>
      <c r="MK500" s="85"/>
      <c r="ML500" s="85"/>
      <c r="MM500" s="85"/>
      <c r="MN500" s="85"/>
      <c r="MO500" s="85"/>
      <c r="MP500" s="85"/>
      <c r="MQ500" s="85"/>
      <c r="MR500" s="85"/>
      <c r="MS500" s="85"/>
      <c r="MT500" s="85"/>
      <c r="MU500" s="85"/>
      <c r="MV500" s="85"/>
      <c r="MW500" s="85"/>
      <c r="MX500" s="85"/>
      <c r="MY500" s="85"/>
      <c r="MZ500" s="85"/>
      <c r="NA500" s="85"/>
      <c r="NB500" s="85"/>
      <c r="NC500" s="85"/>
      <c r="ND500" s="85"/>
      <c r="NE500" s="85"/>
      <c r="NF500" s="85"/>
      <c r="NG500" s="85"/>
      <c r="NH500" s="85"/>
      <c r="NI500" s="85"/>
      <c r="NJ500" s="85"/>
      <c r="NK500" s="85"/>
      <c r="NL500" s="85"/>
      <c r="NM500" s="85"/>
      <c r="NN500" s="85"/>
      <c r="NO500" s="85"/>
      <c r="NP500" s="85"/>
      <c r="NQ500" s="85"/>
      <c r="NR500" s="85"/>
      <c r="NS500" s="85"/>
      <c r="NT500" s="85"/>
      <c r="NU500" s="85"/>
      <c r="NV500" s="85"/>
      <c r="NW500" s="85"/>
      <c r="NX500" s="85"/>
      <c r="NY500" s="85"/>
      <c r="NZ500" s="85"/>
      <c r="OA500" s="85"/>
      <c r="OB500" s="85"/>
      <c r="OC500" s="85"/>
      <c r="OD500" s="85"/>
      <c r="OE500" s="85"/>
      <c r="OF500" s="85"/>
      <c r="OG500" s="85"/>
      <c r="OH500" s="85"/>
      <c r="OI500" s="85"/>
      <c r="OJ500" s="85"/>
      <c r="OK500" s="85"/>
      <c r="OL500" s="85"/>
      <c r="OM500" s="85"/>
      <c r="ON500" s="85"/>
      <c r="OO500" s="85"/>
      <c r="OP500" s="85"/>
      <c r="OQ500" s="85"/>
      <c r="OR500" s="85"/>
      <c r="OS500" s="85"/>
      <c r="OT500" s="85"/>
      <c r="OU500" s="85"/>
      <c r="OV500" s="85"/>
      <c r="OW500" s="85"/>
      <c r="OX500" s="85"/>
      <c r="OY500" s="85"/>
      <c r="OZ500" s="85"/>
      <c r="PA500" s="85"/>
      <c r="PB500" s="85"/>
      <c r="PC500" s="85"/>
      <c r="PD500" s="85"/>
      <c r="PE500" s="85"/>
      <c r="PF500" s="85"/>
      <c r="PG500" s="85"/>
      <c r="PH500" s="85"/>
      <c r="PI500" s="85"/>
      <c r="PJ500" s="85"/>
      <c r="PK500" s="85"/>
      <c r="PL500" s="85"/>
      <c r="PM500" s="85"/>
      <c r="PN500" s="85"/>
      <c r="PO500" s="85"/>
      <c r="PP500" s="85"/>
      <c r="PQ500" s="85"/>
      <c r="PR500" s="85"/>
      <c r="PS500" s="85"/>
      <c r="PT500" s="85"/>
      <c r="PU500" s="85"/>
      <c r="PV500" s="85"/>
      <c r="PW500" s="85"/>
      <c r="PX500" s="85"/>
      <c r="PY500" s="85"/>
      <c r="PZ500" s="85"/>
      <c r="QA500" s="85"/>
      <c r="QB500" s="85"/>
      <c r="QC500" s="85"/>
      <c r="QD500" s="85"/>
      <c r="QE500" s="85"/>
      <c r="QF500" s="85"/>
      <c r="QG500" s="85"/>
      <c r="QH500" s="85"/>
      <c r="QI500" s="85"/>
      <c r="QJ500" s="85"/>
      <c r="QK500" s="85"/>
      <c r="QL500" s="85"/>
      <c r="QM500" s="85"/>
      <c r="QN500" s="85"/>
      <c r="QO500" s="85"/>
      <c r="QP500" s="85"/>
      <c r="QQ500" s="85"/>
      <c r="QR500" s="85"/>
      <c r="QS500" s="85"/>
      <c r="QT500" s="85"/>
      <c r="QU500" s="85"/>
      <c r="QV500" s="85"/>
      <c r="QW500" s="85"/>
      <c r="QX500" s="85"/>
      <c r="QY500" s="85"/>
      <c r="QZ500" s="85"/>
      <c r="RA500" s="85"/>
      <c r="RB500" s="85"/>
      <c r="RC500" s="85"/>
      <c r="RD500" s="85"/>
      <c r="RE500" s="85"/>
      <c r="RF500" s="85"/>
      <c r="RG500" s="85"/>
      <c r="RH500" s="85"/>
      <c r="RI500" s="85"/>
      <c r="RJ500" s="85"/>
      <c r="RK500" s="85"/>
      <c r="RL500" s="85"/>
      <c r="RM500" s="85"/>
      <c r="RN500" s="85"/>
      <c r="RO500" s="85"/>
      <c r="RP500" s="85"/>
      <c r="RQ500" s="85"/>
      <c r="RR500" s="85"/>
      <c r="RS500" s="85"/>
      <c r="RT500" s="85"/>
      <c r="RU500" s="85"/>
      <c r="RV500" s="85"/>
      <c r="RW500" s="85"/>
      <c r="RX500" s="85"/>
      <c r="RY500" s="85"/>
      <c r="RZ500" s="85"/>
      <c r="SA500" s="85"/>
      <c r="SB500" s="85"/>
      <c r="SC500" s="85"/>
      <c r="SD500" s="85"/>
      <c r="SE500" s="85"/>
      <c r="SF500" s="85"/>
      <c r="SG500" s="85"/>
      <c r="SH500" s="85"/>
      <c r="SI500" s="85"/>
      <c r="SJ500" s="85"/>
      <c r="SK500" s="85"/>
      <c r="SL500" s="85"/>
      <c r="SM500" s="85"/>
      <c r="SN500" s="85"/>
      <c r="SO500" s="85"/>
      <c r="SP500" s="85"/>
      <c r="SQ500" s="85"/>
      <c r="SR500" s="85"/>
      <c r="SS500" s="85"/>
      <c r="ST500" s="85"/>
      <c r="SU500" s="85"/>
      <c r="SV500" s="85"/>
      <c r="SW500" s="85"/>
      <c r="SX500" s="85"/>
      <c r="SY500" s="85"/>
      <c r="SZ500" s="85"/>
      <c r="TA500" s="85"/>
      <c r="TB500" s="85"/>
      <c r="TC500" s="85"/>
      <c r="TD500" s="85"/>
      <c r="TE500" s="85"/>
      <c r="TF500" s="85"/>
      <c r="TG500" s="85"/>
      <c r="TH500" s="85"/>
      <c r="TI500" s="85"/>
      <c r="TJ500" s="85"/>
      <c r="TK500" s="85"/>
      <c r="TL500" s="85"/>
    </row>
    <row r="501" spans="1:532" s="168" customFormat="1" ht="12.75" customHeight="1">
      <c r="A501" s="164" t="s">
        <v>360</v>
      </c>
      <c r="B501" s="239"/>
      <c r="C501" s="165"/>
      <c r="D501" s="165">
        <f>+D467+D454++D444+D434+D428+D417+D220+D178+D174+D170+D144+D135+D371</f>
        <v>8636653460.3600006</v>
      </c>
      <c r="E501" s="165">
        <f>+E467+E454++E444+E434+E428+E417+E220+E178+E174+E170+E144+E135+E371</f>
        <v>12717638514.460001</v>
      </c>
      <c r="F501" s="238"/>
      <c r="G501" s="166"/>
      <c r="H501" s="167"/>
      <c r="I501" s="165">
        <f>+I467+I454++I444+I434+I428+I417+I220+I178+I174+I170+I144+I135+I371+I11-I14-I16-I12</f>
        <v>10908679867.500002</v>
      </c>
      <c r="J501" s="165">
        <f>+J467+J454++J444+J434+J428+J417+J220+J178+J174+J170+J144+J135+J371</f>
        <v>6081570818.2800007</v>
      </c>
      <c r="K501" s="165">
        <f>+K467+K454++K444+K434+K428+K417+K220+K178+K174+K170+K144+K135+K371</f>
        <v>412104134.63999999</v>
      </c>
      <c r="L501" s="165">
        <f>+L467+L454++L444+L434+L428+L417+L220+L178+L174+L170+L144+L135+L371</f>
        <v>0</v>
      </c>
      <c r="M501" s="165">
        <f>+M467+M454++M444+M434+M428+M417+M220+M178+M174+M170+M144+M135+M371</f>
        <v>0</v>
      </c>
      <c r="N501" s="165">
        <f>+N467+N454+N444+N434+N428+N417+N220+N178+N174+N170+N144+N135+N371+N11-N15-N120-N121-N122</f>
        <v>10540259608.13838</v>
      </c>
      <c r="O501" s="85"/>
      <c r="P501" s="85"/>
      <c r="Q501" s="85"/>
      <c r="R501" s="85"/>
      <c r="S501" s="85"/>
      <c r="T501" s="85"/>
      <c r="U501" s="85"/>
      <c r="V501" s="85"/>
      <c r="W501" s="85"/>
      <c r="X501" s="85"/>
      <c r="Y501" s="85"/>
      <c r="Z501" s="85"/>
      <c r="AA501" s="85"/>
      <c r="AB501" s="85"/>
      <c r="AC501" s="85"/>
      <c r="AD501" s="85"/>
      <c r="AE501" s="85"/>
      <c r="AF501" s="85"/>
      <c r="AG501" s="85"/>
      <c r="AH501" s="85"/>
      <c r="AI501" s="85"/>
      <c r="AJ501" s="85"/>
      <c r="AK501" s="85"/>
      <c r="AL501" s="85"/>
      <c r="AM501" s="85"/>
      <c r="AN501" s="85"/>
      <c r="AO501" s="85"/>
      <c r="AP501" s="85"/>
      <c r="AQ501" s="85"/>
      <c r="AR501" s="85"/>
      <c r="AS501" s="85"/>
      <c r="AT501" s="85"/>
      <c r="AU501" s="85"/>
      <c r="AV501" s="85"/>
      <c r="AW501" s="85"/>
      <c r="AX501" s="85"/>
      <c r="AY501" s="85"/>
      <c r="AZ501" s="85"/>
      <c r="BA501" s="85"/>
      <c r="BB501" s="85"/>
      <c r="BC501" s="85"/>
      <c r="BD501" s="85"/>
      <c r="BE501" s="85"/>
      <c r="BF501" s="85"/>
      <c r="BG501" s="85"/>
      <c r="BH501" s="85"/>
      <c r="BI501" s="85"/>
      <c r="BJ501" s="85"/>
      <c r="BK501" s="85"/>
      <c r="BL501" s="85"/>
      <c r="BM501" s="85"/>
      <c r="BN501" s="85"/>
      <c r="BO501" s="85"/>
      <c r="BP501" s="85"/>
      <c r="BQ501" s="85"/>
      <c r="BR501" s="85"/>
      <c r="BS501" s="85"/>
      <c r="BT501" s="85"/>
      <c r="BU501" s="85"/>
      <c r="BV501" s="85"/>
      <c r="BW501" s="85"/>
      <c r="BX501" s="85"/>
      <c r="BY501" s="85"/>
      <c r="BZ501" s="85"/>
      <c r="CA501" s="85"/>
      <c r="CB501" s="85"/>
      <c r="CC501" s="85"/>
      <c r="CD501" s="85"/>
      <c r="CE501" s="85"/>
      <c r="CF501" s="85"/>
      <c r="CG501" s="85"/>
      <c r="CH501" s="85"/>
      <c r="CI501" s="85"/>
      <c r="CJ501" s="85"/>
      <c r="CK501" s="85"/>
      <c r="CL501" s="85"/>
      <c r="CM501" s="85"/>
      <c r="CN501" s="85"/>
      <c r="CO501" s="85"/>
      <c r="CP501" s="85"/>
      <c r="CQ501" s="85"/>
      <c r="CR501" s="85"/>
      <c r="CS501" s="85"/>
      <c r="CT501" s="85"/>
      <c r="CU501" s="85"/>
      <c r="CV501" s="85"/>
      <c r="CW501" s="85"/>
      <c r="CX501" s="85"/>
      <c r="CY501" s="85"/>
      <c r="CZ501" s="85"/>
      <c r="DA501" s="85"/>
      <c r="DB501" s="85"/>
      <c r="DC501" s="85"/>
      <c r="DD501" s="85"/>
      <c r="DE501" s="85"/>
      <c r="DF501" s="85"/>
      <c r="DG501" s="85"/>
      <c r="DH501" s="85"/>
      <c r="DI501" s="85"/>
      <c r="DJ501" s="85"/>
      <c r="DK501" s="85"/>
      <c r="DL501" s="85"/>
      <c r="DM501" s="85"/>
      <c r="DN501" s="85"/>
      <c r="DO501" s="85"/>
      <c r="DP501" s="85"/>
      <c r="DQ501" s="85"/>
      <c r="DR501" s="85"/>
      <c r="DS501" s="85"/>
      <c r="DT501" s="85"/>
      <c r="DU501" s="85"/>
      <c r="DV501" s="85"/>
      <c r="DW501" s="85"/>
      <c r="DX501" s="85"/>
      <c r="DY501" s="85"/>
      <c r="DZ501" s="85"/>
      <c r="EA501" s="85"/>
      <c r="EB501" s="85"/>
      <c r="EC501" s="85"/>
      <c r="ED501" s="85"/>
      <c r="EE501" s="85"/>
      <c r="EF501" s="85"/>
      <c r="EG501" s="85"/>
      <c r="EH501" s="85"/>
      <c r="EI501" s="85"/>
      <c r="EJ501" s="85"/>
      <c r="EK501" s="85"/>
      <c r="EL501" s="85"/>
      <c r="EM501" s="85"/>
      <c r="EN501" s="85"/>
      <c r="EO501" s="85"/>
      <c r="EP501" s="85"/>
      <c r="EQ501" s="85"/>
      <c r="ER501" s="85"/>
      <c r="ES501" s="85"/>
      <c r="ET501" s="85"/>
      <c r="EU501" s="85"/>
      <c r="EV501" s="85"/>
      <c r="EW501" s="85"/>
      <c r="EX501" s="85"/>
      <c r="EY501" s="85"/>
      <c r="EZ501" s="85"/>
      <c r="FA501" s="85"/>
      <c r="FB501" s="85"/>
      <c r="FC501" s="85"/>
      <c r="FD501" s="85"/>
      <c r="FE501" s="85"/>
      <c r="FF501" s="85"/>
      <c r="FG501" s="85"/>
      <c r="FH501" s="85"/>
      <c r="FI501" s="85"/>
      <c r="FJ501" s="85"/>
      <c r="FK501" s="85"/>
      <c r="FL501" s="85"/>
      <c r="FM501" s="85"/>
      <c r="FN501" s="85"/>
      <c r="FO501" s="85"/>
      <c r="FP501" s="85"/>
      <c r="FQ501" s="85"/>
      <c r="FR501" s="85"/>
      <c r="FS501" s="85"/>
      <c r="FT501" s="85"/>
      <c r="FU501" s="85"/>
      <c r="FV501" s="85"/>
      <c r="FW501" s="85"/>
      <c r="FX501" s="85"/>
      <c r="FY501" s="85"/>
      <c r="FZ501" s="85"/>
      <c r="GA501" s="85"/>
      <c r="GB501" s="85"/>
      <c r="GC501" s="85"/>
      <c r="GD501" s="85"/>
      <c r="GE501" s="85"/>
      <c r="GF501" s="85"/>
      <c r="GG501" s="85"/>
      <c r="GH501" s="85"/>
      <c r="GI501" s="85"/>
      <c r="GJ501" s="85"/>
      <c r="GK501" s="85"/>
      <c r="GL501" s="85"/>
      <c r="GM501" s="85"/>
      <c r="GN501" s="85"/>
      <c r="GO501" s="85"/>
      <c r="GP501" s="85"/>
      <c r="GQ501" s="85"/>
      <c r="GR501" s="85"/>
      <c r="GS501" s="85"/>
      <c r="GT501" s="85"/>
      <c r="GU501" s="85"/>
      <c r="GV501" s="85"/>
      <c r="GW501" s="85"/>
      <c r="GX501" s="85"/>
      <c r="GY501" s="85"/>
      <c r="GZ501" s="85"/>
      <c r="HA501" s="85"/>
      <c r="HB501" s="85"/>
      <c r="HC501" s="85"/>
      <c r="HD501" s="85"/>
      <c r="HE501" s="85"/>
      <c r="HF501" s="85"/>
      <c r="HG501" s="85"/>
      <c r="HH501" s="85"/>
      <c r="HI501" s="85"/>
      <c r="HJ501" s="85"/>
      <c r="HK501" s="85"/>
      <c r="HL501" s="85"/>
      <c r="HM501" s="85"/>
      <c r="HN501" s="85"/>
      <c r="HO501" s="85"/>
      <c r="HP501" s="85"/>
      <c r="HQ501" s="85"/>
      <c r="HR501" s="85"/>
      <c r="HS501" s="85"/>
      <c r="HT501" s="85"/>
      <c r="HU501" s="85"/>
      <c r="HV501" s="85"/>
      <c r="HW501" s="85"/>
      <c r="HX501" s="85"/>
      <c r="HY501" s="85"/>
      <c r="HZ501" s="85"/>
      <c r="IA501" s="85"/>
      <c r="IB501" s="85"/>
      <c r="IC501" s="85"/>
      <c r="ID501" s="85"/>
      <c r="IE501" s="85"/>
      <c r="IF501" s="85"/>
      <c r="IG501" s="85"/>
      <c r="IH501" s="85"/>
      <c r="II501" s="85"/>
      <c r="IJ501" s="85"/>
      <c r="IK501" s="85"/>
      <c r="IL501" s="85"/>
      <c r="IM501" s="85"/>
      <c r="IN501" s="85"/>
      <c r="IO501" s="85"/>
      <c r="IP501" s="85"/>
      <c r="IQ501" s="85"/>
      <c r="IR501" s="85"/>
      <c r="IS501" s="85"/>
      <c r="IT501" s="85"/>
      <c r="IU501" s="85"/>
      <c r="IV501" s="85"/>
      <c r="IW501" s="85"/>
      <c r="IX501" s="85"/>
      <c r="IY501" s="85"/>
      <c r="IZ501" s="85"/>
      <c r="JA501" s="85"/>
      <c r="JB501" s="85"/>
      <c r="JC501" s="85"/>
      <c r="JD501" s="85"/>
      <c r="JE501" s="85"/>
      <c r="JF501" s="85"/>
      <c r="JG501" s="85"/>
      <c r="JH501" s="85"/>
      <c r="JI501" s="85"/>
      <c r="JJ501" s="85"/>
      <c r="JK501" s="85"/>
      <c r="JL501" s="85"/>
      <c r="JM501" s="85"/>
      <c r="JN501" s="85"/>
      <c r="JO501" s="85"/>
      <c r="JP501" s="85"/>
      <c r="JQ501" s="85"/>
      <c r="JR501" s="85"/>
      <c r="JS501" s="85"/>
      <c r="JT501" s="85"/>
      <c r="JU501" s="85"/>
      <c r="JV501" s="85"/>
      <c r="JW501" s="85"/>
      <c r="JX501" s="85"/>
      <c r="JY501" s="85"/>
      <c r="JZ501" s="85"/>
      <c r="KA501" s="85"/>
      <c r="KB501" s="85"/>
      <c r="KC501" s="85"/>
      <c r="KD501" s="85"/>
      <c r="KE501" s="85"/>
      <c r="KF501" s="85"/>
      <c r="KG501" s="85"/>
      <c r="KH501" s="85"/>
      <c r="KI501" s="85"/>
      <c r="KJ501" s="85"/>
      <c r="KK501" s="85"/>
      <c r="KL501" s="85"/>
      <c r="KM501" s="85"/>
      <c r="KN501" s="85"/>
      <c r="KO501" s="85"/>
      <c r="KP501" s="85"/>
      <c r="KQ501" s="85"/>
      <c r="KR501" s="85"/>
      <c r="KS501" s="85"/>
      <c r="KT501" s="85"/>
      <c r="KU501" s="85"/>
      <c r="KV501" s="85"/>
      <c r="KW501" s="85"/>
      <c r="KX501" s="85"/>
      <c r="KY501" s="85"/>
      <c r="KZ501" s="85"/>
      <c r="LA501" s="85"/>
      <c r="LB501" s="85"/>
      <c r="LC501" s="85"/>
      <c r="LD501" s="85"/>
      <c r="LE501" s="85"/>
      <c r="LF501" s="85"/>
      <c r="LG501" s="85"/>
      <c r="LH501" s="85"/>
      <c r="LI501" s="85"/>
      <c r="LJ501" s="85"/>
      <c r="LK501" s="85"/>
      <c r="LL501" s="85"/>
      <c r="LM501" s="85"/>
      <c r="LN501" s="85"/>
      <c r="LO501" s="85"/>
      <c r="LP501" s="85"/>
      <c r="LQ501" s="85"/>
      <c r="LR501" s="85"/>
      <c r="LS501" s="85"/>
      <c r="LT501" s="85"/>
      <c r="LU501" s="85"/>
      <c r="LV501" s="85"/>
      <c r="LW501" s="85"/>
      <c r="LX501" s="85"/>
      <c r="LY501" s="85"/>
      <c r="LZ501" s="85"/>
      <c r="MA501" s="85"/>
      <c r="MB501" s="85"/>
      <c r="MC501" s="85"/>
      <c r="MD501" s="85"/>
      <c r="ME501" s="85"/>
      <c r="MF501" s="85"/>
      <c r="MG501" s="85"/>
      <c r="MH501" s="85"/>
      <c r="MI501" s="85"/>
      <c r="MJ501" s="85"/>
      <c r="MK501" s="85"/>
      <c r="ML501" s="85"/>
      <c r="MM501" s="85"/>
      <c r="MN501" s="85"/>
      <c r="MO501" s="85"/>
      <c r="MP501" s="85"/>
      <c r="MQ501" s="85"/>
      <c r="MR501" s="85"/>
      <c r="MS501" s="85"/>
      <c r="MT501" s="85"/>
      <c r="MU501" s="85"/>
      <c r="MV501" s="85"/>
      <c r="MW501" s="85"/>
      <c r="MX501" s="85"/>
      <c r="MY501" s="85"/>
      <c r="MZ501" s="85"/>
      <c r="NA501" s="85"/>
      <c r="NB501" s="85"/>
      <c r="NC501" s="85"/>
      <c r="ND501" s="85"/>
      <c r="NE501" s="85"/>
      <c r="NF501" s="85"/>
      <c r="NG501" s="85"/>
      <c r="NH501" s="85"/>
      <c r="NI501" s="85"/>
      <c r="NJ501" s="85"/>
      <c r="NK501" s="85"/>
      <c r="NL501" s="85"/>
      <c r="NM501" s="85"/>
      <c r="NN501" s="85"/>
      <c r="NO501" s="85"/>
      <c r="NP501" s="85"/>
      <c r="NQ501" s="85"/>
      <c r="NR501" s="85"/>
      <c r="NS501" s="85"/>
      <c r="NT501" s="85"/>
      <c r="NU501" s="85"/>
      <c r="NV501" s="85"/>
      <c r="NW501" s="85"/>
      <c r="NX501" s="85"/>
      <c r="NY501" s="85"/>
      <c r="NZ501" s="85"/>
      <c r="OA501" s="85"/>
      <c r="OB501" s="85"/>
      <c r="OC501" s="85"/>
      <c r="OD501" s="85"/>
      <c r="OE501" s="85"/>
      <c r="OF501" s="85"/>
      <c r="OG501" s="85"/>
      <c r="OH501" s="85"/>
      <c r="OI501" s="85"/>
      <c r="OJ501" s="85"/>
      <c r="OK501" s="85"/>
      <c r="OL501" s="85"/>
      <c r="OM501" s="85"/>
      <c r="ON501" s="85"/>
      <c r="OO501" s="85"/>
      <c r="OP501" s="85"/>
      <c r="OQ501" s="85"/>
      <c r="OR501" s="85"/>
      <c r="OS501" s="85"/>
      <c r="OT501" s="85"/>
      <c r="OU501" s="85"/>
      <c r="OV501" s="85"/>
      <c r="OW501" s="85"/>
      <c r="OX501" s="85"/>
      <c r="OY501" s="85"/>
      <c r="OZ501" s="85"/>
      <c r="PA501" s="85"/>
      <c r="PB501" s="85"/>
      <c r="PC501" s="85"/>
      <c r="PD501" s="85"/>
      <c r="PE501" s="85"/>
      <c r="PF501" s="85"/>
      <c r="PG501" s="85"/>
      <c r="PH501" s="85"/>
      <c r="PI501" s="85"/>
      <c r="PJ501" s="85"/>
      <c r="PK501" s="85"/>
      <c r="PL501" s="85"/>
      <c r="PM501" s="85"/>
      <c r="PN501" s="85"/>
      <c r="PO501" s="85"/>
      <c r="PP501" s="85"/>
      <c r="PQ501" s="85"/>
      <c r="PR501" s="85"/>
      <c r="PS501" s="85"/>
      <c r="PT501" s="85"/>
      <c r="PU501" s="85"/>
      <c r="PV501" s="85"/>
      <c r="PW501" s="85"/>
      <c r="PX501" s="85"/>
      <c r="PY501" s="85"/>
      <c r="PZ501" s="85"/>
      <c r="QA501" s="85"/>
      <c r="QB501" s="85"/>
      <c r="QC501" s="85"/>
      <c r="QD501" s="85"/>
      <c r="QE501" s="85"/>
      <c r="QF501" s="85"/>
      <c r="QG501" s="85"/>
      <c r="QH501" s="85"/>
      <c r="QI501" s="85"/>
      <c r="QJ501" s="85"/>
      <c r="QK501" s="85"/>
      <c r="QL501" s="85"/>
      <c r="QM501" s="85"/>
      <c r="QN501" s="85"/>
      <c r="QO501" s="85"/>
      <c r="QP501" s="85"/>
      <c r="QQ501" s="85"/>
      <c r="QR501" s="85"/>
      <c r="QS501" s="85"/>
      <c r="QT501" s="85"/>
      <c r="QU501" s="85"/>
      <c r="QV501" s="85"/>
      <c r="QW501" s="85"/>
      <c r="QX501" s="85"/>
      <c r="QY501" s="85"/>
      <c r="QZ501" s="85"/>
      <c r="RA501" s="85"/>
      <c r="RB501" s="85"/>
      <c r="RC501" s="85"/>
      <c r="RD501" s="85"/>
      <c r="RE501" s="85"/>
      <c r="RF501" s="85"/>
      <c r="RG501" s="85"/>
      <c r="RH501" s="85"/>
      <c r="RI501" s="85"/>
      <c r="RJ501" s="85"/>
      <c r="RK501" s="85"/>
      <c r="RL501" s="85"/>
      <c r="RM501" s="85"/>
      <c r="RN501" s="85"/>
      <c r="RO501" s="85"/>
      <c r="RP501" s="85"/>
      <c r="RQ501" s="85"/>
      <c r="RR501" s="85"/>
      <c r="RS501" s="85"/>
      <c r="RT501" s="85"/>
      <c r="RU501" s="85"/>
      <c r="RV501" s="85"/>
      <c r="RW501" s="85"/>
      <c r="RX501" s="85"/>
      <c r="RY501" s="85"/>
      <c r="RZ501" s="85"/>
      <c r="SA501" s="85"/>
      <c r="SB501" s="85"/>
      <c r="SC501" s="85"/>
      <c r="SD501" s="85"/>
      <c r="SE501" s="85"/>
      <c r="SF501" s="85"/>
      <c r="SG501" s="85"/>
      <c r="SH501" s="85"/>
      <c r="SI501" s="85"/>
      <c r="SJ501" s="85"/>
      <c r="SK501" s="85"/>
      <c r="SL501" s="85"/>
      <c r="SM501" s="85"/>
      <c r="SN501" s="85"/>
      <c r="SO501" s="85"/>
      <c r="SP501" s="85"/>
      <c r="SQ501" s="85"/>
      <c r="SR501" s="85"/>
      <c r="SS501" s="85"/>
      <c r="ST501" s="85"/>
      <c r="SU501" s="85"/>
      <c r="SV501" s="85"/>
      <c r="SW501" s="85"/>
      <c r="SX501" s="85"/>
      <c r="SY501" s="85"/>
      <c r="SZ501" s="85"/>
      <c r="TA501" s="85"/>
      <c r="TB501" s="85"/>
      <c r="TC501" s="85"/>
      <c r="TD501" s="85"/>
      <c r="TE501" s="85"/>
      <c r="TF501" s="85"/>
      <c r="TG501" s="85"/>
      <c r="TH501" s="85"/>
      <c r="TI501" s="85"/>
      <c r="TJ501" s="85"/>
      <c r="TK501" s="85"/>
      <c r="TL501" s="85"/>
    </row>
    <row r="502" spans="1:532" s="172" customFormat="1" ht="12.75" customHeight="1">
      <c r="A502" s="169" t="s">
        <v>361</v>
      </c>
      <c r="B502" s="237"/>
      <c r="C502" s="170"/>
      <c r="D502" s="170">
        <f>+D494+D479+D475+D471+D458+D421+D392+D386+D375++D361+D350+D339+D326+D319+D306+D291+D283+D272+D257+D251+D141+D127+D11+D367+D464+D498</f>
        <v>24923705531.530003</v>
      </c>
      <c r="E502" s="170">
        <f>+E494+E479+E475+E471+E458+E421+E392+E386+E375++E361+E350+E339+E326+E319+E306+E291+E283+E272+E257+E251+E141+E127+E11+E367+E464+E498</f>
        <v>31106947889.099998</v>
      </c>
      <c r="F502" s="236"/>
      <c r="G502" s="171"/>
      <c r="H502" s="120"/>
      <c r="I502" s="170">
        <f>+I494+I479+I475+I471+I458+I421+I392+I386+I375+I361+I350+I339+I326+I319+I306+I291+I283+I272+I257+I251+I141+I127+I367+I12+I14+I16</f>
        <v>10284005383.299999</v>
      </c>
      <c r="J502" s="170">
        <f>+J494+J479+J475+J471+J458+J421+J392+J386+J375+J361+J350+J339+J326+J319+J306+J291+J283+J272+J257+J251+J141+J127+J11+J367</f>
        <v>11762219022.890001</v>
      </c>
      <c r="K502" s="170">
        <f>+K494+K479+K475+K471+K458+K421+K392+K386+K375+K361+K350+K339+K326+K319+K306+K291+K283+K272+K257+K251+K141+K127+K11+K367</f>
        <v>2670398400.9399996</v>
      </c>
      <c r="L502" s="170">
        <f>+L494+L479+L475+L471+L458+L421+L392+L386+L375+L361+L350+L339+L326+L319+L306+L291+L283+L272+L257+L251+L141+L127+L11+L367</f>
        <v>266392874.04999998</v>
      </c>
      <c r="M502" s="170">
        <f>+M494+M479+M475+M471+M458+M421+M392+M386+M375+M361+M350+M339+M326+M319+M306+M291+M283+M272+M257+M251+M141+M127+M11+M367</f>
        <v>0</v>
      </c>
      <c r="N502" s="170">
        <f>+N494+N479+N475+N471+N458+N421+N392+N386+N375+N361+N350+N339+N326+N319+N306+N291+N283+N272+N257+N251+N141+N127+N367+N498+N464+N15+N120+N121+N122</f>
        <v>12091641544.629206</v>
      </c>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85"/>
      <c r="AL502" s="85"/>
      <c r="AM502" s="85"/>
      <c r="AN502" s="85"/>
      <c r="AO502" s="85"/>
      <c r="AP502" s="85"/>
      <c r="AQ502" s="85"/>
      <c r="AR502" s="85"/>
      <c r="AS502" s="85"/>
      <c r="AT502" s="85"/>
      <c r="AU502" s="85"/>
      <c r="AV502" s="85"/>
      <c r="AW502" s="85"/>
      <c r="AX502" s="85"/>
      <c r="AY502" s="85"/>
      <c r="AZ502" s="85"/>
      <c r="BA502" s="85"/>
      <c r="BB502" s="85"/>
      <c r="BC502" s="85"/>
      <c r="BD502" s="85"/>
      <c r="BE502" s="85"/>
      <c r="BF502" s="85"/>
      <c r="BG502" s="85"/>
      <c r="BH502" s="85"/>
      <c r="BI502" s="85"/>
      <c r="BJ502" s="85"/>
      <c r="BK502" s="85"/>
      <c r="BL502" s="85"/>
      <c r="BM502" s="85"/>
      <c r="BN502" s="85"/>
      <c r="BO502" s="85"/>
      <c r="BP502" s="85"/>
      <c r="BQ502" s="85"/>
      <c r="BR502" s="85"/>
      <c r="BS502" s="85"/>
      <c r="BT502" s="85"/>
      <c r="BU502" s="85"/>
      <c r="BV502" s="85"/>
      <c r="BW502" s="85"/>
      <c r="BX502" s="85"/>
      <c r="BY502" s="85"/>
      <c r="BZ502" s="85"/>
      <c r="CA502" s="85"/>
      <c r="CB502" s="85"/>
      <c r="CC502" s="85"/>
      <c r="CD502" s="85"/>
      <c r="CE502" s="85"/>
      <c r="CF502" s="85"/>
      <c r="CG502" s="85"/>
      <c r="CH502" s="85"/>
      <c r="CI502" s="85"/>
      <c r="CJ502" s="85"/>
      <c r="CK502" s="85"/>
      <c r="CL502" s="85"/>
      <c r="CM502" s="85"/>
      <c r="CN502" s="85"/>
      <c r="CO502" s="85"/>
      <c r="CP502" s="85"/>
      <c r="CQ502" s="85"/>
      <c r="CR502" s="85"/>
      <c r="CS502" s="85"/>
      <c r="CT502" s="85"/>
      <c r="CU502" s="85"/>
      <c r="CV502" s="85"/>
      <c r="CW502" s="85"/>
      <c r="CX502" s="85"/>
      <c r="CY502" s="85"/>
      <c r="CZ502" s="85"/>
      <c r="DA502" s="85"/>
      <c r="DB502" s="85"/>
      <c r="DC502" s="85"/>
      <c r="DD502" s="85"/>
      <c r="DE502" s="85"/>
      <c r="DF502" s="85"/>
      <c r="DG502" s="85"/>
      <c r="DH502" s="85"/>
      <c r="DI502" s="85"/>
      <c r="DJ502" s="85"/>
      <c r="DK502" s="85"/>
      <c r="DL502" s="85"/>
      <c r="DM502" s="85"/>
      <c r="DN502" s="85"/>
      <c r="DO502" s="85"/>
      <c r="DP502" s="85"/>
      <c r="DQ502" s="85"/>
      <c r="DR502" s="85"/>
      <c r="DS502" s="85"/>
      <c r="DT502" s="85"/>
      <c r="DU502" s="85"/>
      <c r="DV502" s="85"/>
      <c r="DW502" s="85"/>
      <c r="DX502" s="85"/>
      <c r="DY502" s="85"/>
      <c r="DZ502" s="85"/>
      <c r="EA502" s="85"/>
      <c r="EB502" s="85"/>
      <c r="EC502" s="85"/>
      <c r="ED502" s="85"/>
      <c r="EE502" s="85"/>
      <c r="EF502" s="85"/>
      <c r="EG502" s="85"/>
      <c r="EH502" s="85"/>
      <c r="EI502" s="85"/>
      <c r="EJ502" s="85"/>
      <c r="EK502" s="85"/>
      <c r="EL502" s="85"/>
      <c r="EM502" s="85"/>
      <c r="EN502" s="85"/>
      <c r="EO502" s="85"/>
      <c r="EP502" s="85"/>
      <c r="EQ502" s="85"/>
      <c r="ER502" s="85"/>
      <c r="ES502" s="85"/>
      <c r="ET502" s="85"/>
      <c r="EU502" s="85"/>
      <c r="EV502" s="85"/>
      <c r="EW502" s="85"/>
      <c r="EX502" s="85"/>
      <c r="EY502" s="85"/>
      <c r="EZ502" s="85"/>
      <c r="FA502" s="85"/>
      <c r="FB502" s="85"/>
      <c r="FC502" s="85"/>
      <c r="FD502" s="85"/>
      <c r="FE502" s="85"/>
      <c r="FF502" s="85"/>
      <c r="FG502" s="85"/>
      <c r="FH502" s="85"/>
      <c r="FI502" s="85"/>
      <c r="FJ502" s="85"/>
      <c r="FK502" s="85"/>
      <c r="FL502" s="85"/>
      <c r="FM502" s="85"/>
      <c r="FN502" s="85"/>
      <c r="FO502" s="85"/>
      <c r="FP502" s="85"/>
      <c r="FQ502" s="85"/>
      <c r="FR502" s="85"/>
      <c r="FS502" s="85"/>
      <c r="FT502" s="85"/>
      <c r="FU502" s="85"/>
      <c r="FV502" s="85"/>
      <c r="FW502" s="85"/>
      <c r="FX502" s="85"/>
      <c r="FY502" s="85"/>
      <c r="FZ502" s="85"/>
      <c r="GA502" s="85"/>
      <c r="GB502" s="85"/>
      <c r="GC502" s="85"/>
      <c r="GD502" s="85"/>
      <c r="GE502" s="85"/>
      <c r="GF502" s="85"/>
      <c r="GG502" s="85"/>
      <c r="GH502" s="85"/>
      <c r="GI502" s="85"/>
      <c r="GJ502" s="85"/>
      <c r="GK502" s="85"/>
      <c r="GL502" s="85"/>
      <c r="GM502" s="85"/>
      <c r="GN502" s="85"/>
      <c r="GO502" s="85"/>
      <c r="GP502" s="85"/>
      <c r="GQ502" s="85"/>
      <c r="GR502" s="85"/>
      <c r="GS502" s="85"/>
      <c r="GT502" s="85"/>
      <c r="GU502" s="85"/>
      <c r="GV502" s="85"/>
      <c r="GW502" s="85"/>
      <c r="GX502" s="85"/>
      <c r="GY502" s="85"/>
      <c r="GZ502" s="85"/>
      <c r="HA502" s="85"/>
      <c r="HB502" s="85"/>
      <c r="HC502" s="85"/>
      <c r="HD502" s="85"/>
      <c r="HE502" s="85"/>
      <c r="HF502" s="85"/>
      <c r="HG502" s="85"/>
      <c r="HH502" s="85"/>
      <c r="HI502" s="85"/>
      <c r="HJ502" s="85"/>
      <c r="HK502" s="85"/>
      <c r="HL502" s="85"/>
      <c r="HM502" s="85"/>
      <c r="HN502" s="85"/>
      <c r="HO502" s="85"/>
      <c r="HP502" s="85"/>
      <c r="HQ502" s="85"/>
      <c r="HR502" s="85"/>
      <c r="HS502" s="85"/>
      <c r="HT502" s="85"/>
      <c r="HU502" s="85"/>
      <c r="HV502" s="85"/>
      <c r="HW502" s="85"/>
      <c r="HX502" s="85"/>
      <c r="HY502" s="85"/>
      <c r="HZ502" s="85"/>
      <c r="IA502" s="85"/>
      <c r="IB502" s="85"/>
      <c r="IC502" s="85"/>
      <c r="ID502" s="85"/>
      <c r="IE502" s="85"/>
      <c r="IF502" s="85"/>
      <c r="IG502" s="85"/>
      <c r="IH502" s="85"/>
      <c r="II502" s="85"/>
      <c r="IJ502" s="85"/>
      <c r="IK502" s="85"/>
      <c r="IL502" s="85"/>
      <c r="IM502" s="85"/>
      <c r="IN502" s="85"/>
      <c r="IO502" s="85"/>
      <c r="IP502" s="85"/>
      <c r="IQ502" s="85"/>
      <c r="IR502" s="85"/>
      <c r="IS502" s="85"/>
      <c r="IT502" s="85"/>
      <c r="IU502" s="85"/>
      <c r="IV502" s="85"/>
      <c r="IW502" s="85"/>
      <c r="IX502" s="85"/>
      <c r="IY502" s="85"/>
      <c r="IZ502" s="85"/>
      <c r="JA502" s="85"/>
      <c r="JB502" s="85"/>
      <c r="JC502" s="85"/>
      <c r="JD502" s="85"/>
      <c r="JE502" s="85"/>
      <c r="JF502" s="85"/>
      <c r="JG502" s="85"/>
      <c r="JH502" s="85"/>
      <c r="JI502" s="85"/>
      <c r="JJ502" s="85"/>
      <c r="JK502" s="85"/>
      <c r="JL502" s="85"/>
      <c r="JM502" s="85"/>
      <c r="JN502" s="85"/>
      <c r="JO502" s="85"/>
      <c r="JP502" s="85"/>
      <c r="JQ502" s="85"/>
      <c r="JR502" s="85"/>
      <c r="JS502" s="85"/>
      <c r="JT502" s="85"/>
      <c r="JU502" s="85"/>
      <c r="JV502" s="85"/>
      <c r="JW502" s="85"/>
      <c r="JX502" s="85"/>
      <c r="JY502" s="85"/>
      <c r="JZ502" s="85"/>
      <c r="KA502" s="85"/>
      <c r="KB502" s="85"/>
      <c r="KC502" s="85"/>
      <c r="KD502" s="85"/>
      <c r="KE502" s="85"/>
      <c r="KF502" s="85"/>
      <c r="KG502" s="85"/>
      <c r="KH502" s="85"/>
      <c r="KI502" s="85"/>
      <c r="KJ502" s="85"/>
      <c r="KK502" s="85"/>
      <c r="KL502" s="85"/>
      <c r="KM502" s="85"/>
      <c r="KN502" s="85"/>
      <c r="KO502" s="85"/>
      <c r="KP502" s="85"/>
      <c r="KQ502" s="85"/>
      <c r="KR502" s="85"/>
      <c r="KS502" s="85"/>
      <c r="KT502" s="85"/>
      <c r="KU502" s="85"/>
      <c r="KV502" s="85"/>
      <c r="KW502" s="85"/>
      <c r="KX502" s="85"/>
      <c r="KY502" s="85"/>
      <c r="KZ502" s="85"/>
      <c r="LA502" s="85"/>
      <c r="LB502" s="85"/>
      <c r="LC502" s="85"/>
      <c r="LD502" s="85"/>
      <c r="LE502" s="85"/>
      <c r="LF502" s="85"/>
      <c r="LG502" s="85"/>
      <c r="LH502" s="85"/>
      <c r="LI502" s="85"/>
      <c r="LJ502" s="85"/>
      <c r="LK502" s="85"/>
      <c r="LL502" s="85"/>
      <c r="LM502" s="85"/>
      <c r="LN502" s="85"/>
      <c r="LO502" s="85"/>
      <c r="LP502" s="85"/>
      <c r="LQ502" s="85"/>
      <c r="LR502" s="85"/>
      <c r="LS502" s="85"/>
      <c r="LT502" s="85"/>
      <c r="LU502" s="85"/>
      <c r="LV502" s="85"/>
      <c r="LW502" s="85"/>
      <c r="LX502" s="85"/>
      <c r="LY502" s="85"/>
      <c r="LZ502" s="85"/>
      <c r="MA502" s="85"/>
      <c r="MB502" s="85"/>
      <c r="MC502" s="85"/>
      <c r="MD502" s="85"/>
      <c r="ME502" s="85"/>
      <c r="MF502" s="85"/>
      <c r="MG502" s="85"/>
      <c r="MH502" s="85"/>
      <c r="MI502" s="85"/>
      <c r="MJ502" s="85"/>
      <c r="MK502" s="85"/>
      <c r="ML502" s="85"/>
      <c r="MM502" s="85"/>
      <c r="MN502" s="85"/>
      <c r="MO502" s="85"/>
      <c r="MP502" s="85"/>
      <c r="MQ502" s="85"/>
      <c r="MR502" s="85"/>
      <c r="MS502" s="85"/>
      <c r="MT502" s="85"/>
      <c r="MU502" s="85"/>
      <c r="MV502" s="85"/>
      <c r="MW502" s="85"/>
      <c r="MX502" s="85"/>
      <c r="MY502" s="85"/>
      <c r="MZ502" s="85"/>
      <c r="NA502" s="85"/>
      <c r="NB502" s="85"/>
      <c r="NC502" s="85"/>
      <c r="ND502" s="85"/>
      <c r="NE502" s="85"/>
      <c r="NF502" s="85"/>
      <c r="NG502" s="85"/>
      <c r="NH502" s="85"/>
      <c r="NI502" s="85"/>
      <c r="NJ502" s="85"/>
      <c r="NK502" s="85"/>
      <c r="NL502" s="85"/>
      <c r="NM502" s="85"/>
      <c r="NN502" s="85"/>
      <c r="NO502" s="85"/>
      <c r="NP502" s="85"/>
      <c r="NQ502" s="85"/>
      <c r="NR502" s="85"/>
      <c r="NS502" s="85"/>
      <c r="NT502" s="85"/>
      <c r="NU502" s="85"/>
      <c r="NV502" s="85"/>
      <c r="NW502" s="85"/>
      <c r="NX502" s="85"/>
      <c r="NY502" s="85"/>
      <c r="NZ502" s="85"/>
      <c r="OA502" s="85"/>
      <c r="OB502" s="85"/>
      <c r="OC502" s="85"/>
      <c r="OD502" s="85"/>
      <c r="OE502" s="85"/>
      <c r="OF502" s="85"/>
      <c r="OG502" s="85"/>
      <c r="OH502" s="85"/>
      <c r="OI502" s="85"/>
      <c r="OJ502" s="85"/>
      <c r="OK502" s="85"/>
      <c r="OL502" s="85"/>
      <c r="OM502" s="85"/>
      <c r="ON502" s="85"/>
      <c r="OO502" s="85"/>
      <c r="OP502" s="85"/>
      <c r="OQ502" s="85"/>
      <c r="OR502" s="85"/>
      <c r="OS502" s="85"/>
      <c r="OT502" s="85"/>
      <c r="OU502" s="85"/>
      <c r="OV502" s="85"/>
      <c r="OW502" s="85"/>
      <c r="OX502" s="85"/>
      <c r="OY502" s="85"/>
      <c r="OZ502" s="85"/>
      <c r="PA502" s="85"/>
      <c r="PB502" s="85"/>
      <c r="PC502" s="85"/>
      <c r="PD502" s="85"/>
      <c r="PE502" s="85"/>
      <c r="PF502" s="85"/>
      <c r="PG502" s="85"/>
      <c r="PH502" s="85"/>
      <c r="PI502" s="85"/>
      <c r="PJ502" s="85"/>
      <c r="PK502" s="85"/>
      <c r="PL502" s="85"/>
      <c r="PM502" s="85"/>
      <c r="PN502" s="85"/>
      <c r="PO502" s="85"/>
      <c r="PP502" s="85"/>
      <c r="PQ502" s="85"/>
      <c r="PR502" s="85"/>
      <c r="PS502" s="85"/>
      <c r="PT502" s="85"/>
      <c r="PU502" s="85"/>
      <c r="PV502" s="85"/>
      <c r="PW502" s="85"/>
      <c r="PX502" s="85"/>
      <c r="PY502" s="85"/>
      <c r="PZ502" s="85"/>
      <c r="QA502" s="85"/>
      <c r="QB502" s="85"/>
      <c r="QC502" s="85"/>
      <c r="QD502" s="85"/>
      <c r="QE502" s="85"/>
      <c r="QF502" s="85"/>
      <c r="QG502" s="85"/>
      <c r="QH502" s="85"/>
      <c r="QI502" s="85"/>
      <c r="QJ502" s="85"/>
      <c r="QK502" s="85"/>
      <c r="QL502" s="85"/>
      <c r="QM502" s="85"/>
      <c r="QN502" s="85"/>
      <c r="QO502" s="85"/>
      <c r="QP502" s="85"/>
      <c r="QQ502" s="85"/>
      <c r="QR502" s="85"/>
      <c r="QS502" s="85"/>
      <c r="QT502" s="85"/>
      <c r="QU502" s="85"/>
      <c r="QV502" s="85"/>
      <c r="QW502" s="85"/>
      <c r="QX502" s="85"/>
      <c r="QY502" s="85"/>
      <c r="QZ502" s="85"/>
      <c r="RA502" s="85"/>
      <c r="RB502" s="85"/>
      <c r="RC502" s="85"/>
      <c r="RD502" s="85"/>
      <c r="RE502" s="85"/>
      <c r="RF502" s="85"/>
      <c r="RG502" s="85"/>
      <c r="RH502" s="85"/>
      <c r="RI502" s="85"/>
      <c r="RJ502" s="85"/>
      <c r="RK502" s="85"/>
      <c r="RL502" s="85"/>
      <c r="RM502" s="85"/>
      <c r="RN502" s="85"/>
      <c r="RO502" s="85"/>
      <c r="RP502" s="85"/>
      <c r="RQ502" s="85"/>
      <c r="RR502" s="85"/>
      <c r="RS502" s="85"/>
      <c r="RT502" s="85"/>
      <c r="RU502" s="85"/>
      <c r="RV502" s="85"/>
      <c r="RW502" s="85"/>
      <c r="RX502" s="85"/>
      <c r="RY502" s="85"/>
      <c r="RZ502" s="85"/>
      <c r="SA502" s="85"/>
      <c r="SB502" s="85"/>
      <c r="SC502" s="85"/>
      <c r="SD502" s="85"/>
      <c r="SE502" s="85"/>
      <c r="SF502" s="85"/>
      <c r="SG502" s="85"/>
      <c r="SH502" s="85"/>
      <c r="SI502" s="85"/>
      <c r="SJ502" s="85"/>
      <c r="SK502" s="85"/>
      <c r="SL502" s="85"/>
      <c r="SM502" s="85"/>
      <c r="SN502" s="85"/>
      <c r="SO502" s="85"/>
      <c r="SP502" s="85"/>
      <c r="SQ502" s="85"/>
      <c r="SR502" s="85"/>
      <c r="SS502" s="85"/>
      <c r="ST502" s="85"/>
      <c r="SU502" s="85"/>
      <c r="SV502" s="85"/>
      <c r="SW502" s="85"/>
      <c r="SX502" s="85"/>
      <c r="SY502" s="85"/>
      <c r="SZ502" s="85"/>
      <c r="TA502" s="85"/>
      <c r="TB502" s="85"/>
      <c r="TC502" s="85"/>
      <c r="TD502" s="85"/>
      <c r="TE502" s="85"/>
      <c r="TF502" s="85"/>
      <c r="TG502" s="85"/>
      <c r="TH502" s="85"/>
      <c r="TI502" s="85"/>
      <c r="TJ502" s="85"/>
      <c r="TK502" s="85"/>
      <c r="TL502" s="85"/>
    </row>
    <row r="503" spans="1:532" s="85" customFormat="1" ht="12.75" customHeight="1">
      <c r="A503" s="122" t="s">
        <v>362</v>
      </c>
      <c r="B503" s="240"/>
      <c r="C503" s="124"/>
      <c r="D503" s="124">
        <f>+D501+D502</f>
        <v>33560358991.890003</v>
      </c>
      <c r="E503" s="124">
        <f>+E501+E502</f>
        <v>43824586403.559998</v>
      </c>
      <c r="F503" s="235"/>
      <c r="G503" s="138"/>
      <c r="H503" s="98"/>
      <c r="I503" s="124">
        <f>SUM(I501:I502)</f>
        <v>21192685250.800003</v>
      </c>
      <c r="J503" s="124">
        <f>SUM(J501:J502)</f>
        <v>17843789841.170002</v>
      </c>
      <c r="K503" s="124">
        <f>SUM(K501:K502)</f>
        <v>3082502535.5799994</v>
      </c>
      <c r="L503" s="124">
        <f>SUM(L501:L502)</f>
        <v>266392874.04999998</v>
      </c>
      <c r="M503" s="124">
        <f>SUM(M11:M496)</f>
        <v>0</v>
      </c>
      <c r="N503" s="124">
        <f>SUM(N501:N502)</f>
        <v>22631901152.767586</v>
      </c>
    </row>
    <row r="504" spans="1:532" s="85" customFormat="1" ht="12.75" customHeight="1">
      <c r="A504" s="122"/>
      <c r="B504" s="240"/>
      <c r="C504" s="124"/>
      <c r="D504" s="124">
        <f>+[2]ordinario!C739-[2]ordinario!C734-[2]ordinario!C727-[2]ordinario!C720-[2]ordinario!C704+'[2]Extra 01'!C342+'[2]EXTRA 2'!C270</f>
        <v>33560358991.890003</v>
      </c>
      <c r="E504" s="124">
        <f>+E503+19873093495.46</f>
        <v>63697679899.019997</v>
      </c>
      <c r="F504" s="235"/>
      <c r="G504" s="138"/>
      <c r="H504" s="98"/>
      <c r="I504" s="125"/>
      <c r="J504" s="125"/>
      <c r="K504" s="125"/>
      <c r="L504" s="125"/>
      <c r="M504" s="125">
        <f>SUM(J503:L503)</f>
        <v>21192685250.799999</v>
      </c>
      <c r="N504" s="125"/>
    </row>
    <row r="505" spans="1:532" s="85" customFormat="1" ht="12.75" customHeight="1">
      <c r="A505" s="122"/>
      <c r="B505" s="240"/>
      <c r="C505" s="124"/>
      <c r="D505" s="124"/>
      <c r="E505" s="124"/>
      <c r="F505" s="235"/>
      <c r="G505" s="138"/>
      <c r="H505" s="98"/>
      <c r="I505" s="125"/>
      <c r="J505" s="125"/>
      <c r="K505" s="125"/>
      <c r="L505" s="125"/>
      <c r="M505" s="125"/>
      <c r="N505" s="125"/>
    </row>
    <row r="506" spans="1:532" s="85" customFormat="1" ht="12.75" customHeight="1">
      <c r="A506" s="122"/>
      <c r="B506" s="240"/>
      <c r="C506" s="124"/>
      <c r="D506" s="124"/>
      <c r="E506" s="124"/>
      <c r="F506" s="235"/>
      <c r="G506" s="138"/>
      <c r="H506" s="98"/>
      <c r="I506" s="125"/>
      <c r="J506" s="125"/>
      <c r="K506" s="125"/>
      <c r="L506" s="125"/>
      <c r="M506" s="125"/>
      <c r="N506" s="125"/>
    </row>
    <row r="507" spans="1:532" s="163" customFormat="1" ht="12.75" customHeight="1">
      <c r="A507" s="158"/>
      <c r="B507" s="246"/>
      <c r="C507" s="159"/>
      <c r="D507" s="159"/>
      <c r="E507" s="159"/>
      <c r="F507" s="245"/>
      <c r="G507" s="160"/>
      <c r="H507" s="161"/>
      <c r="I507" s="162"/>
      <c r="J507" s="162"/>
      <c r="K507" s="162"/>
      <c r="L507" s="162"/>
      <c r="M507" s="162"/>
      <c r="N507" s="162"/>
      <c r="O507" s="85"/>
      <c r="P507" s="85"/>
      <c r="Q507" s="85"/>
      <c r="R507" s="85"/>
      <c r="S507" s="85"/>
      <c r="T507" s="85"/>
      <c r="U507" s="85"/>
      <c r="V507" s="85"/>
      <c r="W507" s="85"/>
      <c r="X507" s="85"/>
      <c r="Y507" s="85"/>
      <c r="Z507" s="85"/>
      <c r="AA507" s="85"/>
      <c r="AB507" s="85"/>
      <c r="AC507" s="85"/>
      <c r="AD507" s="85"/>
      <c r="AE507" s="85"/>
      <c r="AF507" s="85"/>
      <c r="AG507" s="85"/>
      <c r="AH507" s="85"/>
      <c r="AI507" s="85"/>
      <c r="AJ507" s="85"/>
      <c r="AK507" s="85"/>
      <c r="AL507" s="85"/>
      <c r="AM507" s="85"/>
      <c r="AN507" s="85"/>
      <c r="AO507" s="85"/>
      <c r="AP507" s="85"/>
      <c r="AQ507" s="85"/>
      <c r="AR507" s="85"/>
      <c r="AS507" s="85"/>
      <c r="AT507" s="85"/>
      <c r="AU507" s="85"/>
      <c r="AV507" s="85"/>
      <c r="AW507" s="85"/>
      <c r="AX507" s="85"/>
      <c r="AY507" s="85"/>
      <c r="AZ507" s="85"/>
      <c r="BA507" s="85"/>
      <c r="BB507" s="85"/>
      <c r="BC507" s="85"/>
      <c r="BD507" s="85"/>
      <c r="BE507" s="85"/>
      <c r="BF507" s="85"/>
      <c r="BG507" s="85"/>
      <c r="BH507" s="85"/>
      <c r="BI507" s="85"/>
      <c r="BJ507" s="85"/>
      <c r="BK507" s="85"/>
      <c r="BL507" s="85"/>
      <c r="BM507" s="85"/>
      <c r="BN507" s="85"/>
      <c r="BO507" s="85"/>
      <c r="BP507" s="85"/>
      <c r="BQ507" s="85"/>
      <c r="BR507" s="85"/>
      <c r="BS507" s="85"/>
      <c r="BT507" s="85"/>
      <c r="BU507" s="85"/>
      <c r="BV507" s="85"/>
      <c r="BW507" s="85"/>
      <c r="BX507" s="85"/>
      <c r="BY507" s="85"/>
      <c r="BZ507" s="85"/>
      <c r="CA507" s="85"/>
      <c r="CB507" s="85"/>
      <c r="CC507" s="85"/>
      <c r="CD507" s="85"/>
      <c r="CE507" s="85"/>
      <c r="CF507" s="85"/>
      <c r="CG507" s="85"/>
      <c r="CH507" s="85"/>
      <c r="CI507" s="85"/>
      <c r="CJ507" s="85"/>
      <c r="CK507" s="85"/>
      <c r="CL507" s="85"/>
      <c r="CM507" s="85"/>
      <c r="CN507" s="85"/>
      <c r="CO507" s="85"/>
      <c r="CP507" s="85"/>
      <c r="CQ507" s="85"/>
      <c r="CR507" s="85"/>
      <c r="CS507" s="85"/>
      <c r="CT507" s="85"/>
      <c r="CU507" s="85"/>
      <c r="CV507" s="85"/>
      <c r="CW507" s="85"/>
      <c r="CX507" s="85"/>
      <c r="CY507" s="85"/>
      <c r="CZ507" s="85"/>
      <c r="DA507" s="85"/>
      <c r="DB507" s="85"/>
      <c r="DC507" s="85"/>
      <c r="DD507" s="85"/>
      <c r="DE507" s="85"/>
      <c r="DF507" s="85"/>
      <c r="DG507" s="85"/>
      <c r="DH507" s="85"/>
      <c r="DI507" s="85"/>
      <c r="DJ507" s="85"/>
      <c r="DK507" s="85"/>
      <c r="DL507" s="85"/>
      <c r="DM507" s="85"/>
      <c r="DN507" s="85"/>
      <c r="DO507" s="85"/>
      <c r="DP507" s="85"/>
      <c r="DQ507" s="85"/>
      <c r="DR507" s="85"/>
      <c r="DS507" s="85"/>
      <c r="DT507" s="85"/>
      <c r="DU507" s="85"/>
      <c r="DV507" s="85"/>
      <c r="DW507" s="85"/>
      <c r="DX507" s="85"/>
      <c r="DY507" s="85"/>
      <c r="DZ507" s="85"/>
      <c r="EA507" s="85"/>
      <c r="EB507" s="85"/>
      <c r="EC507" s="85"/>
      <c r="ED507" s="85"/>
      <c r="EE507" s="85"/>
      <c r="EF507" s="85"/>
      <c r="EG507" s="85"/>
      <c r="EH507" s="85"/>
      <c r="EI507" s="85"/>
      <c r="EJ507" s="85"/>
      <c r="EK507" s="85"/>
      <c r="EL507" s="85"/>
      <c r="EM507" s="85"/>
      <c r="EN507" s="85"/>
      <c r="EO507" s="85"/>
      <c r="EP507" s="85"/>
      <c r="EQ507" s="85"/>
      <c r="ER507" s="85"/>
      <c r="ES507" s="85"/>
      <c r="ET507" s="85"/>
      <c r="EU507" s="85"/>
      <c r="EV507" s="85"/>
      <c r="EW507" s="85"/>
      <c r="EX507" s="85"/>
      <c r="EY507" s="85"/>
      <c r="EZ507" s="85"/>
      <c r="FA507" s="85"/>
      <c r="FB507" s="85"/>
      <c r="FC507" s="85"/>
      <c r="FD507" s="85"/>
      <c r="FE507" s="85"/>
      <c r="FF507" s="85"/>
      <c r="FG507" s="85"/>
      <c r="FH507" s="85"/>
      <c r="FI507" s="85"/>
      <c r="FJ507" s="85"/>
      <c r="FK507" s="85"/>
      <c r="FL507" s="85"/>
      <c r="FM507" s="85"/>
      <c r="FN507" s="85"/>
      <c r="FO507" s="85"/>
      <c r="FP507" s="85"/>
      <c r="FQ507" s="85"/>
      <c r="FR507" s="85"/>
      <c r="FS507" s="85"/>
      <c r="FT507" s="85"/>
      <c r="FU507" s="85"/>
      <c r="FV507" s="85"/>
      <c r="FW507" s="85"/>
      <c r="FX507" s="85"/>
      <c r="FY507" s="85"/>
      <c r="FZ507" s="85"/>
      <c r="GA507" s="85"/>
      <c r="GB507" s="85"/>
      <c r="GC507" s="85"/>
      <c r="GD507" s="85"/>
      <c r="GE507" s="85"/>
      <c r="GF507" s="85"/>
      <c r="GG507" s="85"/>
      <c r="GH507" s="85"/>
      <c r="GI507" s="85"/>
      <c r="GJ507" s="85"/>
      <c r="GK507" s="85"/>
      <c r="GL507" s="85"/>
      <c r="GM507" s="85"/>
      <c r="GN507" s="85"/>
      <c r="GO507" s="85"/>
      <c r="GP507" s="85"/>
      <c r="GQ507" s="85"/>
      <c r="GR507" s="85"/>
      <c r="GS507" s="85"/>
      <c r="GT507" s="85"/>
      <c r="GU507" s="85"/>
      <c r="GV507" s="85"/>
      <c r="GW507" s="85"/>
      <c r="GX507" s="85"/>
      <c r="GY507" s="85"/>
      <c r="GZ507" s="85"/>
      <c r="HA507" s="85"/>
      <c r="HB507" s="85"/>
      <c r="HC507" s="85"/>
      <c r="HD507" s="85"/>
      <c r="HE507" s="85"/>
      <c r="HF507" s="85"/>
      <c r="HG507" s="85"/>
      <c r="HH507" s="85"/>
      <c r="HI507" s="85"/>
      <c r="HJ507" s="85"/>
      <c r="HK507" s="85"/>
      <c r="HL507" s="85"/>
      <c r="HM507" s="85"/>
      <c r="HN507" s="85"/>
      <c r="HO507" s="85"/>
      <c r="HP507" s="85"/>
      <c r="HQ507" s="85"/>
      <c r="HR507" s="85"/>
      <c r="HS507" s="85"/>
      <c r="HT507" s="85"/>
      <c r="HU507" s="85"/>
      <c r="HV507" s="85"/>
      <c r="HW507" s="85"/>
      <c r="HX507" s="85"/>
      <c r="HY507" s="85"/>
      <c r="HZ507" s="85"/>
      <c r="IA507" s="85"/>
      <c r="IB507" s="85"/>
      <c r="IC507" s="85"/>
      <c r="ID507" s="85"/>
      <c r="IE507" s="85"/>
      <c r="IF507" s="85"/>
      <c r="IG507" s="85"/>
      <c r="IH507" s="85"/>
      <c r="II507" s="85"/>
      <c r="IJ507" s="85"/>
      <c r="IK507" s="85"/>
      <c r="IL507" s="85"/>
      <c r="IM507" s="85"/>
      <c r="IN507" s="85"/>
      <c r="IO507" s="85"/>
      <c r="IP507" s="85"/>
      <c r="IQ507" s="85"/>
      <c r="IR507" s="85"/>
      <c r="IS507" s="85"/>
      <c r="IT507" s="85"/>
      <c r="IU507" s="85"/>
      <c r="IV507" s="85"/>
      <c r="IW507" s="85"/>
      <c r="IX507" s="85"/>
      <c r="IY507" s="85"/>
      <c r="IZ507" s="85"/>
      <c r="JA507" s="85"/>
      <c r="JB507" s="85"/>
      <c r="JC507" s="85"/>
      <c r="JD507" s="85"/>
      <c r="JE507" s="85"/>
      <c r="JF507" s="85"/>
      <c r="JG507" s="85"/>
      <c r="JH507" s="85"/>
      <c r="JI507" s="85"/>
      <c r="JJ507" s="85"/>
      <c r="JK507" s="85"/>
      <c r="JL507" s="85"/>
      <c r="JM507" s="85"/>
      <c r="JN507" s="85"/>
      <c r="JO507" s="85"/>
      <c r="JP507" s="85"/>
      <c r="JQ507" s="85"/>
      <c r="JR507" s="85"/>
      <c r="JS507" s="85"/>
      <c r="JT507" s="85"/>
      <c r="JU507" s="85"/>
      <c r="JV507" s="85"/>
      <c r="JW507" s="85"/>
      <c r="JX507" s="85"/>
      <c r="JY507" s="85"/>
      <c r="JZ507" s="85"/>
      <c r="KA507" s="85"/>
      <c r="KB507" s="85"/>
      <c r="KC507" s="85"/>
      <c r="KD507" s="85"/>
      <c r="KE507" s="85"/>
      <c r="KF507" s="85"/>
      <c r="KG507" s="85"/>
      <c r="KH507" s="85"/>
      <c r="KI507" s="85"/>
      <c r="KJ507" s="85"/>
      <c r="KK507" s="85"/>
      <c r="KL507" s="85"/>
      <c r="KM507" s="85"/>
      <c r="KN507" s="85"/>
      <c r="KO507" s="85"/>
      <c r="KP507" s="85"/>
      <c r="KQ507" s="85"/>
      <c r="KR507" s="85"/>
      <c r="KS507" s="85"/>
      <c r="KT507" s="85"/>
      <c r="KU507" s="85"/>
      <c r="KV507" s="85"/>
      <c r="KW507" s="85"/>
      <c r="KX507" s="85"/>
      <c r="KY507" s="85"/>
      <c r="KZ507" s="85"/>
      <c r="LA507" s="85"/>
      <c r="LB507" s="85"/>
      <c r="LC507" s="85"/>
      <c r="LD507" s="85"/>
      <c r="LE507" s="85"/>
      <c r="LF507" s="85"/>
      <c r="LG507" s="85"/>
      <c r="LH507" s="85"/>
      <c r="LI507" s="85"/>
      <c r="LJ507" s="85"/>
      <c r="LK507" s="85"/>
      <c r="LL507" s="85"/>
      <c r="LM507" s="85"/>
      <c r="LN507" s="85"/>
      <c r="LO507" s="85"/>
      <c r="LP507" s="85"/>
      <c r="LQ507" s="85"/>
      <c r="LR507" s="85"/>
      <c r="LS507" s="85"/>
      <c r="LT507" s="85"/>
      <c r="LU507" s="85"/>
      <c r="LV507" s="85"/>
      <c r="LW507" s="85"/>
      <c r="LX507" s="85"/>
      <c r="LY507" s="85"/>
      <c r="LZ507" s="85"/>
      <c r="MA507" s="85"/>
      <c r="MB507" s="85"/>
      <c r="MC507" s="85"/>
      <c r="MD507" s="85"/>
      <c r="ME507" s="85"/>
      <c r="MF507" s="85"/>
      <c r="MG507" s="85"/>
      <c r="MH507" s="85"/>
      <c r="MI507" s="85"/>
      <c r="MJ507" s="85"/>
      <c r="MK507" s="85"/>
      <c r="ML507" s="85"/>
      <c r="MM507" s="85"/>
      <c r="MN507" s="85"/>
      <c r="MO507" s="85"/>
      <c r="MP507" s="85"/>
      <c r="MQ507" s="85"/>
      <c r="MR507" s="85"/>
      <c r="MS507" s="85"/>
      <c r="MT507" s="85"/>
      <c r="MU507" s="85"/>
      <c r="MV507" s="85"/>
      <c r="MW507" s="85"/>
      <c r="MX507" s="85"/>
      <c r="MY507" s="85"/>
      <c r="MZ507" s="85"/>
      <c r="NA507" s="85"/>
      <c r="NB507" s="85"/>
      <c r="NC507" s="85"/>
      <c r="ND507" s="85"/>
      <c r="NE507" s="85"/>
      <c r="NF507" s="85"/>
      <c r="NG507" s="85"/>
      <c r="NH507" s="85"/>
      <c r="NI507" s="85"/>
      <c r="NJ507" s="85"/>
      <c r="NK507" s="85"/>
      <c r="NL507" s="85"/>
      <c r="NM507" s="85"/>
      <c r="NN507" s="85"/>
      <c r="NO507" s="85"/>
      <c r="NP507" s="85"/>
      <c r="NQ507" s="85"/>
      <c r="NR507" s="85"/>
      <c r="NS507" s="85"/>
      <c r="NT507" s="85"/>
      <c r="NU507" s="85"/>
      <c r="NV507" s="85"/>
      <c r="NW507" s="85"/>
      <c r="NX507" s="85"/>
      <c r="NY507" s="85"/>
      <c r="NZ507" s="85"/>
      <c r="OA507" s="85"/>
      <c r="OB507" s="85"/>
      <c r="OC507" s="85"/>
      <c r="OD507" s="85"/>
      <c r="OE507" s="85"/>
      <c r="OF507" s="85"/>
      <c r="OG507" s="85"/>
      <c r="OH507" s="85"/>
      <c r="OI507" s="85"/>
      <c r="OJ507" s="85"/>
      <c r="OK507" s="85"/>
      <c r="OL507" s="85"/>
      <c r="OM507" s="85"/>
      <c r="ON507" s="85"/>
      <c r="OO507" s="85"/>
      <c r="OP507" s="85"/>
      <c r="OQ507" s="85"/>
      <c r="OR507" s="85"/>
      <c r="OS507" s="85"/>
      <c r="OT507" s="85"/>
      <c r="OU507" s="85"/>
      <c r="OV507" s="85"/>
      <c r="OW507" s="85"/>
      <c r="OX507" s="85"/>
      <c r="OY507" s="85"/>
      <c r="OZ507" s="85"/>
      <c r="PA507" s="85"/>
      <c r="PB507" s="85"/>
      <c r="PC507" s="85"/>
      <c r="PD507" s="85"/>
      <c r="PE507" s="85"/>
      <c r="PF507" s="85"/>
      <c r="PG507" s="85"/>
      <c r="PH507" s="85"/>
      <c r="PI507" s="85"/>
      <c r="PJ507" s="85"/>
      <c r="PK507" s="85"/>
      <c r="PL507" s="85"/>
      <c r="PM507" s="85"/>
      <c r="PN507" s="85"/>
      <c r="PO507" s="85"/>
      <c r="PP507" s="85"/>
      <c r="PQ507" s="85"/>
      <c r="PR507" s="85"/>
      <c r="PS507" s="85"/>
      <c r="PT507" s="85"/>
      <c r="PU507" s="85"/>
      <c r="PV507" s="85"/>
      <c r="PW507" s="85"/>
      <c r="PX507" s="85"/>
      <c r="PY507" s="85"/>
      <c r="PZ507" s="85"/>
      <c r="QA507" s="85"/>
      <c r="QB507" s="85"/>
      <c r="QC507" s="85"/>
      <c r="QD507" s="85"/>
      <c r="QE507" s="85"/>
      <c r="QF507" s="85"/>
      <c r="QG507" s="85"/>
      <c r="QH507" s="85"/>
      <c r="QI507" s="85"/>
      <c r="QJ507" s="85"/>
      <c r="QK507" s="85"/>
      <c r="QL507" s="85"/>
      <c r="QM507" s="85"/>
      <c r="QN507" s="85"/>
      <c r="QO507" s="85"/>
      <c r="QP507" s="85"/>
      <c r="QQ507" s="85"/>
      <c r="QR507" s="85"/>
      <c r="QS507" s="85"/>
      <c r="QT507" s="85"/>
      <c r="QU507" s="85"/>
      <c r="QV507" s="85"/>
      <c r="QW507" s="85"/>
      <c r="QX507" s="85"/>
      <c r="QY507" s="85"/>
      <c r="QZ507" s="85"/>
      <c r="RA507" s="85"/>
      <c r="RB507" s="85"/>
      <c r="RC507" s="85"/>
      <c r="RD507" s="85"/>
      <c r="RE507" s="85"/>
      <c r="RF507" s="85"/>
      <c r="RG507" s="85"/>
      <c r="RH507" s="85"/>
      <c r="RI507" s="85"/>
      <c r="RJ507" s="85"/>
      <c r="RK507" s="85"/>
      <c r="RL507" s="85"/>
      <c r="RM507" s="85"/>
      <c r="RN507" s="85"/>
      <c r="RO507" s="85"/>
      <c r="RP507" s="85"/>
      <c r="RQ507" s="85"/>
      <c r="RR507" s="85"/>
      <c r="RS507" s="85"/>
      <c r="RT507" s="85"/>
      <c r="RU507" s="85"/>
      <c r="RV507" s="85"/>
      <c r="RW507" s="85"/>
      <c r="RX507" s="85"/>
      <c r="RY507" s="85"/>
      <c r="RZ507" s="85"/>
      <c r="SA507" s="85"/>
      <c r="SB507" s="85"/>
      <c r="SC507" s="85"/>
      <c r="SD507" s="85"/>
      <c r="SE507" s="85"/>
      <c r="SF507" s="85"/>
      <c r="SG507" s="85"/>
      <c r="SH507" s="85"/>
      <c r="SI507" s="85"/>
      <c r="SJ507" s="85"/>
      <c r="SK507" s="85"/>
      <c r="SL507" s="85"/>
      <c r="SM507" s="85"/>
      <c r="SN507" s="85"/>
      <c r="SO507" s="85"/>
      <c r="SP507" s="85"/>
      <c r="SQ507" s="85"/>
      <c r="SR507" s="85"/>
      <c r="SS507" s="85"/>
      <c r="ST507" s="85"/>
      <c r="SU507" s="85"/>
      <c r="SV507" s="85"/>
      <c r="SW507" s="85"/>
      <c r="SX507" s="85"/>
      <c r="SY507" s="85"/>
      <c r="SZ507" s="85"/>
      <c r="TA507" s="85"/>
      <c r="TB507" s="85"/>
      <c r="TC507" s="85"/>
      <c r="TD507" s="85"/>
      <c r="TE507" s="85"/>
      <c r="TF507" s="85"/>
      <c r="TG507" s="85"/>
      <c r="TH507" s="85"/>
      <c r="TI507" s="85"/>
      <c r="TJ507" s="85"/>
      <c r="TK507" s="85"/>
      <c r="TL507" s="85"/>
    </row>
    <row r="508" spans="1:532" s="85" customFormat="1" ht="12.75" customHeight="1">
      <c r="A508" s="128" t="s">
        <v>363</v>
      </c>
      <c r="B508" s="129" t="s">
        <v>364</v>
      </c>
      <c r="C508" s="95"/>
      <c r="D508" s="95">
        <f>+[2]ordinario!C704+'[2]Extra 01'!C344+'[2]EXTRA 2'!C345</f>
        <v>25853206515.542973</v>
      </c>
      <c r="E508" s="95">
        <v>26110902767.07</v>
      </c>
      <c r="F508" s="256"/>
      <c r="G508" s="107"/>
      <c r="H508" s="105"/>
      <c r="I508" s="94">
        <f t="shared" ref="I508:N508" si="29">SUM(I509:I823)</f>
        <v>10178431283.560001</v>
      </c>
      <c r="J508" s="94">
        <f t="shared" si="29"/>
        <v>1203701571.4200001</v>
      </c>
      <c r="K508" s="94">
        <f t="shared" si="29"/>
        <v>8974729712.1400013</v>
      </c>
      <c r="L508" s="94">
        <f t="shared" si="29"/>
        <v>0</v>
      </c>
      <c r="M508" s="94">
        <f t="shared" si="29"/>
        <v>0</v>
      </c>
      <c r="N508" s="94">
        <f t="shared" si="29"/>
        <v>15932471483.520021</v>
      </c>
    </row>
    <row r="509" spans="1:532" s="85" customFormat="1" ht="12.75" customHeight="1">
      <c r="A509" s="106"/>
      <c r="B509" s="257"/>
      <c r="C509" s="95"/>
      <c r="D509" s="95"/>
      <c r="E509" s="95"/>
      <c r="F509" s="256" t="s">
        <v>178</v>
      </c>
      <c r="G509" s="108" t="s">
        <v>155</v>
      </c>
      <c r="H509" s="105" t="s">
        <v>78</v>
      </c>
      <c r="I509" s="99">
        <f>14908591+123377270.47-3729010.35-3031744.76</f>
        <v>131525106.36</v>
      </c>
      <c r="J509" s="99">
        <f>+I509</f>
        <v>131525106.36</v>
      </c>
      <c r="K509" s="99"/>
      <c r="L509" s="99"/>
      <c r="M509" s="99"/>
      <c r="N509" s="99">
        <f>+'[2]EXTRA 2'!H347-'3_Detalle Origen y Aplicación'!I509-3729010.35-434927.68-2596817.08</f>
        <v>0</v>
      </c>
    </row>
    <row r="510" spans="1:532" s="85" customFormat="1" ht="12.75" customHeight="1">
      <c r="A510" s="106"/>
      <c r="B510" s="257"/>
      <c r="C510" s="95"/>
      <c r="D510" s="95"/>
      <c r="E510" s="95"/>
      <c r="F510" s="256"/>
      <c r="G510" s="108"/>
      <c r="H510" s="105" t="s">
        <v>79</v>
      </c>
      <c r="I510" s="99">
        <f>10865410+3074119.24+630656.51</f>
        <v>14570185.75</v>
      </c>
      <c r="J510" s="99">
        <f>+I510</f>
        <v>14570185.75</v>
      </c>
      <c r="K510" s="99"/>
      <c r="L510" s="99"/>
      <c r="M510" s="99"/>
      <c r="N510" s="99">
        <f>+'[2]EXTRA 2'!H348-'3_Detalle Origen y Aplicación'!I510</f>
        <v>0</v>
      </c>
    </row>
    <row r="511" spans="1:532" s="85" customFormat="1" ht="12.75" customHeight="1">
      <c r="A511" s="106"/>
      <c r="B511" s="257"/>
      <c r="C511" s="95"/>
      <c r="D511" s="95"/>
      <c r="E511" s="95"/>
      <c r="F511" s="256"/>
      <c r="G511" s="108"/>
      <c r="H511" s="105"/>
      <c r="I511" s="99"/>
      <c r="J511" s="99"/>
      <c r="K511" s="99"/>
      <c r="L511" s="99"/>
      <c r="M511" s="99"/>
      <c r="N511" s="99"/>
    </row>
    <row r="512" spans="1:532" s="85" customFormat="1" ht="12.75" customHeight="1">
      <c r="A512" s="106"/>
      <c r="B512" s="257"/>
      <c r="C512" s="95"/>
      <c r="D512" s="95"/>
      <c r="E512" s="95"/>
      <c r="F512" s="256" t="s">
        <v>260</v>
      </c>
      <c r="G512" s="108" t="str">
        <f>+'[2]Extra 01'!G348</f>
        <v>Auditoria General</v>
      </c>
      <c r="H512" s="105" t="s">
        <v>81</v>
      </c>
      <c r="I512" s="99">
        <f>221234.51+13854677.49</f>
        <v>14075912</v>
      </c>
      <c r="J512" s="99"/>
      <c r="K512" s="99">
        <f>+I512</f>
        <v>14075912</v>
      </c>
      <c r="L512" s="99"/>
      <c r="M512" s="99"/>
      <c r="N512" s="99">
        <f>-I512+'[2]Extra 01'!H350+'[2]EXTRA 2'!H351</f>
        <v>0</v>
      </c>
    </row>
    <row r="513" spans="1:14" s="85" customFormat="1" ht="12.75" customHeight="1">
      <c r="A513" s="106"/>
      <c r="B513" s="257"/>
      <c r="C513" s="95"/>
      <c r="D513" s="95"/>
      <c r="E513" s="95"/>
      <c r="F513" s="256"/>
      <c r="G513" s="108"/>
      <c r="H513" s="105"/>
      <c r="I513" s="99"/>
      <c r="J513" s="99"/>
      <c r="K513" s="99"/>
      <c r="L513" s="99"/>
      <c r="M513" s="99"/>
      <c r="N513" s="99"/>
    </row>
    <row r="514" spans="1:14" s="85" customFormat="1" ht="12.75" customHeight="1">
      <c r="A514" s="106"/>
      <c r="B514" s="257"/>
      <c r="C514" s="95"/>
      <c r="D514" s="95"/>
      <c r="E514" s="95"/>
      <c r="F514" s="256"/>
      <c r="G514" s="108"/>
      <c r="H514" s="105"/>
      <c r="I514" s="99"/>
      <c r="J514" s="99"/>
      <c r="K514" s="99"/>
      <c r="L514" s="99"/>
      <c r="M514" s="99"/>
      <c r="N514" s="99"/>
    </row>
    <row r="515" spans="1:14" s="85" customFormat="1" ht="12.75" customHeight="1">
      <c r="A515" s="106"/>
      <c r="B515" s="257"/>
      <c r="C515" s="95"/>
      <c r="D515" s="95"/>
      <c r="E515" s="95"/>
      <c r="F515" s="256"/>
      <c r="G515" s="108"/>
      <c r="H515" s="105"/>
      <c r="I515" s="99"/>
      <c r="J515" s="99"/>
      <c r="K515" s="99"/>
      <c r="L515" s="99"/>
      <c r="M515" s="99"/>
      <c r="N515" s="99"/>
    </row>
    <row r="516" spans="1:14" s="85" customFormat="1" ht="12.75" customHeight="1">
      <c r="A516" s="106"/>
      <c r="B516" s="257"/>
      <c r="C516" s="95"/>
      <c r="D516" s="95"/>
      <c r="E516" s="95"/>
      <c r="F516" s="256" t="s">
        <v>254</v>
      </c>
      <c r="G516" s="108" t="s">
        <v>255</v>
      </c>
      <c r="H516" s="105" t="s">
        <v>81</v>
      </c>
      <c r="I516" s="99">
        <f>17000000+2228749.18+7753122.74+38659951.16</f>
        <v>65641823.079999998</v>
      </c>
      <c r="J516" s="99"/>
      <c r="K516" s="99">
        <f>+I516</f>
        <v>65641823.079999998</v>
      </c>
      <c r="L516" s="99"/>
      <c r="M516" s="99"/>
      <c r="N516" s="99">
        <f>-I516+'[2]Extra 01'!H352+'[2]EXTRA 2'!H353</f>
        <v>0</v>
      </c>
    </row>
    <row r="517" spans="1:14" s="85" customFormat="1" ht="12.75" customHeight="1">
      <c r="A517" s="106"/>
      <c r="B517" s="257"/>
      <c r="C517" s="95"/>
      <c r="D517" s="95"/>
      <c r="E517" s="95"/>
      <c r="F517" s="256"/>
      <c r="G517" s="108"/>
      <c r="H517" s="105"/>
      <c r="I517" s="99"/>
      <c r="J517" s="99"/>
      <c r="K517" s="99"/>
      <c r="L517" s="99"/>
      <c r="M517" s="99"/>
      <c r="N517" s="99"/>
    </row>
    <row r="518" spans="1:14" s="85" customFormat="1" ht="12.75" customHeight="1">
      <c r="A518" s="106"/>
      <c r="B518" s="257"/>
      <c r="C518" s="95"/>
      <c r="D518" s="95"/>
      <c r="E518" s="95"/>
      <c r="F518" s="256" t="s">
        <v>171</v>
      </c>
      <c r="G518" s="108" t="s">
        <v>689</v>
      </c>
      <c r="H518" s="105" t="s">
        <v>222</v>
      </c>
      <c r="I518" s="99">
        <f>493237.64+239125.31+78371.18</f>
        <v>810734.12999999989</v>
      </c>
      <c r="J518" s="99">
        <f>+I518</f>
        <v>810734.12999999989</v>
      </c>
      <c r="K518" s="99"/>
      <c r="L518" s="99"/>
      <c r="M518" s="99"/>
      <c r="N518" s="99">
        <f>-I518+'[2]Extra 01'!H358</f>
        <v>799189265.87</v>
      </c>
    </row>
    <row r="519" spans="1:14" s="85" customFormat="1" ht="12.75" customHeight="1">
      <c r="A519" s="106"/>
      <c r="B519" s="257"/>
      <c r="C519" s="95"/>
      <c r="D519" s="95"/>
      <c r="E519" s="95"/>
      <c r="F519" s="256"/>
      <c r="G519" s="108"/>
      <c r="H519" s="105"/>
      <c r="I519" s="99"/>
      <c r="J519" s="99"/>
      <c r="K519" s="99"/>
      <c r="L519" s="99"/>
      <c r="M519" s="99"/>
      <c r="N519" s="99"/>
    </row>
    <row r="520" spans="1:14" s="85" customFormat="1" ht="12.75" customHeight="1">
      <c r="A520" s="106"/>
      <c r="B520" s="257"/>
      <c r="C520" s="95"/>
      <c r="D520" s="95"/>
      <c r="E520" s="95"/>
      <c r="F520" s="256" t="s">
        <v>171</v>
      </c>
      <c r="G520" s="108" t="str">
        <f>+'[2]Extra 01'!G354</f>
        <v>Junta Administrativa del Registro Nacional, 3% del IBI, Leyes 7509 y 7729</v>
      </c>
      <c r="H520" s="105" t="s">
        <v>222</v>
      </c>
      <c r="I520" s="99">
        <f>742001.68</f>
        <v>742001.68</v>
      </c>
      <c r="J520" s="99">
        <f>+I520</f>
        <v>742001.68</v>
      </c>
      <c r="K520" s="99"/>
      <c r="L520" s="99"/>
      <c r="M520" s="99"/>
      <c r="N520" s="99">
        <f>-I520+'[2]Extra 01'!H354</f>
        <v>257998.31999999995</v>
      </c>
    </row>
    <row r="521" spans="1:14" s="85" customFormat="1" ht="12.75" customHeight="1">
      <c r="A521" s="106"/>
      <c r="B521" s="257"/>
      <c r="C521" s="95"/>
      <c r="D521" s="95"/>
      <c r="E521" s="95"/>
      <c r="F521" s="256"/>
      <c r="G521" s="108"/>
      <c r="H521" s="105"/>
      <c r="I521" s="99"/>
      <c r="J521" s="99"/>
      <c r="K521" s="99"/>
      <c r="L521" s="99"/>
      <c r="M521" s="99"/>
      <c r="N521" s="99"/>
    </row>
    <row r="522" spans="1:14" s="85" customFormat="1" ht="12.75" customHeight="1">
      <c r="A522" s="106"/>
      <c r="B522" s="257"/>
      <c r="C522" s="95"/>
      <c r="D522" s="95"/>
      <c r="E522" s="95"/>
      <c r="F522" s="256" t="s">
        <v>162</v>
      </c>
      <c r="G522" s="262" t="s">
        <v>431</v>
      </c>
      <c r="H522" s="105" t="s">
        <v>78</v>
      </c>
      <c r="I522" s="99">
        <f>19245061.52+6003753.04+47358660.27+349887741.1</f>
        <v>422495215.93000001</v>
      </c>
      <c r="J522" s="99">
        <f>+I522</f>
        <v>422495215.93000001</v>
      </c>
      <c r="K522" s="99"/>
      <c r="L522" s="99"/>
      <c r="M522" s="99"/>
      <c r="N522" s="99">
        <f>-I522+'[2]Extra 01'!H364+'[2]EXTRA 2'!H365</f>
        <v>0</v>
      </c>
    </row>
    <row r="523" spans="1:14" s="85" customFormat="1" ht="12.75" customHeight="1">
      <c r="A523" s="106"/>
      <c r="B523" s="257"/>
      <c r="C523" s="95"/>
      <c r="D523" s="95"/>
      <c r="E523" s="95"/>
      <c r="F523" s="256"/>
      <c r="G523" s="108"/>
      <c r="H523" s="105" t="s">
        <v>79</v>
      </c>
      <c r="I523" s="99"/>
      <c r="J523" s="99">
        <f>+I523</f>
        <v>0</v>
      </c>
      <c r="K523" s="99"/>
      <c r="L523" s="99"/>
      <c r="M523" s="99"/>
      <c r="N523" s="99">
        <f>-I523+'[2]Extra 01'!H365</f>
        <v>3500000</v>
      </c>
    </row>
    <row r="524" spans="1:14" s="85" customFormat="1" ht="12.75" customHeight="1">
      <c r="A524" s="106"/>
      <c r="B524" s="257"/>
      <c r="C524" s="95"/>
      <c r="D524" s="95"/>
      <c r="E524" s="95"/>
      <c r="F524" s="256"/>
      <c r="G524" s="108"/>
      <c r="H524" s="105" t="s">
        <v>81</v>
      </c>
      <c r="I524" s="99">
        <v>9203543.6600000001</v>
      </c>
      <c r="J524" s="99"/>
      <c r="K524" s="99">
        <f>+I524</f>
        <v>9203543.6600000001</v>
      </c>
      <c r="L524" s="99"/>
      <c r="M524" s="99"/>
      <c r="N524" s="99">
        <f>-I524+'[2]Extra 01'!H366</f>
        <v>37296456.340000004</v>
      </c>
    </row>
    <row r="525" spans="1:14" s="85" customFormat="1" ht="12.75" customHeight="1">
      <c r="A525" s="106"/>
      <c r="B525" s="257"/>
      <c r="C525" s="95"/>
      <c r="D525" s="95"/>
      <c r="E525" s="95"/>
      <c r="F525" s="256"/>
      <c r="G525" s="108"/>
      <c r="H525" s="105"/>
      <c r="I525" s="99"/>
      <c r="J525" s="99"/>
      <c r="K525" s="99"/>
      <c r="L525" s="99"/>
      <c r="M525" s="99"/>
      <c r="N525" s="99"/>
    </row>
    <row r="526" spans="1:14" s="85" customFormat="1" ht="12.75" customHeight="1">
      <c r="A526" s="106"/>
      <c r="B526" s="257"/>
      <c r="C526" s="95"/>
      <c r="D526" s="95"/>
      <c r="E526" s="95"/>
      <c r="F526" s="256" t="s">
        <v>164</v>
      </c>
      <c r="G526" s="262" t="s">
        <v>196</v>
      </c>
      <c r="H526" s="105" t="s">
        <v>78</v>
      </c>
      <c r="I526" s="99">
        <v>185108599.87</v>
      </c>
      <c r="J526" s="99">
        <f>+I526</f>
        <v>185108599.87</v>
      </c>
      <c r="K526" s="99"/>
      <c r="L526" s="99"/>
      <c r="M526" s="99"/>
      <c r="N526" s="99">
        <f>-I526+'[2]Extra 01'!H368+'[2]EXTRA 2'!H369</f>
        <v>0</v>
      </c>
    </row>
    <row r="527" spans="1:14" s="85" customFormat="1" ht="12.75" customHeight="1">
      <c r="A527" s="106"/>
      <c r="B527" s="257"/>
      <c r="C527" s="95"/>
      <c r="D527" s="95"/>
      <c r="E527" s="95"/>
      <c r="F527" s="256"/>
      <c r="G527" s="108"/>
      <c r="H527" s="105" t="s">
        <v>79</v>
      </c>
      <c r="I527" s="99"/>
      <c r="J527" s="99">
        <f>+I527</f>
        <v>0</v>
      </c>
      <c r="K527" s="99">
        <f>SUM(J527)</f>
        <v>0</v>
      </c>
      <c r="L527" s="99"/>
      <c r="M527" s="99"/>
      <c r="N527" s="99">
        <f>-I527+'[2]Extra 01'!H369</f>
        <v>0</v>
      </c>
    </row>
    <row r="528" spans="1:14" s="85" customFormat="1" ht="12.75" customHeight="1">
      <c r="A528" s="106"/>
      <c r="B528" s="257"/>
      <c r="C528" s="95"/>
      <c r="D528" s="95"/>
      <c r="E528" s="95"/>
      <c r="F528" s="256"/>
      <c r="G528" s="108"/>
      <c r="H528" s="105" t="s">
        <v>81</v>
      </c>
      <c r="I528" s="99">
        <f>1950256.64+1603018.36</f>
        <v>3553275</v>
      </c>
      <c r="J528" s="99"/>
      <c r="K528" s="99">
        <f>+I528</f>
        <v>3553275</v>
      </c>
      <c r="L528" s="99"/>
      <c r="M528" s="99"/>
      <c r="N528" s="99">
        <f>-I528+'[2]Extra 01'!H370</f>
        <v>0</v>
      </c>
    </row>
    <row r="529" spans="1:14" s="85" customFormat="1" ht="12.75" customHeight="1">
      <c r="A529" s="106"/>
      <c r="B529" s="257"/>
      <c r="C529" s="95"/>
      <c r="D529" s="95"/>
      <c r="E529" s="95"/>
      <c r="F529" s="256"/>
      <c r="G529" s="108"/>
      <c r="H529" s="105"/>
      <c r="I529" s="99"/>
      <c r="J529" s="99"/>
      <c r="K529" s="99"/>
      <c r="L529" s="99"/>
      <c r="M529" s="99"/>
      <c r="N529" s="99"/>
    </row>
    <row r="530" spans="1:14" s="85" customFormat="1" ht="12.75" customHeight="1">
      <c r="A530" s="106"/>
      <c r="B530" s="257"/>
      <c r="C530" s="95"/>
      <c r="D530" s="95"/>
      <c r="E530" s="95"/>
      <c r="F530" s="256" t="s">
        <v>165</v>
      </c>
      <c r="G530" s="262" t="s">
        <v>140</v>
      </c>
      <c r="H530" s="105" t="s">
        <v>78</v>
      </c>
      <c r="I530" s="99">
        <f>4000000+32923028.8+14393043.94+18675030.24</f>
        <v>69991102.979999989</v>
      </c>
      <c r="J530" s="99">
        <f>+I530</f>
        <v>69991102.979999989</v>
      </c>
      <c r="K530" s="99"/>
      <c r="L530" s="99"/>
      <c r="M530" s="99"/>
      <c r="N530" s="99">
        <f>-I530+'[2]Extra 01'!H372+'[2]EXTRA 2'!H373</f>
        <v>0</v>
      </c>
    </row>
    <row r="531" spans="1:14" s="85" customFormat="1" ht="12.75" customHeight="1">
      <c r="A531" s="106"/>
      <c r="B531" s="257"/>
      <c r="C531" s="95"/>
      <c r="D531" s="95"/>
      <c r="E531" s="95"/>
      <c r="F531" s="256"/>
      <c r="G531" s="108"/>
      <c r="H531" s="105"/>
      <c r="I531" s="99"/>
      <c r="J531" s="99"/>
      <c r="K531" s="99"/>
      <c r="L531" s="99"/>
      <c r="M531" s="99"/>
      <c r="N531" s="99"/>
    </row>
    <row r="532" spans="1:14" s="85" customFormat="1" ht="12.75" customHeight="1">
      <c r="A532" s="106"/>
      <c r="B532" s="257"/>
      <c r="C532" s="95"/>
      <c r="D532" s="95"/>
      <c r="E532" s="95"/>
      <c r="F532" s="256" t="s">
        <v>180</v>
      </c>
      <c r="G532" s="108" t="s">
        <v>203</v>
      </c>
      <c r="H532" s="105" t="s">
        <v>78</v>
      </c>
      <c r="I532" s="99">
        <f>12467880+6884095.34+16725214.37</f>
        <v>36077189.710000001</v>
      </c>
      <c r="J532" s="99">
        <f>+I532</f>
        <v>36077189.710000001</v>
      </c>
      <c r="K532" s="99"/>
      <c r="L532" s="99"/>
      <c r="M532" s="99"/>
      <c r="N532" s="99">
        <f>-I532+'[2]Extra 01'!H376+'[2]EXTRA 2'!H377</f>
        <v>0</v>
      </c>
    </row>
    <row r="533" spans="1:14" s="85" customFormat="1" ht="12.75" customHeight="1">
      <c r="A533" s="106"/>
      <c r="B533" s="257"/>
      <c r="C533" s="95"/>
      <c r="D533" s="95"/>
      <c r="E533" s="95"/>
      <c r="F533" s="256"/>
      <c r="G533" s="108"/>
      <c r="H533" s="105" t="s">
        <v>79</v>
      </c>
      <c r="I533" s="99">
        <f>8003867.08+1259912+834651+32022426.92</f>
        <v>42120857</v>
      </c>
      <c r="J533" s="99">
        <f>+I533</f>
        <v>42120857</v>
      </c>
      <c r="K533" s="99"/>
      <c r="L533" s="99"/>
      <c r="M533" s="99"/>
      <c r="N533" s="99">
        <f>-I533+'[2]Extra 01'!H377</f>
        <v>0</v>
      </c>
    </row>
    <row r="534" spans="1:14" s="85" customFormat="1" ht="12.75" customHeight="1">
      <c r="A534" s="106"/>
      <c r="B534" s="257"/>
      <c r="C534" s="95"/>
      <c r="D534" s="95"/>
      <c r="E534" s="95"/>
      <c r="F534" s="256"/>
      <c r="G534" s="108"/>
      <c r="H534" s="105" t="s">
        <v>81</v>
      </c>
      <c r="I534" s="99">
        <v>876245.78</v>
      </c>
      <c r="J534" s="99"/>
      <c r="K534" s="99">
        <f>+I534</f>
        <v>876245.78</v>
      </c>
      <c r="L534" s="99"/>
      <c r="M534" s="99"/>
      <c r="N534" s="99">
        <f>+'[2]EXTRA 2'!H379-'3_Detalle Origen y Aplicación'!I534</f>
        <v>0</v>
      </c>
    </row>
    <row r="535" spans="1:14" s="85" customFormat="1" ht="12.75" customHeight="1">
      <c r="A535" s="106"/>
      <c r="B535" s="257"/>
      <c r="C535" s="95"/>
      <c r="D535" s="95"/>
      <c r="E535" s="95"/>
      <c r="F535" s="256"/>
      <c r="G535" s="108"/>
      <c r="H535" s="105"/>
      <c r="I535" s="99"/>
      <c r="J535" s="99"/>
      <c r="K535" s="99"/>
      <c r="L535" s="99"/>
      <c r="M535" s="99"/>
      <c r="N535" s="99"/>
    </row>
    <row r="536" spans="1:14" s="85" customFormat="1" ht="12.75" customHeight="1">
      <c r="A536" s="106"/>
      <c r="B536" s="257"/>
      <c r="C536" s="95"/>
      <c r="D536" s="95"/>
      <c r="E536" s="95"/>
      <c r="F536" s="256" t="s">
        <v>181</v>
      </c>
      <c r="G536" s="108" t="str">
        <f>+'[2]EXTRA 2'!G380</f>
        <v>Proteccion del Medio Ambiente</v>
      </c>
      <c r="H536" s="105" t="s">
        <v>81</v>
      </c>
      <c r="I536" s="99">
        <f>352869+523376.78</f>
        <v>876245.78</v>
      </c>
      <c r="J536" s="99"/>
      <c r="K536" s="99">
        <f>+I536</f>
        <v>876245.78</v>
      </c>
      <c r="L536" s="99"/>
      <c r="M536" s="99"/>
      <c r="N536" s="99">
        <f>+'[2]EXTRA 2'!H381-'3_Detalle Origen y Aplicación'!I536</f>
        <v>0</v>
      </c>
    </row>
    <row r="537" spans="1:14" s="85" customFormat="1" ht="12.75" customHeight="1">
      <c r="A537" s="106"/>
      <c r="B537" s="257"/>
      <c r="C537" s="95"/>
      <c r="D537" s="95"/>
      <c r="E537" s="95"/>
      <c r="F537" s="256"/>
      <c r="G537" s="108"/>
      <c r="H537" s="105"/>
      <c r="I537" s="99"/>
      <c r="J537" s="99"/>
      <c r="K537" s="99"/>
      <c r="L537" s="99"/>
      <c r="M537" s="99"/>
      <c r="N537" s="99"/>
    </row>
    <row r="538" spans="1:14" s="85" customFormat="1" ht="12.75" customHeight="1">
      <c r="A538" s="106"/>
      <c r="B538" s="257"/>
      <c r="C538" s="95"/>
      <c r="D538" s="95"/>
      <c r="E538" s="95"/>
      <c r="F538" s="256" t="s">
        <v>184</v>
      </c>
      <c r="G538" s="108" t="s">
        <v>111</v>
      </c>
      <c r="H538" s="105" t="s">
        <v>77</v>
      </c>
      <c r="I538" s="99"/>
      <c r="J538" s="99">
        <f>+I538</f>
        <v>0</v>
      </c>
      <c r="K538" s="99"/>
      <c r="L538" s="99"/>
      <c r="M538" s="99"/>
      <c r="N538" s="99"/>
    </row>
    <row r="539" spans="1:14" s="85" customFormat="1" ht="12.75" customHeight="1">
      <c r="A539" s="106"/>
      <c r="B539" s="257"/>
      <c r="C539" s="95"/>
      <c r="D539" s="95"/>
      <c r="E539" s="95"/>
      <c r="F539" s="256"/>
      <c r="G539" s="108"/>
      <c r="H539" s="105" t="s">
        <v>78</v>
      </c>
      <c r="I539" s="99"/>
      <c r="J539" s="99">
        <f>+I539</f>
        <v>0</v>
      </c>
      <c r="K539" s="99"/>
      <c r="L539" s="99"/>
      <c r="M539" s="99"/>
      <c r="N539" s="99"/>
    </row>
    <row r="540" spans="1:14" s="85" customFormat="1" ht="12.75" customHeight="1">
      <c r="A540" s="106"/>
      <c r="B540" s="257"/>
      <c r="C540" s="95"/>
      <c r="D540" s="95"/>
      <c r="E540" s="95"/>
      <c r="F540" s="256"/>
      <c r="G540" s="108"/>
      <c r="H540" s="105" t="s">
        <v>79</v>
      </c>
      <c r="I540" s="99"/>
      <c r="J540" s="99">
        <f>+I540</f>
        <v>0</v>
      </c>
      <c r="K540" s="99"/>
      <c r="L540" s="99"/>
      <c r="M540" s="99"/>
      <c r="N540" s="99"/>
    </row>
    <row r="541" spans="1:14" s="85" customFormat="1" ht="12.75" customHeight="1">
      <c r="A541" s="106"/>
      <c r="B541" s="257"/>
      <c r="C541" s="95"/>
      <c r="D541" s="95"/>
      <c r="E541" s="95"/>
      <c r="F541" s="256"/>
      <c r="G541" s="108"/>
      <c r="H541" s="105" t="s">
        <v>81</v>
      </c>
      <c r="I541" s="99"/>
      <c r="J541" s="99"/>
      <c r="K541" s="99">
        <f>+I541</f>
        <v>0</v>
      </c>
      <c r="L541" s="99"/>
      <c r="M541" s="99"/>
      <c r="N541" s="99">
        <f>-I541+'[2]Extra 01'!H381</f>
        <v>195805000</v>
      </c>
    </row>
    <row r="542" spans="1:14" s="85" customFormat="1" ht="12.75" customHeight="1">
      <c r="A542" s="106"/>
      <c r="B542" s="257"/>
      <c r="C542" s="95"/>
      <c r="D542" s="95"/>
      <c r="E542" s="95"/>
      <c r="F542" s="256"/>
      <c r="G542" s="108"/>
      <c r="H542" s="105"/>
      <c r="I542" s="99"/>
      <c r="J542" s="99"/>
      <c r="K542" s="99"/>
      <c r="L542" s="99"/>
      <c r="M542" s="99"/>
      <c r="N542" s="99"/>
    </row>
    <row r="543" spans="1:14" s="85" customFormat="1" ht="12.75" customHeight="1">
      <c r="A543" s="106"/>
      <c r="B543" s="257"/>
      <c r="C543" s="95"/>
      <c r="D543" s="95"/>
      <c r="E543" s="95"/>
      <c r="F543" s="256" t="s">
        <v>186</v>
      </c>
      <c r="G543" s="108" t="s">
        <v>365</v>
      </c>
      <c r="H543" s="105"/>
      <c r="I543" s="99"/>
      <c r="J543" s="99"/>
      <c r="K543" s="99"/>
      <c r="L543" s="99"/>
      <c r="M543" s="99"/>
      <c r="N543" s="99"/>
    </row>
    <row r="544" spans="1:14" s="85" customFormat="1" ht="12.75" customHeight="1">
      <c r="A544" s="106"/>
      <c r="B544" s="257"/>
      <c r="C544" s="95"/>
      <c r="D544" s="95"/>
      <c r="E544" s="95"/>
      <c r="F544" s="256"/>
      <c r="G544" s="108"/>
      <c r="H544" s="105"/>
      <c r="I544" s="99"/>
      <c r="J544" s="99"/>
      <c r="K544" s="99"/>
      <c r="L544" s="99"/>
      <c r="M544" s="99"/>
      <c r="N544" s="99"/>
    </row>
    <row r="545" spans="1:14" s="85" customFormat="1" ht="12.75" customHeight="1">
      <c r="A545" s="106"/>
      <c r="B545" s="257"/>
      <c r="C545" s="95"/>
      <c r="D545" s="95"/>
      <c r="E545" s="95"/>
      <c r="F545" s="256" t="s">
        <v>188</v>
      </c>
      <c r="G545" s="108" t="s">
        <v>349</v>
      </c>
      <c r="H545" s="105" t="s">
        <v>81</v>
      </c>
      <c r="I545" s="248">
        <f>111336808.7+80000000</f>
        <v>191336808.69999999</v>
      </c>
      <c r="J545" s="99"/>
      <c r="K545" s="99">
        <f>+I545</f>
        <v>191336808.69999999</v>
      </c>
      <c r="L545" s="99"/>
      <c r="M545" s="99"/>
      <c r="N545" s="99">
        <f>-'3_Detalle Origen y Aplicación'!I545+'[2]Extra 01'!H387+'[2]EXTRA 2'!H389</f>
        <v>227137191.30000001</v>
      </c>
    </row>
    <row r="546" spans="1:14" s="85" customFormat="1" ht="12.75" customHeight="1">
      <c r="A546" s="106"/>
      <c r="B546" s="257"/>
      <c r="C546" s="95"/>
      <c r="D546" s="95"/>
      <c r="E546" s="95"/>
      <c r="F546" s="256"/>
      <c r="G546" s="108"/>
      <c r="H546" s="105"/>
      <c r="I546" s="99"/>
      <c r="J546" s="99"/>
      <c r="K546" s="99"/>
      <c r="L546" s="99"/>
      <c r="M546" s="99"/>
      <c r="N546" s="99"/>
    </row>
    <row r="547" spans="1:14" s="85" customFormat="1" ht="12.75" customHeight="1">
      <c r="A547" s="106"/>
      <c r="B547" s="257"/>
      <c r="C547" s="95"/>
      <c r="D547" s="95"/>
      <c r="E547" s="95"/>
      <c r="F547" s="256" t="s">
        <v>256</v>
      </c>
      <c r="G547" s="108" t="s">
        <v>688</v>
      </c>
      <c r="H547" s="105" t="s">
        <v>81</v>
      </c>
      <c r="I547" s="99"/>
      <c r="J547" s="99"/>
      <c r="K547" s="99">
        <f>+I547</f>
        <v>0</v>
      </c>
      <c r="L547" s="99"/>
      <c r="M547" s="99"/>
      <c r="N547" s="99">
        <f>-I547+[2]ordinario!I676</f>
        <v>5000000000</v>
      </c>
    </row>
    <row r="548" spans="1:14" s="85" customFormat="1" ht="12.75" customHeight="1">
      <c r="A548" s="106"/>
      <c r="B548" s="257"/>
      <c r="C548" s="95"/>
      <c r="D548" s="95"/>
      <c r="E548" s="95"/>
      <c r="F548" s="256"/>
      <c r="G548" s="108"/>
      <c r="H548" s="105"/>
      <c r="I548" s="99"/>
      <c r="J548" s="99"/>
      <c r="K548" s="99"/>
      <c r="L548" s="99"/>
      <c r="M548" s="99"/>
      <c r="N548" s="99"/>
    </row>
    <row r="549" spans="1:14" s="85" customFormat="1" ht="12.75" customHeight="1">
      <c r="A549" s="106"/>
      <c r="B549" s="257"/>
      <c r="C549" s="95"/>
      <c r="D549" s="95"/>
      <c r="E549" s="95"/>
      <c r="F549" s="256" t="s">
        <v>435</v>
      </c>
      <c r="G549" s="108" t="s">
        <v>687</v>
      </c>
      <c r="H549" s="105" t="s">
        <v>78</v>
      </c>
      <c r="I549" s="257"/>
      <c r="J549" s="99"/>
      <c r="K549" s="99">
        <f>+I549</f>
        <v>0</v>
      </c>
      <c r="L549" s="99"/>
      <c r="M549" s="99"/>
      <c r="N549" s="99">
        <f>-I549+[2]ordinario!I678</f>
        <v>3000000</v>
      </c>
    </row>
    <row r="550" spans="1:14" s="85" customFormat="1" ht="12.75" customHeight="1">
      <c r="A550" s="106"/>
      <c r="B550" s="257"/>
      <c r="C550" s="95"/>
      <c r="D550" s="95"/>
      <c r="E550" s="95"/>
      <c r="F550" s="256"/>
      <c r="G550" s="108"/>
      <c r="H550" s="105" t="s">
        <v>81</v>
      </c>
      <c r="I550" s="99"/>
      <c r="J550" s="99"/>
      <c r="K550" s="99">
        <f>+I550</f>
        <v>0</v>
      </c>
      <c r="L550" s="99"/>
      <c r="M550" s="99"/>
      <c r="N550" s="99">
        <f>-I550+[2]ordinario!I679</f>
        <v>25000000</v>
      </c>
    </row>
    <row r="551" spans="1:14" s="85" customFormat="1" ht="12.75" customHeight="1">
      <c r="A551" s="106"/>
      <c r="B551" s="257"/>
      <c r="C551" s="95"/>
      <c r="D551" s="95"/>
      <c r="E551" s="95"/>
      <c r="F551" s="256"/>
      <c r="G551" s="108"/>
      <c r="H551" s="105"/>
      <c r="I551" s="99"/>
      <c r="J551" s="99"/>
      <c r="K551" s="99"/>
      <c r="L551" s="99"/>
      <c r="M551" s="99"/>
      <c r="N551" s="99"/>
    </row>
    <row r="552" spans="1:14" s="85" customFormat="1" ht="12.75" customHeight="1">
      <c r="A552" s="106"/>
      <c r="B552" s="257"/>
      <c r="C552" s="95"/>
      <c r="D552" s="95"/>
      <c r="E552" s="95"/>
      <c r="F552" s="256" t="s">
        <v>686</v>
      </c>
      <c r="G552" s="108" t="s">
        <v>685</v>
      </c>
      <c r="H552" s="105" t="s">
        <v>78</v>
      </c>
      <c r="I552" s="99">
        <v>1513038.94</v>
      </c>
      <c r="J552" s="99"/>
      <c r="K552" s="99">
        <f>+I552</f>
        <v>1513038.94</v>
      </c>
      <c r="L552" s="99"/>
      <c r="M552" s="99"/>
      <c r="N552" s="99">
        <f>1513038.94-I552</f>
        <v>0</v>
      </c>
    </row>
    <row r="553" spans="1:14" s="85" customFormat="1" ht="12.75" customHeight="1">
      <c r="A553" s="106"/>
      <c r="B553" s="257"/>
      <c r="C553" s="95"/>
      <c r="D553" s="95"/>
      <c r="E553" s="95"/>
      <c r="F553" s="256"/>
      <c r="G553" s="108"/>
      <c r="H553" s="105" t="s">
        <v>81</v>
      </c>
      <c r="I553" s="99">
        <v>65352933.700000003</v>
      </c>
      <c r="J553" s="99"/>
      <c r="K553" s="99">
        <f>+I553</f>
        <v>65352933.700000003</v>
      </c>
      <c r="L553" s="99"/>
      <c r="M553" s="99"/>
      <c r="N553" s="99">
        <f>-I553+'[2]Extra 01'!H389-1513038.94</f>
        <v>75134027.359999999</v>
      </c>
    </row>
    <row r="554" spans="1:14" s="85" customFormat="1" ht="12.75" customHeight="1">
      <c r="A554" s="106"/>
      <c r="B554" s="257"/>
      <c r="C554" s="95"/>
      <c r="D554" s="95"/>
      <c r="E554" s="95"/>
      <c r="F554" s="256"/>
      <c r="G554" s="108"/>
      <c r="H554" s="105"/>
      <c r="I554" s="99"/>
      <c r="J554" s="99"/>
      <c r="K554" s="99"/>
      <c r="L554" s="99"/>
      <c r="M554" s="99"/>
      <c r="N554" s="99"/>
    </row>
    <row r="555" spans="1:14" s="85" customFormat="1" ht="12.75" customHeight="1">
      <c r="A555" s="106"/>
      <c r="B555" s="257"/>
      <c r="C555" s="95"/>
      <c r="D555" s="95"/>
      <c r="E555" s="95"/>
      <c r="F555" s="256" t="s">
        <v>436</v>
      </c>
      <c r="G555" s="108" t="s">
        <v>210</v>
      </c>
      <c r="H555" s="105" t="s">
        <v>78</v>
      </c>
      <c r="I555" s="99">
        <f>6199618.24+9874862.88</f>
        <v>16074481.120000001</v>
      </c>
      <c r="J555" s="99"/>
      <c r="K555" s="99">
        <f>+I555</f>
        <v>16074481.120000001</v>
      </c>
      <c r="L555" s="99"/>
      <c r="M555" s="99"/>
      <c r="N555" s="99">
        <f>-I555+'[2]Extra 01'!H391+'[2]EXTRA 2'!H393-15000000</f>
        <v>6422869.5799999982</v>
      </c>
    </row>
    <row r="556" spans="1:14" s="85" customFormat="1" ht="12.75" customHeight="1">
      <c r="A556" s="106"/>
      <c r="B556" s="257"/>
      <c r="C556" s="95"/>
      <c r="D556" s="95"/>
      <c r="E556" s="95"/>
      <c r="F556" s="256"/>
      <c r="G556" s="108"/>
      <c r="H556" s="105" t="s">
        <v>81</v>
      </c>
      <c r="I556" s="99">
        <f>85508817.98+176666582.98+55224690.22+278454644.22</f>
        <v>595854735.39999998</v>
      </c>
      <c r="J556" s="99"/>
      <c r="K556" s="99">
        <f>+I556</f>
        <v>595854735.39999998</v>
      </c>
      <c r="L556" s="99"/>
      <c r="M556" s="99"/>
      <c r="N556" s="99">
        <f>-I556+'[2]Extra 01'!H392+'[2]EXTRA 2'!H394+15000000</f>
        <v>264874910.10999995</v>
      </c>
    </row>
    <row r="557" spans="1:14" s="85" customFormat="1" ht="12.75" customHeight="1">
      <c r="A557" s="106"/>
      <c r="B557" s="257"/>
      <c r="C557" s="95"/>
      <c r="D557" s="95"/>
      <c r="E557" s="95"/>
      <c r="F557" s="256"/>
      <c r="G557" s="108"/>
      <c r="H557" s="105"/>
      <c r="I557" s="99"/>
      <c r="J557" s="99"/>
      <c r="K557" s="99"/>
      <c r="L557" s="99"/>
      <c r="M557" s="99"/>
      <c r="N557" s="99"/>
    </row>
    <row r="558" spans="1:14" s="85" customFormat="1" ht="12.75" customHeight="1">
      <c r="A558" s="106"/>
      <c r="B558" s="257"/>
      <c r="C558" s="95"/>
      <c r="D558" s="95"/>
      <c r="E558" s="95"/>
      <c r="F558" s="256" t="s">
        <v>684</v>
      </c>
      <c r="G558" s="108" t="s">
        <v>683</v>
      </c>
      <c r="H558" s="105" t="s">
        <v>78</v>
      </c>
      <c r="I558" s="257"/>
      <c r="J558" s="99"/>
      <c r="K558" s="99">
        <f>+I558</f>
        <v>0</v>
      </c>
      <c r="L558" s="99"/>
      <c r="M558" s="99"/>
      <c r="N558" s="99">
        <f>-I558+'[2]Extra 01'!H394</f>
        <v>18000000</v>
      </c>
    </row>
    <row r="559" spans="1:14" s="85" customFormat="1" ht="12.75" customHeight="1">
      <c r="A559" s="106"/>
      <c r="B559" s="257"/>
      <c r="C559" s="95"/>
      <c r="D559" s="95"/>
      <c r="E559" s="95"/>
      <c r="F559" s="256"/>
      <c r="G559" s="108"/>
      <c r="H559" s="105" t="s">
        <v>81</v>
      </c>
      <c r="I559" s="99"/>
      <c r="J559" s="99"/>
      <c r="K559" s="99">
        <f>+I559</f>
        <v>0</v>
      </c>
      <c r="L559" s="99"/>
      <c r="M559" s="99"/>
      <c r="N559" s="99">
        <f>-I559+'[2]Extra 01'!H395</f>
        <v>80095550.239999995</v>
      </c>
    </row>
    <row r="560" spans="1:14" s="85" customFormat="1" ht="12.65" customHeight="1">
      <c r="A560" s="106"/>
      <c r="B560" s="257"/>
      <c r="C560" s="95"/>
      <c r="D560" s="95"/>
      <c r="E560" s="95"/>
      <c r="F560" s="256"/>
      <c r="G560" s="108"/>
      <c r="H560" s="105"/>
      <c r="I560" s="99"/>
      <c r="J560" s="99"/>
      <c r="K560" s="99"/>
      <c r="L560" s="99"/>
      <c r="M560" s="99"/>
      <c r="N560" s="99"/>
    </row>
    <row r="561" spans="1:14" s="85" customFormat="1" ht="12.75" customHeight="1">
      <c r="A561" s="106"/>
      <c r="B561" s="257"/>
      <c r="C561" s="95"/>
      <c r="D561" s="95"/>
      <c r="E561" s="95"/>
      <c r="F561" s="256" t="s">
        <v>366</v>
      </c>
      <c r="G561" s="258" t="s">
        <v>433</v>
      </c>
      <c r="H561" s="105" t="s">
        <v>78</v>
      </c>
      <c r="I561" s="99">
        <v>2590980</v>
      </c>
      <c r="J561" s="99"/>
      <c r="K561" s="99">
        <f>+I561</f>
        <v>2590980</v>
      </c>
      <c r="L561" s="99"/>
      <c r="M561" s="99"/>
      <c r="N561" s="99">
        <f>+'[2]EXTRA 2'!H398-'3_Detalle Origen y Aplicación'!I561</f>
        <v>0</v>
      </c>
    </row>
    <row r="562" spans="1:14" s="85" customFormat="1" ht="12.75" customHeight="1">
      <c r="A562" s="106"/>
      <c r="B562" s="257"/>
      <c r="C562" s="95"/>
      <c r="D562" s="95"/>
      <c r="E562" s="95"/>
      <c r="F562" s="256"/>
      <c r="G562" s="108"/>
      <c r="H562" s="105" t="s">
        <v>81</v>
      </c>
      <c r="I562" s="99">
        <v>142388813.38</v>
      </c>
      <c r="J562" s="99"/>
      <c r="K562" s="99">
        <f>+I562</f>
        <v>142388813.38</v>
      </c>
      <c r="L562" s="99"/>
      <c r="M562" s="99"/>
      <c r="N562" s="99">
        <f>-I562+'[2]Extra 01'!H397</f>
        <v>1821518.5799999535</v>
      </c>
    </row>
    <row r="563" spans="1:14" s="85" customFormat="1" ht="12.75" customHeight="1">
      <c r="A563" s="106"/>
      <c r="B563" s="257"/>
      <c r="C563" s="95"/>
      <c r="D563" s="95"/>
      <c r="E563" s="95"/>
      <c r="F563" s="256"/>
      <c r="G563" s="261"/>
      <c r="H563" s="105"/>
      <c r="I563" s="99"/>
      <c r="J563" s="99"/>
      <c r="K563" s="99"/>
      <c r="L563" s="99"/>
      <c r="M563" s="99"/>
      <c r="N563" s="99"/>
    </row>
    <row r="564" spans="1:14" s="85" customFormat="1" ht="12.75" customHeight="1">
      <c r="A564" s="106"/>
      <c r="B564" s="257"/>
      <c r="C564" s="95"/>
      <c r="D564" s="95"/>
      <c r="E564" s="95"/>
      <c r="F564" s="256" t="s">
        <v>367</v>
      </c>
      <c r="G564" s="258" t="s">
        <v>372</v>
      </c>
      <c r="H564" s="105" t="s">
        <v>78</v>
      </c>
      <c r="I564" s="257"/>
      <c r="J564" s="99"/>
      <c r="K564" s="99">
        <f>+I564</f>
        <v>0</v>
      </c>
      <c r="L564" s="99"/>
      <c r="M564" s="99"/>
      <c r="N564" s="99">
        <f>-I564+'[2]Extra 01'!H399</f>
        <v>2000000</v>
      </c>
    </row>
    <row r="565" spans="1:14" s="85" customFormat="1" ht="12.75" customHeight="1">
      <c r="A565" s="106"/>
      <c r="B565" s="257"/>
      <c r="C565" s="95"/>
      <c r="D565" s="95"/>
      <c r="E565" s="95"/>
      <c r="F565" s="256"/>
      <c r="G565" s="258"/>
      <c r="H565" s="105" t="s">
        <v>81</v>
      </c>
      <c r="I565" s="99"/>
      <c r="J565" s="99"/>
      <c r="K565" s="99">
        <f>+I565</f>
        <v>0</v>
      </c>
      <c r="L565" s="99"/>
      <c r="M565" s="99"/>
      <c r="N565" s="99">
        <f>-I565+'[2]Extra 01'!H400</f>
        <v>28000000</v>
      </c>
    </row>
    <row r="566" spans="1:14" s="85" customFormat="1" ht="12.75" customHeight="1">
      <c r="A566" s="106"/>
      <c r="B566" s="257"/>
      <c r="C566" s="95"/>
      <c r="D566" s="95"/>
      <c r="E566" s="95"/>
      <c r="F566" s="256"/>
      <c r="G566" s="108"/>
      <c r="H566" s="105"/>
      <c r="I566" s="99"/>
      <c r="J566" s="99"/>
      <c r="K566" s="99"/>
      <c r="L566" s="99"/>
      <c r="M566" s="99"/>
      <c r="N566" s="99"/>
    </row>
    <row r="567" spans="1:14" s="85" customFormat="1" ht="25.5">
      <c r="A567" s="106"/>
      <c r="B567" s="257"/>
      <c r="C567" s="95"/>
      <c r="D567" s="95"/>
      <c r="E567" s="95"/>
      <c r="F567" s="256" t="s">
        <v>369</v>
      </c>
      <c r="G567" s="258" t="s">
        <v>682</v>
      </c>
      <c r="H567" s="105" t="s">
        <v>81</v>
      </c>
      <c r="I567" s="99"/>
      <c r="J567" s="99"/>
      <c r="K567" s="99">
        <f>+I567</f>
        <v>0</v>
      </c>
      <c r="L567" s="99"/>
      <c r="M567" s="99"/>
      <c r="N567" s="99">
        <f>-I567+'[2]Extra 01'!H402</f>
        <v>152745330</v>
      </c>
    </row>
    <row r="568" spans="1:14" s="85" customFormat="1" ht="12.75" customHeight="1">
      <c r="A568" s="106"/>
      <c r="B568" s="257"/>
      <c r="C568" s="95"/>
      <c r="D568" s="95"/>
      <c r="E568" s="95"/>
      <c r="F568" s="256"/>
      <c r="G568" s="108"/>
      <c r="H568" s="105"/>
      <c r="I568" s="99"/>
      <c r="J568" s="99"/>
      <c r="K568" s="99"/>
      <c r="L568" s="99"/>
      <c r="M568" s="99"/>
      <c r="N568" s="99"/>
    </row>
    <row r="569" spans="1:14" s="85" customFormat="1" ht="13">
      <c r="A569" s="106"/>
      <c r="B569" s="257"/>
      <c r="C569" s="95"/>
      <c r="D569" s="95"/>
      <c r="E569" s="95"/>
      <c r="F569" s="256" t="s">
        <v>370</v>
      </c>
      <c r="G569" s="258" t="s">
        <v>212</v>
      </c>
      <c r="H569" s="105" t="s">
        <v>81</v>
      </c>
      <c r="I569" s="99"/>
      <c r="J569" s="99"/>
      <c r="K569" s="99">
        <f>+I569</f>
        <v>0</v>
      </c>
      <c r="L569" s="99"/>
      <c r="M569" s="99"/>
      <c r="N569" s="99">
        <f>-I569+'[2]Extra 01'!H404</f>
        <v>10567472.43</v>
      </c>
    </row>
    <row r="570" spans="1:14" s="85" customFormat="1" ht="12.75" customHeight="1">
      <c r="A570" s="106"/>
      <c r="B570" s="257"/>
      <c r="C570" s="95"/>
      <c r="D570" s="95"/>
      <c r="E570" s="95"/>
      <c r="F570" s="256"/>
      <c r="G570" s="108"/>
      <c r="H570" s="105"/>
      <c r="I570" s="99"/>
      <c r="J570" s="99"/>
      <c r="K570" s="99"/>
      <c r="L570" s="99"/>
      <c r="M570" s="99"/>
      <c r="N570" s="99"/>
    </row>
    <row r="571" spans="1:14" s="85" customFormat="1" ht="13">
      <c r="A571" s="106"/>
      <c r="B571" s="257"/>
      <c r="C571" s="95"/>
      <c r="D571" s="95"/>
      <c r="E571" s="95"/>
      <c r="F571" s="256" t="s">
        <v>437</v>
      </c>
      <c r="G571" s="258" t="s">
        <v>681</v>
      </c>
      <c r="H571" s="105" t="s">
        <v>81</v>
      </c>
      <c r="I571" s="99"/>
      <c r="J571" s="99"/>
      <c r="K571" s="99">
        <f>+I571</f>
        <v>0</v>
      </c>
      <c r="L571" s="99"/>
      <c r="M571" s="99"/>
      <c r="N571" s="99">
        <f>-I571+'[2]Extra 01'!H406</f>
        <v>41178208.799999997</v>
      </c>
    </row>
    <row r="572" spans="1:14" s="85" customFormat="1" ht="12.75" customHeight="1">
      <c r="A572" s="106"/>
      <c r="B572" s="257"/>
      <c r="C572" s="95"/>
      <c r="D572" s="95"/>
      <c r="E572" s="95"/>
      <c r="F572" s="256"/>
      <c r="G572" s="108"/>
      <c r="H572" s="105"/>
      <c r="I572" s="99"/>
      <c r="J572" s="99"/>
      <c r="K572" s="99"/>
      <c r="L572" s="99"/>
      <c r="M572" s="99"/>
      <c r="N572" s="99"/>
    </row>
    <row r="573" spans="1:14" s="85" customFormat="1" ht="12.75" customHeight="1">
      <c r="A573" s="106"/>
      <c r="B573" s="257"/>
      <c r="C573" s="95"/>
      <c r="D573" s="95"/>
      <c r="E573" s="95"/>
      <c r="F573" s="256" t="s">
        <v>371</v>
      </c>
      <c r="G573" s="258" t="s">
        <v>680</v>
      </c>
      <c r="H573" s="105" t="s">
        <v>81</v>
      </c>
      <c r="I573" s="99"/>
      <c r="J573" s="99"/>
      <c r="K573" s="99">
        <f>+I573</f>
        <v>0</v>
      </c>
      <c r="L573" s="99"/>
      <c r="M573" s="99"/>
      <c r="N573" s="99">
        <f>-I573+'[2]Extra 01'!H408</f>
        <v>3518351.55</v>
      </c>
    </row>
    <row r="574" spans="1:14" s="85" customFormat="1" ht="12.75" customHeight="1">
      <c r="A574" s="106"/>
      <c r="B574" s="257"/>
      <c r="C574" s="95"/>
      <c r="D574" s="95"/>
      <c r="E574" s="95"/>
      <c r="F574" s="256"/>
      <c r="G574" s="108"/>
      <c r="H574" s="105"/>
      <c r="I574" s="99"/>
      <c r="J574" s="99"/>
      <c r="K574" s="99"/>
      <c r="L574" s="99"/>
      <c r="M574" s="99"/>
      <c r="N574" s="99"/>
    </row>
    <row r="575" spans="1:14" s="85" customFormat="1" ht="25.5">
      <c r="A575" s="106"/>
      <c r="B575" s="257"/>
      <c r="C575" s="95"/>
      <c r="D575" s="95"/>
      <c r="E575" s="95"/>
      <c r="F575" s="256" t="s">
        <v>373</v>
      </c>
      <c r="G575" s="258" t="s">
        <v>679</v>
      </c>
      <c r="H575" s="105" t="s">
        <v>78</v>
      </c>
      <c r="I575" s="99"/>
      <c r="J575" s="99"/>
      <c r="K575" s="99">
        <f>+I575</f>
        <v>0</v>
      </c>
      <c r="L575" s="99"/>
      <c r="M575" s="99"/>
      <c r="N575" s="99">
        <f>-I575+'[2]Extra 01'!H410-50000000</f>
        <v>0</v>
      </c>
    </row>
    <row r="576" spans="1:14" s="85" customFormat="1" ht="13">
      <c r="A576" s="106"/>
      <c r="B576" s="257"/>
      <c r="C576" s="95"/>
      <c r="D576" s="95"/>
      <c r="E576" s="95"/>
      <c r="F576" s="256"/>
      <c r="G576" s="258"/>
      <c r="H576" s="105" t="s">
        <v>81</v>
      </c>
      <c r="I576" s="99">
        <v>642437990.76999998</v>
      </c>
      <c r="J576" s="99"/>
      <c r="K576" s="99">
        <f>+I576</f>
        <v>642437990.76999998</v>
      </c>
      <c r="L576" s="99"/>
      <c r="M576" s="99"/>
      <c r="N576" s="99">
        <f>-I576+'[2]Extra 01'!H411+50000000+186830700</f>
        <v>4602167.9800000191</v>
      </c>
    </row>
    <row r="577" spans="1:14" s="85" customFormat="1" ht="12.75" customHeight="1">
      <c r="A577" s="106"/>
      <c r="B577" s="257"/>
      <c r="C577" s="95"/>
      <c r="D577" s="95"/>
      <c r="E577" s="95"/>
      <c r="F577" s="256"/>
      <c r="G577" s="108"/>
      <c r="H577" s="105"/>
      <c r="I577" s="99"/>
      <c r="J577" s="99"/>
      <c r="K577" s="99"/>
      <c r="L577" s="99"/>
      <c r="M577" s="99"/>
      <c r="N577" s="99"/>
    </row>
    <row r="578" spans="1:14" s="85" customFormat="1" ht="12.75" customHeight="1">
      <c r="A578" s="106"/>
      <c r="B578" s="257"/>
      <c r="C578" s="95"/>
      <c r="D578" s="95"/>
      <c r="E578" s="95"/>
      <c r="F578" s="256" t="s">
        <v>375</v>
      </c>
      <c r="G578" s="258" t="s">
        <v>678</v>
      </c>
      <c r="H578" s="105" t="s">
        <v>81</v>
      </c>
      <c r="I578" s="99"/>
      <c r="J578" s="99"/>
      <c r="K578" s="99">
        <f>+I578</f>
        <v>0</v>
      </c>
      <c r="L578" s="99"/>
      <c r="M578" s="99"/>
      <c r="N578" s="99">
        <f>-I578+'[2]Extra 01'!H413</f>
        <v>30000000</v>
      </c>
    </row>
    <row r="579" spans="1:14" s="85" customFormat="1" ht="12.75" customHeight="1">
      <c r="A579" s="106"/>
      <c r="B579" s="257"/>
      <c r="C579" s="95"/>
      <c r="D579" s="95"/>
      <c r="E579" s="95"/>
      <c r="F579" s="256"/>
      <c r="G579" s="108"/>
      <c r="H579" s="105"/>
      <c r="I579" s="99"/>
      <c r="J579" s="99"/>
      <c r="K579" s="99"/>
      <c r="L579" s="99"/>
      <c r="M579" s="99"/>
      <c r="N579" s="99"/>
    </row>
    <row r="580" spans="1:14" s="85" customFormat="1" ht="12.75" customHeight="1">
      <c r="A580" s="106"/>
      <c r="B580" s="257"/>
      <c r="C580" s="95"/>
      <c r="D580" s="95"/>
      <c r="E580" s="95"/>
      <c r="F580" s="256" t="s">
        <v>376</v>
      </c>
      <c r="G580" s="258" t="s">
        <v>368</v>
      </c>
      <c r="H580" s="105" t="s">
        <v>81</v>
      </c>
      <c r="I580" s="99">
        <v>8497109</v>
      </c>
      <c r="J580" s="99"/>
      <c r="K580" s="99">
        <f>+I580</f>
        <v>8497109</v>
      </c>
      <c r="L580" s="99"/>
      <c r="M580" s="99"/>
      <c r="N580" s="99">
        <f>-I580+'[2]Extra 01'!H415</f>
        <v>1502891</v>
      </c>
    </row>
    <row r="581" spans="1:14" s="85" customFormat="1" ht="12.75" customHeight="1">
      <c r="A581" s="106"/>
      <c r="B581" s="257"/>
      <c r="C581" s="95"/>
      <c r="D581" s="95"/>
      <c r="E581" s="95"/>
      <c r="F581" s="256"/>
      <c r="G581" s="108"/>
      <c r="H581" s="105"/>
      <c r="I581" s="99"/>
      <c r="J581" s="99"/>
      <c r="K581" s="99"/>
      <c r="L581" s="99"/>
      <c r="M581" s="99"/>
      <c r="N581" s="99"/>
    </row>
    <row r="582" spans="1:14" s="85" customFormat="1" ht="12.75" customHeight="1">
      <c r="A582" s="106"/>
      <c r="B582" s="257"/>
      <c r="C582" s="95"/>
      <c r="D582" s="95"/>
      <c r="E582" s="95"/>
      <c r="F582" s="256" t="s">
        <v>377</v>
      </c>
      <c r="G582" s="258" t="s">
        <v>677</v>
      </c>
      <c r="H582" s="105" t="s">
        <v>78</v>
      </c>
      <c r="I582" s="99"/>
      <c r="J582" s="99"/>
      <c r="K582" s="99">
        <f>+I582</f>
        <v>0</v>
      </c>
      <c r="L582" s="99"/>
      <c r="M582" s="99"/>
      <c r="N582" s="99">
        <v>12000000</v>
      </c>
    </row>
    <row r="583" spans="1:14" s="85" customFormat="1" ht="12.75" customHeight="1">
      <c r="A583" s="106"/>
      <c r="B583" s="257"/>
      <c r="C583" s="95"/>
      <c r="D583" s="95"/>
      <c r="E583" s="95"/>
      <c r="F583" s="256"/>
      <c r="G583" s="258"/>
      <c r="H583" s="105" t="s">
        <v>81</v>
      </c>
      <c r="I583" s="99"/>
      <c r="J583" s="99"/>
      <c r="K583" s="99">
        <f>+I583</f>
        <v>0</v>
      </c>
      <c r="L583" s="99"/>
      <c r="M583" s="99"/>
      <c r="N583" s="99">
        <f>-I583+'[2]Extra 01'!H417-12000000</f>
        <v>168000000</v>
      </c>
    </row>
    <row r="584" spans="1:14" s="85" customFormat="1" ht="12.75" customHeight="1">
      <c r="A584" s="106"/>
      <c r="B584" s="257"/>
      <c r="C584" s="95"/>
      <c r="D584" s="95"/>
      <c r="E584" s="95"/>
      <c r="F584" s="256"/>
      <c r="G584" s="108"/>
      <c r="H584" s="105"/>
      <c r="I584" s="99"/>
      <c r="J584" s="99"/>
      <c r="K584" s="99"/>
      <c r="L584" s="99"/>
      <c r="M584" s="99"/>
      <c r="N584" s="99"/>
    </row>
    <row r="585" spans="1:14" s="85" customFormat="1" ht="12.75" customHeight="1">
      <c r="A585" s="106"/>
      <c r="B585" s="257"/>
      <c r="C585" s="95"/>
      <c r="D585" s="95"/>
      <c r="E585" s="95"/>
      <c r="F585" s="256" t="s">
        <v>438</v>
      </c>
      <c r="G585" s="258" t="s">
        <v>676</v>
      </c>
      <c r="H585" s="105" t="s">
        <v>78</v>
      </c>
      <c r="I585" s="99"/>
      <c r="J585" s="99"/>
      <c r="K585" s="99">
        <f>+I585</f>
        <v>0</v>
      </c>
      <c r="L585" s="99"/>
      <c r="M585" s="99"/>
      <c r="N585" s="99">
        <f>-I585+'[2]Extra 01'!H419</f>
        <v>24415205</v>
      </c>
    </row>
    <row r="586" spans="1:14" s="85" customFormat="1" ht="12.75" customHeight="1">
      <c r="A586" s="106"/>
      <c r="B586" s="257"/>
      <c r="C586" s="95"/>
      <c r="D586" s="95"/>
      <c r="E586" s="95"/>
      <c r="F586" s="256"/>
      <c r="G586" s="108"/>
      <c r="H586" s="105"/>
      <c r="I586" s="99"/>
      <c r="J586" s="99"/>
      <c r="K586" s="99"/>
      <c r="L586" s="99"/>
      <c r="M586" s="99"/>
      <c r="N586" s="99"/>
    </row>
    <row r="587" spans="1:14" s="85" customFormat="1" ht="12.75" customHeight="1">
      <c r="A587" s="106"/>
      <c r="B587" s="257"/>
      <c r="C587" s="95"/>
      <c r="D587" s="95"/>
      <c r="E587" s="95"/>
      <c r="F587" s="256" t="s">
        <v>379</v>
      </c>
      <c r="G587" s="258" t="s">
        <v>378</v>
      </c>
      <c r="H587" s="105" t="s">
        <v>81</v>
      </c>
      <c r="I587" s="99"/>
      <c r="J587" s="99"/>
      <c r="K587" s="99">
        <f>+I587</f>
        <v>0</v>
      </c>
      <c r="L587" s="99"/>
      <c r="M587" s="99"/>
      <c r="N587" s="99">
        <f>-I587+'[2]Extra 01'!H421</f>
        <v>579081</v>
      </c>
    </row>
    <row r="588" spans="1:14" s="85" customFormat="1" ht="12.75" customHeight="1">
      <c r="A588" s="106"/>
      <c r="B588" s="257"/>
      <c r="C588" s="95"/>
      <c r="D588" s="95"/>
      <c r="E588" s="95"/>
      <c r="F588" s="256"/>
      <c r="G588" s="108"/>
      <c r="H588" s="105"/>
      <c r="I588" s="99"/>
      <c r="J588" s="99"/>
      <c r="K588" s="99"/>
      <c r="L588" s="99"/>
      <c r="M588" s="99"/>
      <c r="N588" s="99"/>
    </row>
    <row r="589" spans="1:14" s="85" customFormat="1" ht="25.5">
      <c r="A589" s="106"/>
      <c r="B589" s="257"/>
      <c r="C589" s="95"/>
      <c r="D589" s="95"/>
      <c r="E589" s="95"/>
      <c r="F589" s="256" t="s">
        <v>380</v>
      </c>
      <c r="G589" s="108" t="s">
        <v>374</v>
      </c>
      <c r="H589" s="105" t="s">
        <v>81</v>
      </c>
      <c r="I589" s="99">
        <v>8852609</v>
      </c>
      <c r="J589" s="99"/>
      <c r="K589" s="99">
        <f>+I589</f>
        <v>8852609</v>
      </c>
      <c r="L589" s="99"/>
      <c r="M589" s="99"/>
      <c r="N589" s="99">
        <f>-I589+'[2]Extra 01'!H424+'[2]EXTRA 2'!H424</f>
        <v>2294783</v>
      </c>
    </row>
    <row r="590" spans="1:14" s="85" customFormat="1" ht="12.75" customHeight="1">
      <c r="A590" s="106"/>
      <c r="B590" s="257"/>
      <c r="C590" s="95"/>
      <c r="D590" s="95"/>
      <c r="E590" s="95"/>
      <c r="F590" s="256"/>
      <c r="G590" s="108"/>
      <c r="H590" s="105"/>
      <c r="I590" s="99"/>
      <c r="J590" s="99"/>
      <c r="K590" s="99"/>
      <c r="L590" s="99"/>
      <c r="M590" s="99"/>
      <c r="N590" s="99"/>
    </row>
    <row r="591" spans="1:14" s="85" customFormat="1" ht="13">
      <c r="A591" s="106"/>
      <c r="B591" s="257"/>
      <c r="C591" s="95"/>
      <c r="D591" s="95"/>
      <c r="E591" s="95"/>
      <c r="F591" s="256" t="s">
        <v>381</v>
      </c>
      <c r="G591" s="108" t="s">
        <v>675</v>
      </c>
      <c r="H591" s="105" t="s">
        <v>81</v>
      </c>
      <c r="I591" s="99">
        <v>319049.39</v>
      </c>
      <c r="J591" s="99"/>
      <c r="K591" s="99">
        <f>+I591</f>
        <v>319049.39</v>
      </c>
      <c r="L591" s="99"/>
      <c r="M591" s="99"/>
      <c r="N591" s="99">
        <f>-I591+'[2]Extra 01'!H426+'[2]EXTRA 2'!H426</f>
        <v>43866517.609999999</v>
      </c>
    </row>
    <row r="592" spans="1:14" s="85" customFormat="1" ht="12.75" customHeight="1">
      <c r="A592" s="106"/>
      <c r="B592" s="257"/>
      <c r="C592" s="95"/>
      <c r="D592" s="95"/>
      <c r="E592" s="95"/>
      <c r="F592" s="256"/>
      <c r="G592" s="108"/>
      <c r="H592" s="105"/>
      <c r="I592" s="99"/>
      <c r="J592" s="99"/>
      <c r="K592" s="99"/>
      <c r="L592" s="99"/>
      <c r="M592" s="99"/>
      <c r="N592" s="99"/>
    </row>
    <row r="593" spans="1:14" s="85" customFormat="1" ht="12.75" customHeight="1">
      <c r="A593" s="106"/>
      <c r="B593" s="257"/>
      <c r="C593" s="95"/>
      <c r="D593" s="95"/>
      <c r="E593" s="95"/>
      <c r="F593" s="256" t="s">
        <v>382</v>
      </c>
      <c r="G593" s="258" t="s">
        <v>674</v>
      </c>
      <c r="H593" s="105" t="s">
        <v>81</v>
      </c>
      <c r="I593" s="99">
        <v>426975.18</v>
      </c>
      <c r="J593" s="99"/>
      <c r="K593" s="99">
        <f>+I593</f>
        <v>426975.18</v>
      </c>
      <c r="L593" s="99"/>
      <c r="M593" s="99"/>
      <c r="N593" s="99">
        <f>-I593+'[2]Extra 01'!H428</f>
        <v>1553701.82</v>
      </c>
    </row>
    <row r="594" spans="1:14" s="85" customFormat="1" ht="12.75" customHeight="1">
      <c r="A594" s="106"/>
      <c r="B594" s="257"/>
      <c r="C594" s="95"/>
      <c r="D594" s="95"/>
      <c r="E594" s="95"/>
      <c r="F594" s="256"/>
      <c r="G594" s="108"/>
      <c r="H594" s="105"/>
      <c r="I594" s="99"/>
      <c r="J594" s="99"/>
      <c r="K594" s="99"/>
      <c r="L594" s="99"/>
      <c r="M594" s="99"/>
      <c r="N594" s="99"/>
    </row>
    <row r="595" spans="1:14" s="85" customFormat="1" ht="12.75" customHeight="1">
      <c r="A595" s="106"/>
      <c r="B595" s="257"/>
      <c r="C595" s="95"/>
      <c r="D595" s="95"/>
      <c r="E595" s="95"/>
      <c r="F595" s="256" t="s">
        <v>383</v>
      </c>
      <c r="G595" s="258" t="s">
        <v>673</v>
      </c>
      <c r="H595" s="105" t="s">
        <v>78</v>
      </c>
      <c r="I595" s="99"/>
      <c r="J595" s="99"/>
      <c r="K595" s="99">
        <f>+I595</f>
        <v>0</v>
      </c>
      <c r="L595" s="99"/>
      <c r="M595" s="99"/>
      <c r="N595" s="99">
        <f>10000000-I595</f>
        <v>10000000</v>
      </c>
    </row>
    <row r="596" spans="1:14" s="85" customFormat="1" ht="12.75" customHeight="1">
      <c r="A596" s="106"/>
      <c r="B596" s="257"/>
      <c r="C596" s="95"/>
      <c r="D596" s="95"/>
      <c r="E596" s="95"/>
      <c r="F596" s="256"/>
      <c r="G596" s="258"/>
      <c r="H596" s="105" t="s">
        <v>81</v>
      </c>
      <c r="I596" s="99"/>
      <c r="J596" s="99"/>
      <c r="K596" s="99">
        <f>+I596</f>
        <v>0</v>
      </c>
      <c r="L596" s="99"/>
      <c r="M596" s="99"/>
      <c r="N596" s="99">
        <f>-I596+'[2]Extra 01'!H430-10000000</f>
        <v>101778025.62</v>
      </c>
    </row>
    <row r="597" spans="1:14" s="85" customFormat="1" ht="12.75" customHeight="1">
      <c r="A597" s="106"/>
      <c r="B597" s="257"/>
      <c r="C597" s="95"/>
      <c r="D597" s="95"/>
      <c r="E597" s="95"/>
      <c r="F597" s="256"/>
      <c r="G597" s="108"/>
      <c r="H597" s="105"/>
      <c r="I597" s="99"/>
      <c r="J597" s="99"/>
      <c r="K597" s="99"/>
      <c r="L597" s="99"/>
      <c r="M597" s="99"/>
      <c r="N597" s="99"/>
    </row>
    <row r="598" spans="1:14" s="85" customFormat="1" ht="25.5">
      <c r="A598" s="106"/>
      <c r="B598" s="257"/>
      <c r="C598" s="95"/>
      <c r="D598" s="95"/>
      <c r="E598" s="95"/>
      <c r="F598" s="256" t="s">
        <v>384</v>
      </c>
      <c r="G598" s="108" t="s">
        <v>672</v>
      </c>
      <c r="H598" s="105" t="s">
        <v>81</v>
      </c>
      <c r="I598" s="99"/>
      <c r="J598" s="99"/>
      <c r="K598" s="99">
        <f>+I598</f>
        <v>0</v>
      </c>
      <c r="L598" s="99"/>
      <c r="M598" s="99"/>
      <c r="N598" s="99">
        <f>-I598+'[2]Extra 01'!H432</f>
        <v>51464831.920000002</v>
      </c>
    </row>
    <row r="599" spans="1:14" s="85" customFormat="1" ht="12.75" customHeight="1">
      <c r="A599" s="106"/>
      <c r="B599" s="257"/>
      <c r="C599" s="95"/>
      <c r="D599" s="95"/>
      <c r="E599" s="95"/>
      <c r="F599" s="256"/>
      <c r="G599" s="108"/>
      <c r="H599" s="105"/>
      <c r="I599" s="99"/>
      <c r="J599" s="99"/>
      <c r="K599" s="99"/>
      <c r="L599" s="99"/>
      <c r="M599" s="99"/>
      <c r="N599" s="99"/>
    </row>
    <row r="600" spans="1:14" s="85" customFormat="1" ht="25.5">
      <c r="A600" s="106"/>
      <c r="B600" s="257"/>
      <c r="C600" s="95"/>
      <c r="D600" s="95"/>
      <c r="E600" s="95"/>
      <c r="F600" s="256" t="s">
        <v>385</v>
      </c>
      <c r="G600" s="108" t="s">
        <v>671</v>
      </c>
      <c r="H600" s="105" t="s">
        <v>78</v>
      </c>
      <c r="I600" s="99"/>
      <c r="J600" s="99"/>
      <c r="K600" s="99">
        <f>+I600</f>
        <v>0</v>
      </c>
      <c r="L600" s="99"/>
      <c r="M600" s="99"/>
      <c r="N600" s="99">
        <f>-I600+'[2]Extra 01'!H434</f>
        <v>12000000</v>
      </c>
    </row>
    <row r="601" spans="1:14" s="85" customFormat="1" ht="13">
      <c r="A601" s="106"/>
      <c r="B601" s="257"/>
      <c r="C601" s="95"/>
      <c r="D601" s="95"/>
      <c r="E601" s="95"/>
      <c r="F601" s="256"/>
      <c r="G601" s="108"/>
      <c r="H601" s="105" t="s">
        <v>81</v>
      </c>
      <c r="I601" s="99"/>
      <c r="J601" s="99"/>
      <c r="K601" s="99">
        <f>+I601</f>
        <v>0</v>
      </c>
      <c r="L601" s="99"/>
      <c r="M601" s="99"/>
      <c r="N601" s="99">
        <f>-I601+'[2]Extra 01'!H435</f>
        <v>43000000</v>
      </c>
    </row>
    <row r="602" spans="1:14" s="85" customFormat="1" ht="12.75" customHeight="1">
      <c r="A602" s="106"/>
      <c r="B602" s="257"/>
      <c r="C602" s="95"/>
      <c r="D602" s="95"/>
      <c r="E602" s="95"/>
      <c r="F602" s="256"/>
      <c r="G602" s="108"/>
      <c r="H602" s="105"/>
      <c r="I602" s="99"/>
      <c r="J602" s="99"/>
      <c r="K602" s="99"/>
      <c r="L602" s="99"/>
      <c r="M602" s="99"/>
      <c r="N602" s="99"/>
    </row>
    <row r="603" spans="1:14" s="85" customFormat="1" ht="12.75" customHeight="1">
      <c r="A603" s="106"/>
      <c r="B603" s="257"/>
      <c r="C603" s="95"/>
      <c r="D603" s="95"/>
      <c r="E603" s="95"/>
      <c r="F603" s="256" t="s">
        <v>213</v>
      </c>
      <c r="G603" s="108" t="s">
        <v>670</v>
      </c>
      <c r="H603" s="105" t="s">
        <v>78</v>
      </c>
      <c r="I603" s="99"/>
      <c r="J603" s="99"/>
      <c r="K603" s="99">
        <f>+I603</f>
        <v>0</v>
      </c>
      <c r="L603" s="99"/>
      <c r="M603" s="99"/>
      <c r="N603" s="99">
        <f>-I603+'[2]Extra 01'!H437</f>
        <v>15000000</v>
      </c>
    </row>
    <row r="604" spans="1:14" s="85" customFormat="1" ht="12.75" customHeight="1">
      <c r="A604" s="106"/>
      <c r="B604" s="257"/>
      <c r="C604" s="95"/>
      <c r="D604" s="95"/>
      <c r="E604" s="95"/>
      <c r="F604" s="256"/>
      <c r="G604" s="108"/>
      <c r="H604" s="105" t="s">
        <v>81</v>
      </c>
      <c r="I604" s="99"/>
      <c r="J604" s="99"/>
      <c r="K604" s="99">
        <f>+I604</f>
        <v>0</v>
      </c>
      <c r="L604" s="99"/>
      <c r="M604" s="99"/>
      <c r="N604" s="99">
        <f>-I604+'[2]Extra 01'!H438</f>
        <v>120173387.56999999</v>
      </c>
    </row>
    <row r="605" spans="1:14" s="85" customFormat="1" ht="12.75" customHeight="1">
      <c r="A605" s="106"/>
      <c r="B605" s="257"/>
      <c r="C605" s="95"/>
      <c r="D605" s="95"/>
      <c r="E605" s="95"/>
      <c r="F605" s="256"/>
      <c r="G605" s="108"/>
      <c r="H605" s="105"/>
      <c r="I605" s="99"/>
      <c r="J605" s="99"/>
      <c r="K605" s="99"/>
      <c r="L605" s="99"/>
      <c r="M605" s="99"/>
      <c r="N605" s="99"/>
    </row>
    <row r="606" spans="1:14" s="85" customFormat="1" ht="12.75" customHeight="1">
      <c r="A606" s="106"/>
      <c r="B606" s="257"/>
      <c r="C606" s="95"/>
      <c r="D606" s="95"/>
      <c r="E606" s="95"/>
      <c r="F606" s="256" t="s">
        <v>214</v>
      </c>
      <c r="G606" s="258" t="s">
        <v>669</v>
      </c>
      <c r="H606" s="105" t="s">
        <v>78</v>
      </c>
      <c r="I606" s="99"/>
      <c r="J606" s="99"/>
      <c r="K606" s="99">
        <f>+I606</f>
        <v>0</v>
      </c>
      <c r="L606" s="99"/>
      <c r="M606" s="99"/>
      <c r="N606" s="99">
        <f>-I606+'[2]Extra 01'!H440</f>
        <v>850000</v>
      </c>
    </row>
    <row r="607" spans="1:14" s="85" customFormat="1" ht="12.75" customHeight="1">
      <c r="A607" s="106"/>
      <c r="B607" s="257"/>
      <c r="C607" s="95"/>
      <c r="D607" s="95"/>
      <c r="E607" s="95"/>
      <c r="F607" s="256"/>
      <c r="G607" s="258"/>
      <c r="H607" s="105" t="s">
        <v>81</v>
      </c>
      <c r="I607" s="99"/>
      <c r="J607" s="99"/>
      <c r="K607" s="99">
        <f>+I607</f>
        <v>0</v>
      </c>
      <c r="L607" s="99"/>
      <c r="M607" s="99"/>
      <c r="N607" s="99">
        <f>-I607+'[2]Extra 01'!H441</f>
        <v>7650000</v>
      </c>
    </row>
    <row r="608" spans="1:14" s="85" customFormat="1" ht="12.75" customHeight="1">
      <c r="A608" s="106"/>
      <c r="B608" s="257"/>
      <c r="C608" s="95"/>
      <c r="D608" s="95"/>
      <c r="E608" s="95"/>
      <c r="F608" s="256"/>
      <c r="G608" s="108"/>
      <c r="H608" s="105"/>
      <c r="I608" s="99"/>
      <c r="J608" s="99"/>
      <c r="K608" s="99"/>
      <c r="L608" s="99"/>
      <c r="M608" s="99"/>
      <c r="N608" s="99"/>
    </row>
    <row r="609" spans="1:14" s="85" customFormat="1" ht="12.75" customHeight="1">
      <c r="A609" s="106"/>
      <c r="B609" s="257"/>
      <c r="C609" s="95"/>
      <c r="D609" s="95"/>
      <c r="E609" s="95"/>
      <c r="F609" s="256" t="s">
        <v>668</v>
      </c>
      <c r="G609" s="258" t="s">
        <v>667</v>
      </c>
      <c r="H609" s="105" t="s">
        <v>81</v>
      </c>
      <c r="I609" s="99">
        <v>393919.49</v>
      </c>
      <c r="J609" s="99"/>
      <c r="K609" s="99">
        <f>+I609</f>
        <v>393919.49</v>
      </c>
      <c r="L609" s="99"/>
      <c r="M609" s="99"/>
      <c r="N609" s="99">
        <f>-I609+'[2]Extra 01'!H443</f>
        <v>0</v>
      </c>
    </row>
    <row r="610" spans="1:14" s="85" customFormat="1" ht="12.75" customHeight="1">
      <c r="A610" s="106"/>
      <c r="B610" s="257"/>
      <c r="C610" s="95"/>
      <c r="D610" s="95"/>
      <c r="E610" s="95"/>
      <c r="F610" s="256"/>
      <c r="G610" s="108"/>
      <c r="H610" s="105"/>
      <c r="I610" s="99"/>
      <c r="J610" s="99"/>
      <c r="K610" s="99"/>
      <c r="L610" s="99"/>
      <c r="M610" s="99"/>
      <c r="N610" s="99"/>
    </row>
    <row r="611" spans="1:14" s="85" customFormat="1" ht="12.75" customHeight="1">
      <c r="A611" s="106"/>
      <c r="B611" s="257"/>
      <c r="C611" s="95"/>
      <c r="D611" s="95"/>
      <c r="E611" s="95"/>
      <c r="F611" s="256" t="s">
        <v>666</v>
      </c>
      <c r="G611" s="258" t="s">
        <v>665</v>
      </c>
      <c r="H611" s="105" t="s">
        <v>81</v>
      </c>
      <c r="I611" s="99">
        <v>975642.31</v>
      </c>
      <c r="J611" s="99"/>
      <c r="K611" s="99">
        <f>+I611</f>
        <v>975642.31</v>
      </c>
      <c r="L611" s="99"/>
      <c r="M611" s="99"/>
      <c r="N611" s="99">
        <f>-I611+'[2]Extra 01'!H445</f>
        <v>0</v>
      </c>
    </row>
    <row r="612" spans="1:14" s="85" customFormat="1" ht="12.75" customHeight="1">
      <c r="A612" s="106"/>
      <c r="B612" s="257"/>
      <c r="C612" s="95"/>
      <c r="D612" s="95"/>
      <c r="E612" s="95"/>
      <c r="F612" s="256"/>
      <c r="G612" s="108"/>
      <c r="H612" s="105"/>
      <c r="I612" s="99"/>
      <c r="J612" s="99"/>
      <c r="K612" s="99"/>
      <c r="L612" s="99"/>
      <c r="M612" s="99"/>
      <c r="N612" s="99"/>
    </row>
    <row r="613" spans="1:14" s="85" customFormat="1" ht="25.5">
      <c r="A613" s="106"/>
      <c r="B613" s="257"/>
      <c r="C613" s="95"/>
      <c r="D613" s="95"/>
      <c r="E613" s="95"/>
      <c r="F613" s="256" t="s">
        <v>664</v>
      </c>
      <c r="G613" s="258" t="s">
        <v>663</v>
      </c>
      <c r="H613" s="105" t="s">
        <v>81</v>
      </c>
      <c r="I613" s="99"/>
      <c r="J613" s="99"/>
      <c r="K613" s="99">
        <f>+I613</f>
        <v>0</v>
      </c>
      <c r="L613" s="99"/>
      <c r="M613" s="99"/>
      <c r="N613" s="99">
        <f>-I613+'[2]Extra 01'!H447</f>
        <v>40767184.960000001</v>
      </c>
    </row>
    <row r="614" spans="1:14" s="85" customFormat="1" ht="12.75" customHeight="1">
      <c r="A614" s="106"/>
      <c r="B614" s="257"/>
      <c r="C614" s="95"/>
      <c r="D614" s="95"/>
      <c r="E614" s="95"/>
      <c r="F614" s="256"/>
      <c r="G614" s="108"/>
      <c r="H614" s="105"/>
      <c r="I614" s="99"/>
      <c r="J614" s="99"/>
      <c r="K614" s="99"/>
      <c r="L614" s="99"/>
      <c r="M614" s="99"/>
      <c r="N614" s="99"/>
    </row>
    <row r="615" spans="1:14" s="85" customFormat="1" ht="12.75" customHeight="1">
      <c r="A615" s="106"/>
      <c r="B615" s="257"/>
      <c r="C615" s="95"/>
      <c r="D615" s="95"/>
      <c r="E615" s="95"/>
      <c r="F615" s="256" t="s">
        <v>662</v>
      </c>
      <c r="G615" s="258" t="s">
        <v>661</v>
      </c>
      <c r="H615" s="105" t="s">
        <v>81</v>
      </c>
      <c r="I615" s="99"/>
      <c r="J615" s="99"/>
      <c r="K615" s="99">
        <f>+I615</f>
        <v>0</v>
      </c>
      <c r="L615" s="99"/>
      <c r="M615" s="99"/>
      <c r="N615" s="99">
        <f>-I615+'[2]Extra 01'!H449</f>
        <v>70000000</v>
      </c>
    </row>
    <row r="616" spans="1:14" s="85" customFormat="1" ht="12.75" customHeight="1">
      <c r="A616" s="106"/>
      <c r="B616" s="257"/>
      <c r="C616" s="95"/>
      <c r="D616" s="95"/>
      <c r="E616" s="95"/>
      <c r="F616" s="256"/>
      <c r="G616" s="108"/>
      <c r="H616" s="105"/>
      <c r="I616" s="99"/>
      <c r="J616" s="99"/>
      <c r="K616" s="99"/>
      <c r="L616" s="99"/>
      <c r="M616" s="99"/>
      <c r="N616" s="99"/>
    </row>
    <row r="617" spans="1:14" s="85" customFormat="1" ht="12.65" customHeight="1">
      <c r="A617" s="106"/>
      <c r="B617" s="257"/>
      <c r="C617" s="95"/>
      <c r="D617" s="95"/>
      <c r="E617" s="95"/>
      <c r="F617" s="256" t="s">
        <v>660</v>
      </c>
      <c r="G617" s="258" t="s">
        <v>659</v>
      </c>
      <c r="H617" s="105" t="s">
        <v>81</v>
      </c>
      <c r="I617" s="99"/>
      <c r="J617" s="99"/>
      <c r="K617" s="99">
        <f>+I617</f>
        <v>0</v>
      </c>
      <c r="L617" s="99"/>
      <c r="M617" s="99"/>
      <c r="N617" s="99">
        <f>-I617+'[2]Extra 01'!H451</f>
        <v>40767184.960000001</v>
      </c>
    </row>
    <row r="618" spans="1:14" s="85" customFormat="1" ht="12.65" customHeight="1">
      <c r="A618" s="106"/>
      <c r="B618" s="257"/>
      <c r="C618" s="95"/>
      <c r="D618" s="95"/>
      <c r="E618" s="95"/>
      <c r="F618" s="256"/>
      <c r="G618" s="108"/>
      <c r="H618" s="105"/>
      <c r="I618" s="99"/>
      <c r="J618" s="99"/>
      <c r="K618" s="99"/>
      <c r="L618" s="99"/>
      <c r="M618" s="99"/>
      <c r="N618" s="99"/>
    </row>
    <row r="619" spans="1:14" s="85" customFormat="1" ht="12.75" customHeight="1">
      <c r="A619" s="106"/>
      <c r="B619" s="257"/>
      <c r="C619" s="95"/>
      <c r="D619" s="95"/>
      <c r="E619" s="95"/>
      <c r="F619" s="256" t="s">
        <v>658</v>
      </c>
      <c r="G619" s="258" t="s">
        <v>657</v>
      </c>
      <c r="H619" s="105" t="s">
        <v>81</v>
      </c>
      <c r="I619" s="99">
        <v>8041303.7400000002</v>
      </c>
      <c r="J619" s="99"/>
      <c r="K619" s="99">
        <f>+I619</f>
        <v>8041303.7400000002</v>
      </c>
      <c r="L619" s="99"/>
      <c r="M619" s="99"/>
      <c r="N619" s="99">
        <f>-I619+'[2]Extra 01'!H453</f>
        <v>2853396.209999999</v>
      </c>
    </row>
    <row r="620" spans="1:14" s="85" customFormat="1" ht="12.75" customHeight="1">
      <c r="A620" s="106"/>
      <c r="B620" s="257"/>
      <c r="C620" s="95"/>
      <c r="D620" s="95"/>
      <c r="E620" s="95"/>
      <c r="F620" s="256"/>
      <c r="G620" s="108"/>
      <c r="H620" s="105"/>
      <c r="I620" s="99"/>
      <c r="J620" s="99"/>
      <c r="K620" s="99"/>
      <c r="L620" s="99"/>
      <c r="M620" s="99"/>
      <c r="N620" s="99"/>
    </row>
    <row r="621" spans="1:14" s="85" customFormat="1" ht="12.75" customHeight="1">
      <c r="A621" s="106"/>
      <c r="B621" s="257"/>
      <c r="C621" s="95"/>
      <c r="D621" s="95"/>
      <c r="E621" s="95"/>
      <c r="F621" s="256" t="s">
        <v>656</v>
      </c>
      <c r="G621" s="258" t="s">
        <v>655</v>
      </c>
      <c r="H621" s="105" t="s">
        <v>81</v>
      </c>
      <c r="I621" s="99">
        <f>48325941+11580352</f>
        <v>59906293</v>
      </c>
      <c r="J621" s="99"/>
      <c r="K621" s="99">
        <f>+I621</f>
        <v>59906293</v>
      </c>
      <c r="L621" s="99"/>
      <c r="M621" s="99"/>
      <c r="N621" s="99">
        <f>-I621+'[2]Extra 01'!H456+'[2]EXTRA 2'!H456</f>
        <v>130000000</v>
      </c>
    </row>
    <row r="622" spans="1:14" s="85" customFormat="1" ht="12.75" customHeight="1">
      <c r="A622" s="106"/>
      <c r="B622" s="257"/>
      <c r="C622" s="95"/>
      <c r="D622" s="95"/>
      <c r="E622" s="95"/>
      <c r="F622" s="256"/>
      <c r="G622" s="108"/>
      <c r="H622" s="105"/>
      <c r="I622" s="99"/>
      <c r="J622" s="99"/>
      <c r="K622" s="99"/>
      <c r="L622" s="99"/>
      <c r="M622" s="99"/>
      <c r="N622" s="99"/>
    </row>
    <row r="623" spans="1:14" s="85" customFormat="1" ht="12.75" customHeight="1">
      <c r="A623" s="106"/>
      <c r="B623" s="257"/>
      <c r="C623" s="95"/>
      <c r="D623" s="95"/>
      <c r="E623" s="95"/>
      <c r="F623" s="256" t="s">
        <v>654</v>
      </c>
      <c r="G623" s="258" t="s">
        <v>653</v>
      </c>
      <c r="H623" s="105" t="s">
        <v>81</v>
      </c>
      <c r="I623" s="99"/>
      <c r="J623" s="99"/>
      <c r="K623" s="99">
        <f>+I623</f>
        <v>0</v>
      </c>
      <c r="L623" s="99"/>
      <c r="M623" s="99"/>
      <c r="N623" s="99">
        <f>-I623+'[2]Extra 01'!H458</f>
        <v>60000000</v>
      </c>
    </row>
    <row r="624" spans="1:14" s="85" customFormat="1" ht="12.75" customHeight="1">
      <c r="A624" s="106"/>
      <c r="B624" s="257"/>
      <c r="C624" s="95"/>
      <c r="D624" s="95"/>
      <c r="E624" s="95"/>
      <c r="F624" s="256"/>
      <c r="G624" s="108"/>
      <c r="H624" s="105"/>
      <c r="I624" s="99"/>
      <c r="J624" s="99"/>
      <c r="K624" s="99"/>
      <c r="L624" s="99"/>
      <c r="M624" s="99"/>
      <c r="N624" s="99"/>
    </row>
    <row r="625" spans="1:14" s="85" customFormat="1" ht="25.5">
      <c r="A625" s="106"/>
      <c r="B625" s="257"/>
      <c r="C625" s="95"/>
      <c r="D625" s="95"/>
      <c r="E625" s="95"/>
      <c r="F625" s="256" t="s">
        <v>652</v>
      </c>
      <c r="G625" s="258" t="s">
        <v>651</v>
      </c>
      <c r="H625" s="105" t="s">
        <v>78</v>
      </c>
      <c r="I625" s="99"/>
      <c r="J625" s="99"/>
      <c r="K625" s="99">
        <f>+I625</f>
        <v>0</v>
      </c>
      <c r="L625" s="99"/>
      <c r="M625" s="99"/>
      <c r="N625" s="99">
        <f>-I625+'[2]Extra 01'!H460</f>
        <v>8000000</v>
      </c>
    </row>
    <row r="626" spans="1:14" s="85" customFormat="1" ht="12.75" customHeight="1">
      <c r="A626" s="106"/>
      <c r="B626" s="257"/>
      <c r="C626" s="95"/>
      <c r="D626" s="95"/>
      <c r="E626" s="95"/>
      <c r="F626" s="256"/>
      <c r="G626" s="258"/>
      <c r="H626" s="105" t="s">
        <v>81</v>
      </c>
      <c r="I626" s="99"/>
      <c r="J626" s="99"/>
      <c r="K626" s="99">
        <f>+I626</f>
        <v>0</v>
      </c>
      <c r="L626" s="99"/>
      <c r="M626" s="99"/>
      <c r="N626" s="99">
        <f>-I626+'[2]Extra 01'!H461</f>
        <v>28295721.059999999</v>
      </c>
    </row>
    <row r="627" spans="1:14" s="85" customFormat="1" ht="12.75" customHeight="1">
      <c r="A627" s="106"/>
      <c r="B627" s="257"/>
      <c r="C627" s="95"/>
      <c r="D627" s="95"/>
      <c r="E627" s="95"/>
      <c r="F627" s="256"/>
      <c r="G627" s="108"/>
      <c r="H627" s="105"/>
      <c r="I627" s="99"/>
      <c r="J627" s="99"/>
      <c r="K627" s="99"/>
      <c r="L627" s="99"/>
      <c r="M627" s="99"/>
      <c r="N627" s="99"/>
    </row>
    <row r="628" spans="1:14" s="85" customFormat="1" ht="12.75" customHeight="1">
      <c r="A628" s="106"/>
      <c r="B628" s="257"/>
      <c r="C628" s="95"/>
      <c r="D628" s="95"/>
      <c r="E628" s="95"/>
      <c r="F628" s="256" t="s">
        <v>650</v>
      </c>
      <c r="G628" s="258" t="s">
        <v>649</v>
      </c>
      <c r="H628" s="105" t="s">
        <v>81</v>
      </c>
      <c r="I628" s="99">
        <v>19974227.510000002</v>
      </c>
      <c r="J628" s="99"/>
      <c r="K628" s="99">
        <f>+I628</f>
        <v>19974227.510000002</v>
      </c>
      <c r="L628" s="99"/>
      <c r="M628" s="99"/>
      <c r="N628" s="99">
        <f>-I628+'[2]Extra 01'!H463+3729010.35</f>
        <v>19834182.209999997</v>
      </c>
    </row>
    <row r="629" spans="1:14" s="85" customFormat="1" ht="12.75" customHeight="1">
      <c r="A629" s="106"/>
      <c r="B629" s="257"/>
      <c r="C629" s="95"/>
      <c r="D629" s="95"/>
      <c r="E629" s="95"/>
      <c r="F629" s="256"/>
      <c r="G629" s="108"/>
      <c r="H629" s="105"/>
      <c r="I629" s="99"/>
      <c r="J629" s="99"/>
      <c r="K629" s="99"/>
      <c r="L629" s="99"/>
      <c r="M629" s="99"/>
      <c r="N629" s="99"/>
    </row>
    <row r="630" spans="1:14" s="85" customFormat="1" ht="12.75" customHeight="1">
      <c r="A630" s="106"/>
      <c r="B630" s="257"/>
      <c r="C630" s="95"/>
      <c r="D630" s="95"/>
      <c r="E630" s="95"/>
      <c r="F630" s="256" t="s">
        <v>648</v>
      </c>
      <c r="G630" s="108" t="s">
        <v>647</v>
      </c>
      <c r="H630" s="105" t="s">
        <v>78</v>
      </c>
      <c r="I630" s="99"/>
      <c r="J630" s="99"/>
      <c r="K630" s="99">
        <f>+I630</f>
        <v>0</v>
      </c>
      <c r="L630" s="99"/>
      <c r="M630" s="99"/>
      <c r="N630" s="99">
        <f>+'[2]Extra 01'!H465-'3_Detalle Origen y Aplicación'!I630</f>
        <v>8000000</v>
      </c>
    </row>
    <row r="631" spans="1:14" s="85" customFormat="1" ht="12.75" customHeight="1">
      <c r="A631" s="106"/>
      <c r="B631" s="257"/>
      <c r="C631" s="95"/>
      <c r="D631" s="95"/>
      <c r="E631" s="95"/>
      <c r="F631" s="256"/>
      <c r="G631" s="108"/>
      <c r="H631" s="105" t="s">
        <v>81</v>
      </c>
      <c r="I631" s="99"/>
      <c r="J631" s="99"/>
      <c r="K631" s="99">
        <f>+I631</f>
        <v>0</v>
      </c>
      <c r="L631" s="99"/>
      <c r="M631" s="99"/>
      <c r="N631" s="99">
        <f>+'[2]Extra 01'!H466-'3_Detalle Origen y Aplicación'!I631</f>
        <v>22000000</v>
      </c>
    </row>
    <row r="632" spans="1:14" s="85" customFormat="1" ht="12.75" customHeight="1">
      <c r="A632" s="106"/>
      <c r="B632" s="257"/>
      <c r="C632" s="95"/>
      <c r="D632" s="95"/>
      <c r="E632" s="95"/>
      <c r="F632" s="256"/>
      <c r="G632" s="108"/>
      <c r="H632" s="105"/>
      <c r="I632" s="99"/>
      <c r="J632" s="99"/>
      <c r="K632" s="99"/>
      <c r="L632" s="99"/>
      <c r="M632" s="99"/>
      <c r="N632" s="99"/>
    </row>
    <row r="633" spans="1:14" s="85" customFormat="1" ht="12.75" customHeight="1">
      <c r="A633" s="106"/>
      <c r="B633" s="257"/>
      <c r="C633" s="95"/>
      <c r="D633" s="95"/>
      <c r="E633" s="95"/>
      <c r="F633" s="256" t="s">
        <v>646</v>
      </c>
      <c r="G633" s="258" t="s">
        <v>645</v>
      </c>
      <c r="H633" s="105" t="s">
        <v>78</v>
      </c>
      <c r="I633" s="99">
        <v>5060000</v>
      </c>
      <c r="J633" s="99"/>
      <c r="K633" s="99">
        <f>+I633</f>
        <v>5060000</v>
      </c>
      <c r="L633" s="99"/>
      <c r="M633" s="99"/>
      <c r="N633" s="99">
        <f>-I633+'[2]Extra 01'!H468</f>
        <v>4940000</v>
      </c>
    </row>
    <row r="634" spans="1:14" s="85" customFormat="1" ht="12.75" customHeight="1">
      <c r="A634" s="106"/>
      <c r="B634" s="257"/>
      <c r="C634" s="95"/>
      <c r="D634" s="95"/>
      <c r="E634" s="95"/>
      <c r="F634" s="256"/>
      <c r="G634" s="258"/>
      <c r="H634" s="105" t="s">
        <v>81</v>
      </c>
      <c r="I634" s="99"/>
      <c r="J634" s="99"/>
      <c r="K634" s="99">
        <f>+I634</f>
        <v>0</v>
      </c>
      <c r="L634" s="99"/>
      <c r="M634" s="99"/>
      <c r="N634" s="99">
        <f>-I634+'[2]Extra 01'!H469</f>
        <v>26295722</v>
      </c>
    </row>
    <row r="635" spans="1:14" s="85" customFormat="1" ht="12.75" customHeight="1">
      <c r="A635" s="106"/>
      <c r="B635" s="257"/>
      <c r="C635" s="95"/>
      <c r="D635" s="95"/>
      <c r="E635" s="95"/>
      <c r="F635" s="256"/>
      <c r="G635" s="108"/>
      <c r="H635" s="105"/>
      <c r="I635" s="99"/>
      <c r="J635" s="99"/>
      <c r="K635" s="99"/>
      <c r="L635" s="99"/>
      <c r="M635" s="99"/>
      <c r="N635" s="99"/>
    </row>
    <row r="636" spans="1:14" s="85" customFormat="1" ht="12.75" customHeight="1">
      <c r="A636" s="106"/>
      <c r="B636" s="257"/>
      <c r="C636" s="95"/>
      <c r="D636" s="95"/>
      <c r="E636" s="95"/>
      <c r="F636" s="256" t="s">
        <v>644</v>
      </c>
      <c r="G636" s="258" t="s">
        <v>643</v>
      </c>
      <c r="H636" s="105" t="s">
        <v>81</v>
      </c>
      <c r="I636" s="99"/>
      <c r="J636" s="99"/>
      <c r="K636" s="99">
        <f>+I636</f>
        <v>0</v>
      </c>
      <c r="L636" s="99"/>
      <c r="M636" s="99"/>
      <c r="N636" s="99">
        <f>-I636+'[2]Extra 01'!H471</f>
        <v>179800277</v>
      </c>
    </row>
    <row r="637" spans="1:14" s="85" customFormat="1" ht="12.75" customHeight="1">
      <c r="A637" s="106"/>
      <c r="B637" s="257"/>
      <c r="C637" s="95"/>
      <c r="D637" s="95"/>
      <c r="E637" s="95"/>
      <c r="F637" s="256"/>
      <c r="G637" s="108"/>
      <c r="H637" s="105"/>
      <c r="I637" s="99"/>
      <c r="J637" s="99"/>
      <c r="K637" s="99"/>
      <c r="L637" s="99"/>
      <c r="M637" s="99"/>
      <c r="N637" s="99"/>
    </row>
    <row r="638" spans="1:14" s="85" customFormat="1" ht="12.75" customHeight="1">
      <c r="A638" s="106"/>
      <c r="B638" s="257"/>
      <c r="C638" s="95"/>
      <c r="D638" s="95"/>
      <c r="E638" s="95"/>
      <c r="F638" s="256" t="s">
        <v>642</v>
      </c>
      <c r="G638" s="258" t="s">
        <v>641</v>
      </c>
      <c r="H638" s="105" t="s">
        <v>81</v>
      </c>
      <c r="I638" s="99"/>
      <c r="J638" s="99"/>
      <c r="K638" s="99">
        <f>+I638</f>
        <v>0</v>
      </c>
      <c r="L638" s="99"/>
      <c r="M638" s="99"/>
      <c r="N638" s="99">
        <f>-I638+'[2]Extra 01'!H473</f>
        <v>38791169.479999997</v>
      </c>
    </row>
    <row r="639" spans="1:14" s="85" customFormat="1" ht="12.75" customHeight="1">
      <c r="A639" s="106"/>
      <c r="B639" s="257"/>
      <c r="C639" s="95"/>
      <c r="D639" s="95"/>
      <c r="E639" s="95"/>
      <c r="F639" s="256"/>
      <c r="G639" s="108"/>
      <c r="H639" s="105"/>
      <c r="I639" s="99"/>
      <c r="J639" s="99"/>
      <c r="K639" s="99"/>
      <c r="L639" s="99"/>
      <c r="M639" s="99"/>
      <c r="N639" s="99"/>
    </row>
    <row r="640" spans="1:14" s="85" customFormat="1" ht="12.75" customHeight="1">
      <c r="A640" s="106"/>
      <c r="B640" s="257"/>
      <c r="C640" s="95"/>
      <c r="D640" s="95"/>
      <c r="E640" s="95"/>
      <c r="F640" s="256" t="s">
        <v>640</v>
      </c>
      <c r="G640" s="258" t="str">
        <f>+'[2]EXTRA 2'!G474</f>
        <v>Mejoras Infraestructura en el CENCINAI de Viila Bonita</v>
      </c>
      <c r="H640" s="105" t="s">
        <v>81</v>
      </c>
      <c r="I640" s="99"/>
      <c r="J640" s="99"/>
      <c r="K640" s="99">
        <f>+I640</f>
        <v>0</v>
      </c>
      <c r="L640" s="99"/>
      <c r="M640" s="99"/>
      <c r="N640" s="99">
        <f>+'[2]EXTRA 2'!H475-'3_Detalle Origen y Aplicación'!I640</f>
        <v>6263398.2000000002</v>
      </c>
    </row>
    <row r="641" spans="1:14" s="85" customFormat="1" ht="12.75" customHeight="1">
      <c r="A641" s="106"/>
      <c r="B641" s="257"/>
      <c r="C641" s="95"/>
      <c r="D641" s="95"/>
      <c r="E641" s="95"/>
      <c r="F641" s="256"/>
      <c r="G641" s="108"/>
      <c r="H641" s="105"/>
      <c r="I641" s="99"/>
      <c r="J641" s="99"/>
      <c r="K641" s="99"/>
      <c r="L641" s="99"/>
      <c r="M641" s="99"/>
      <c r="N641" s="99"/>
    </row>
    <row r="642" spans="1:14" s="85" customFormat="1" ht="13">
      <c r="A642" s="106"/>
      <c r="B642" s="257"/>
      <c r="C642" s="95"/>
      <c r="D642" s="95"/>
      <c r="E642" s="95"/>
      <c r="F642" s="256" t="s">
        <v>639</v>
      </c>
      <c r="G642" s="258" t="str">
        <f>+'[2]EXTRA 2'!G476</f>
        <v>Restauracion De Planta Fisica De La Escuela Invu Las Cañas</v>
      </c>
      <c r="H642" s="105" t="s">
        <v>81</v>
      </c>
      <c r="I642" s="99"/>
      <c r="J642" s="99"/>
      <c r="K642" s="99">
        <f>+I642</f>
        <v>0</v>
      </c>
      <c r="L642" s="99"/>
      <c r="M642" s="99"/>
      <c r="N642" s="99">
        <f>+'[2]EXTRA 2'!H477-'3_Detalle Origen y Aplicación'!I642</f>
        <v>20000000</v>
      </c>
    </row>
    <row r="643" spans="1:14" s="85" customFormat="1" ht="12.75" customHeight="1">
      <c r="A643" s="106"/>
      <c r="B643" s="257"/>
      <c r="C643" s="95"/>
      <c r="D643" s="95"/>
      <c r="E643" s="95"/>
      <c r="F643" s="256"/>
      <c r="G643" s="108"/>
      <c r="H643" s="105"/>
      <c r="I643" s="99"/>
      <c r="J643" s="99"/>
      <c r="K643" s="99"/>
      <c r="L643" s="99"/>
      <c r="M643" s="99"/>
      <c r="N643" s="99"/>
    </row>
    <row r="644" spans="1:14" s="85" customFormat="1" ht="12.75" customHeight="1">
      <c r="A644" s="106"/>
      <c r="B644" s="257"/>
      <c r="C644" s="95"/>
      <c r="D644" s="95"/>
      <c r="E644" s="95"/>
      <c r="F644" s="256" t="s">
        <v>638</v>
      </c>
      <c r="G644" s="258" t="str">
        <f>+'[2]EXTRA 2'!G478</f>
        <v>Mejoras de Cancha Multiusos de Rincón Chiquito</v>
      </c>
      <c r="H644" s="105" t="s">
        <v>81</v>
      </c>
      <c r="I644" s="99">
        <v>24555375</v>
      </c>
      <c r="J644" s="99"/>
      <c r="K644" s="99">
        <f>+I644</f>
        <v>24555375</v>
      </c>
      <c r="L644" s="99"/>
      <c r="M644" s="99"/>
      <c r="N644" s="99">
        <f>+'[2]EXTRA 2'!H479-'3_Detalle Origen y Aplicación'!I644</f>
        <v>5434625</v>
      </c>
    </row>
    <row r="645" spans="1:14" s="85" customFormat="1" ht="12.75" customHeight="1">
      <c r="A645" s="106"/>
      <c r="B645" s="257"/>
      <c r="C645" s="95"/>
      <c r="D645" s="95"/>
      <c r="E645" s="95"/>
      <c r="F645" s="256"/>
      <c r="G645" s="108"/>
      <c r="H645" s="105"/>
      <c r="I645" s="99"/>
      <c r="J645" s="99"/>
      <c r="K645" s="99"/>
      <c r="L645" s="99"/>
      <c r="M645" s="99"/>
      <c r="N645" s="99"/>
    </row>
    <row r="646" spans="1:14" s="85" customFormat="1" ht="12.75" customHeight="1">
      <c r="A646" s="106"/>
      <c r="B646" s="257"/>
      <c r="C646" s="95"/>
      <c r="D646" s="95"/>
      <c r="E646" s="95"/>
      <c r="F646" s="256" t="s">
        <v>637</v>
      </c>
      <c r="G646" s="258" t="str">
        <f>+'[2]EXTRA 2'!G480</f>
        <v>Mejoras Escuela Guadalajara Pueblo Nuevo</v>
      </c>
      <c r="H646" s="105" t="s">
        <v>78</v>
      </c>
      <c r="I646" s="99">
        <v>5760597.9800000004</v>
      </c>
      <c r="J646" s="99"/>
      <c r="K646" s="99">
        <f>+I646</f>
        <v>5760597.9800000004</v>
      </c>
      <c r="L646" s="99"/>
      <c r="M646" s="99"/>
      <c r="N646" s="99">
        <f>+'[2]EXTRA 2'!H481-'3_Detalle Origen y Aplicación'!I646</f>
        <v>0</v>
      </c>
    </row>
    <row r="647" spans="1:14" s="85" customFormat="1" ht="12.75" customHeight="1">
      <c r="A647" s="106"/>
      <c r="B647" s="257"/>
      <c r="C647" s="95"/>
      <c r="D647" s="95"/>
      <c r="E647" s="95"/>
      <c r="F647" s="256"/>
      <c r="G647" s="258"/>
      <c r="H647" s="105" t="s">
        <v>81</v>
      </c>
      <c r="I647" s="99">
        <f>54455087.39+34969496.98</f>
        <v>89424584.370000005</v>
      </c>
      <c r="J647" s="99"/>
      <c r="K647" s="99">
        <f>+I647</f>
        <v>89424584.370000005</v>
      </c>
      <c r="L647" s="99"/>
      <c r="M647" s="99"/>
      <c r="N647" s="99">
        <f>+'[2]EXTRA 2'!H482-'3_Detalle Origen y Aplicación'!I647</f>
        <v>0</v>
      </c>
    </row>
    <row r="648" spans="1:14" s="85" customFormat="1" ht="12.75" customHeight="1">
      <c r="A648" s="106"/>
      <c r="B648" s="257"/>
      <c r="C648" s="95"/>
      <c r="D648" s="95"/>
      <c r="E648" s="95"/>
      <c r="F648" s="256"/>
      <c r="G648" s="108"/>
      <c r="H648" s="105"/>
      <c r="I648" s="99"/>
      <c r="J648" s="99"/>
      <c r="K648" s="99"/>
      <c r="L648" s="99"/>
      <c r="M648" s="99"/>
      <c r="N648" s="99"/>
    </row>
    <row r="649" spans="1:14" s="85" customFormat="1" ht="12.75" customHeight="1">
      <c r="A649" s="106"/>
      <c r="B649" s="257"/>
      <c r="C649" s="95"/>
      <c r="D649" s="95"/>
      <c r="E649" s="95"/>
      <c r="F649" s="256" t="s">
        <v>636</v>
      </c>
      <c r="G649" s="258" t="str">
        <f>+'[2]EXTRA 2'!G483</f>
        <v xml:space="preserve"> Consolidación Bodega Municipal</v>
      </c>
      <c r="H649" s="105" t="s">
        <v>81</v>
      </c>
      <c r="I649" s="99">
        <v>7199333.7599999998</v>
      </c>
      <c r="J649" s="99"/>
      <c r="K649" s="99">
        <f>+I649</f>
        <v>7199333.7599999998</v>
      </c>
      <c r="L649" s="99"/>
      <c r="M649" s="99"/>
      <c r="N649" s="99">
        <f>+'[2]EXTRA 2'!H486-'3_Detalle Origen y Aplicación'!I649-186830700</f>
        <v>18377481.24000001</v>
      </c>
    </row>
    <row r="650" spans="1:14" s="85" customFormat="1" ht="12.75" customHeight="1">
      <c r="A650" s="106"/>
      <c r="B650" s="257"/>
      <c r="C650" s="95"/>
      <c r="D650" s="95"/>
      <c r="E650" s="95"/>
      <c r="F650" s="256"/>
      <c r="G650" s="108"/>
      <c r="H650" s="105"/>
      <c r="I650" s="99"/>
      <c r="J650" s="99"/>
      <c r="K650" s="99"/>
      <c r="L650" s="99"/>
      <c r="M650" s="99"/>
      <c r="N650" s="99"/>
    </row>
    <row r="651" spans="1:14" s="85" customFormat="1" ht="12.75" customHeight="1">
      <c r="A651" s="106"/>
      <c r="B651" s="257"/>
      <c r="C651" s="95"/>
      <c r="D651" s="95"/>
      <c r="E651" s="95"/>
      <c r="F651" s="256" t="s">
        <v>635</v>
      </c>
      <c r="G651" s="258" t="str">
        <f>+'[2]EXTRA 2'!G487</f>
        <v>Mejoras Infraestructura Escuela De Itiquis</v>
      </c>
      <c r="H651" s="105" t="s">
        <v>81</v>
      </c>
      <c r="I651" s="248">
        <v>5155049</v>
      </c>
      <c r="J651" s="99"/>
      <c r="K651" s="99">
        <f>+I651</f>
        <v>5155049</v>
      </c>
      <c r="L651" s="99"/>
      <c r="M651" s="99"/>
      <c r="N651" s="99">
        <f>+'[2]EXTRA 2'!H488-'3_Detalle Origen y Aplicación'!I651+434927.68</f>
        <v>434927.68</v>
      </c>
    </row>
    <row r="652" spans="1:14" s="85" customFormat="1" ht="12.75" customHeight="1">
      <c r="A652" s="106"/>
      <c r="B652" s="257"/>
      <c r="C652" s="95"/>
      <c r="D652" s="95"/>
      <c r="E652" s="95"/>
      <c r="F652" s="256"/>
      <c r="G652" s="258"/>
      <c r="H652" s="105"/>
      <c r="I652" s="248">
        <v>0</v>
      </c>
      <c r="J652" s="99"/>
      <c r="K652" s="99">
        <f>+I652</f>
        <v>0</v>
      </c>
      <c r="L652" s="99"/>
      <c r="M652" s="99"/>
      <c r="N652" s="99"/>
    </row>
    <row r="653" spans="1:14" s="85" customFormat="1" ht="12.75" customHeight="1">
      <c r="A653" s="106"/>
      <c r="B653" s="257"/>
      <c r="C653" s="95"/>
      <c r="D653" s="95"/>
      <c r="E653" s="95"/>
      <c r="F653" s="256"/>
      <c r="G653" s="108"/>
      <c r="H653" s="105"/>
      <c r="I653" s="99"/>
      <c r="J653" s="99"/>
      <c r="K653" s="99"/>
      <c r="L653" s="99"/>
      <c r="M653" s="99"/>
      <c r="N653" s="99"/>
    </row>
    <row r="654" spans="1:14" s="85" customFormat="1" ht="12.75" customHeight="1">
      <c r="A654" s="106"/>
      <c r="B654" s="257"/>
      <c r="C654" s="95"/>
      <c r="D654" s="95"/>
      <c r="E654" s="95"/>
      <c r="F654" s="256" t="s">
        <v>634</v>
      </c>
      <c r="G654" s="108" t="s">
        <v>633</v>
      </c>
      <c r="H654" s="105" t="s">
        <v>81</v>
      </c>
      <c r="I654" s="99">
        <v>2596817.08</v>
      </c>
      <c r="J654" s="99"/>
      <c r="K654" s="99">
        <f>+I654</f>
        <v>2596817.08</v>
      </c>
      <c r="L654" s="99"/>
      <c r="M654" s="99"/>
      <c r="N654" s="99">
        <f>2596817.08-I654</f>
        <v>0</v>
      </c>
    </row>
    <row r="655" spans="1:14" s="85" customFormat="1" ht="12.75" customHeight="1">
      <c r="A655" s="106"/>
      <c r="B655" s="257"/>
      <c r="C655" s="95"/>
      <c r="D655" s="95"/>
      <c r="E655" s="95"/>
      <c r="F655" s="256"/>
      <c r="G655" s="261"/>
      <c r="H655" s="105"/>
      <c r="I655" s="99"/>
      <c r="J655" s="99"/>
      <c r="K655" s="99"/>
      <c r="L655" s="99"/>
      <c r="M655" s="99"/>
      <c r="N655" s="99"/>
    </row>
    <row r="656" spans="1:14" s="85" customFormat="1" ht="12.75" customHeight="1">
      <c r="A656" s="106"/>
      <c r="B656" s="257"/>
      <c r="C656" s="95"/>
      <c r="D656" s="95"/>
      <c r="E656" s="95"/>
      <c r="F656" s="256" t="s">
        <v>359</v>
      </c>
      <c r="G656" s="258" t="s">
        <v>632</v>
      </c>
      <c r="H656" s="105" t="s">
        <v>78</v>
      </c>
      <c r="I656" s="99">
        <f>33087052.53+5907380.8+482249+54695707.93</f>
        <v>94172390.25999999</v>
      </c>
      <c r="J656" s="99"/>
      <c r="K656" s="99">
        <f>+I656</f>
        <v>94172390.25999999</v>
      </c>
      <c r="L656" s="99">
        <v>0</v>
      </c>
      <c r="M656" s="99"/>
      <c r="N656" s="99">
        <f>-I656+'[2]Extra 01'!H481+'[2]EXTRA 2'!H490-4000000</f>
        <v>1.1175870895385742E-8</v>
      </c>
    </row>
    <row r="657" spans="1:14" s="85" customFormat="1" ht="12.65" customHeight="1">
      <c r="A657" s="106"/>
      <c r="B657" s="257"/>
      <c r="C657" s="95"/>
      <c r="D657" s="95"/>
      <c r="E657" s="95"/>
      <c r="F657" s="256"/>
      <c r="G657" s="108"/>
      <c r="H657" s="105" t="s">
        <v>79</v>
      </c>
      <c r="I657" s="99">
        <f>38500000+2633663+10315567.5+67602884.68</f>
        <v>119052115.18000001</v>
      </c>
      <c r="J657" s="99"/>
      <c r="K657" s="99">
        <f>+I657</f>
        <v>119052115.18000001</v>
      </c>
      <c r="L657" s="99"/>
      <c r="M657" s="99"/>
      <c r="N657" s="99">
        <f>-I657+'[2]Extra 01'!H482+6000000+'[2]EXTRA 2'!H491+59576663.91+4000000</f>
        <v>-1.4901161193847656E-8</v>
      </c>
    </row>
    <row r="658" spans="1:14" s="85" customFormat="1" ht="12.65" customHeight="1">
      <c r="A658" s="106"/>
      <c r="B658" s="257"/>
      <c r="C658" s="95"/>
      <c r="D658" s="95"/>
      <c r="E658" s="95"/>
      <c r="F658" s="256"/>
      <c r="G658" s="108"/>
      <c r="H658" s="105" t="s">
        <v>81</v>
      </c>
      <c r="I658" s="99">
        <v>22993970.5</v>
      </c>
      <c r="J658" s="99"/>
      <c r="K658" s="99">
        <f>+I658</f>
        <v>22993970.5</v>
      </c>
      <c r="L658" s="99"/>
      <c r="M658" s="99"/>
      <c r="N658" s="99">
        <f>+'[2]EXTRA 2'!H492-'3_Detalle Origen y Aplicación'!I658</f>
        <v>0</v>
      </c>
    </row>
    <row r="659" spans="1:14" s="85" customFormat="1" ht="12.75" customHeight="1">
      <c r="A659" s="106"/>
      <c r="B659" s="257"/>
      <c r="C659" s="95"/>
      <c r="D659" s="95"/>
      <c r="E659" s="95"/>
      <c r="F659" s="256"/>
      <c r="G659" s="108"/>
      <c r="H659" s="105"/>
      <c r="I659" s="99"/>
      <c r="J659" s="99"/>
      <c r="K659" s="99"/>
      <c r="L659" s="99"/>
      <c r="M659" s="99"/>
      <c r="N659" s="99"/>
    </row>
    <row r="660" spans="1:14" s="85" customFormat="1" ht="12.75" customHeight="1">
      <c r="A660" s="106"/>
      <c r="B660" s="257"/>
      <c r="C660" s="95"/>
      <c r="D660" s="95"/>
      <c r="E660" s="95"/>
      <c r="F660" s="256" t="s">
        <v>245</v>
      </c>
      <c r="G660" s="108" t="s">
        <v>246</v>
      </c>
      <c r="H660" s="105" t="s">
        <v>78</v>
      </c>
      <c r="I660" s="99"/>
      <c r="J660" s="99"/>
      <c r="K660" s="99">
        <f>+I660</f>
        <v>0</v>
      </c>
      <c r="L660" s="99"/>
      <c r="M660" s="99"/>
      <c r="N660" s="99"/>
    </row>
    <row r="661" spans="1:14" s="85" customFormat="1" ht="12.75" customHeight="1">
      <c r="A661" s="106"/>
      <c r="B661" s="257"/>
      <c r="C661" s="95"/>
      <c r="D661" s="95"/>
      <c r="E661" s="95"/>
      <c r="F661" s="256"/>
      <c r="G661" s="108"/>
      <c r="H661" s="105" t="s">
        <v>81</v>
      </c>
      <c r="I661" s="99">
        <v>2128205264.03</v>
      </c>
      <c r="J661" s="99"/>
      <c r="K661" s="99">
        <f>+I661</f>
        <v>2128205264.03</v>
      </c>
      <c r="L661" s="99"/>
      <c r="M661" s="99"/>
      <c r="N661" s="99">
        <f>-I661+[2]ordinario!I681+'[2]Extra 01'!H486-568927727.09+'[2]EXTRA 2'!H494-94788977.93</f>
        <v>3384047585.1600003</v>
      </c>
    </row>
    <row r="662" spans="1:14" s="85" customFormat="1" ht="12.75" customHeight="1">
      <c r="A662" s="106"/>
      <c r="B662" s="257"/>
      <c r="C662" s="95"/>
      <c r="D662" s="95"/>
      <c r="E662" s="95"/>
      <c r="F662" s="256"/>
      <c r="G662" s="108"/>
      <c r="H662" s="105"/>
      <c r="I662" s="99"/>
      <c r="J662" s="99"/>
      <c r="K662" s="99"/>
      <c r="L662" s="99"/>
      <c r="M662" s="99"/>
      <c r="N662" s="99"/>
    </row>
    <row r="663" spans="1:14" s="85" customFormat="1" ht="12.75" customHeight="1">
      <c r="A663" s="106"/>
      <c r="B663" s="257"/>
      <c r="C663" s="95"/>
      <c r="D663" s="95"/>
      <c r="E663" s="95"/>
      <c r="F663" s="256" t="s">
        <v>257</v>
      </c>
      <c r="G663" s="108" t="s">
        <v>631</v>
      </c>
      <c r="H663" s="105" t="s">
        <v>81</v>
      </c>
      <c r="I663" s="99"/>
      <c r="J663" s="99"/>
      <c r="K663" s="99">
        <f>+I663</f>
        <v>0</v>
      </c>
      <c r="L663" s="99"/>
      <c r="M663" s="99"/>
      <c r="N663" s="99">
        <f>-I663+[2]ordinario!I683</f>
        <v>50000000</v>
      </c>
    </row>
    <row r="664" spans="1:14" s="85" customFormat="1" ht="12.75" customHeight="1">
      <c r="A664" s="106"/>
      <c r="B664" s="257"/>
      <c r="C664" s="95"/>
      <c r="D664" s="95"/>
      <c r="E664" s="95"/>
      <c r="F664" s="256"/>
      <c r="G664" s="108"/>
      <c r="H664" s="105"/>
      <c r="I664" s="99"/>
      <c r="J664" s="99"/>
      <c r="K664" s="99"/>
      <c r="L664" s="99"/>
      <c r="M664" s="99"/>
      <c r="N664" s="99"/>
    </row>
    <row r="665" spans="1:14" s="85" customFormat="1" ht="12.75" customHeight="1">
      <c r="A665" s="106"/>
      <c r="B665" s="257"/>
      <c r="C665" s="95"/>
      <c r="D665" s="95"/>
      <c r="E665" s="95"/>
      <c r="F665" s="256" t="s">
        <v>387</v>
      </c>
      <c r="G665" s="260" t="s">
        <v>630</v>
      </c>
      <c r="H665" s="105" t="s">
        <v>78</v>
      </c>
      <c r="I665" s="99"/>
      <c r="J665" s="99"/>
      <c r="K665" s="99">
        <f>+I665</f>
        <v>0</v>
      </c>
      <c r="L665" s="99"/>
      <c r="M665" s="99"/>
      <c r="N665" s="99">
        <f>20000000-I665</f>
        <v>20000000</v>
      </c>
    </row>
    <row r="666" spans="1:14" s="85" customFormat="1" ht="12.75" customHeight="1">
      <c r="A666" s="106"/>
      <c r="B666" s="257"/>
      <c r="C666" s="95"/>
      <c r="D666" s="95"/>
      <c r="E666" s="95"/>
      <c r="F666" s="256"/>
      <c r="G666" s="260"/>
      <c r="H666" s="105" t="s">
        <v>81</v>
      </c>
      <c r="I666" s="99"/>
      <c r="J666" s="99"/>
      <c r="K666" s="99">
        <f>+I666</f>
        <v>0</v>
      </c>
      <c r="L666" s="99"/>
      <c r="M666" s="99"/>
      <c r="N666" s="99">
        <f>-I666+'[2]Extra 01'!H489+[2]ordinario!I685-20000000</f>
        <v>130000000</v>
      </c>
    </row>
    <row r="667" spans="1:14" s="85" customFormat="1" ht="12.75" customHeight="1">
      <c r="A667" s="106"/>
      <c r="B667" s="257"/>
      <c r="C667" s="95"/>
      <c r="D667" s="95"/>
      <c r="E667" s="95"/>
      <c r="F667" s="256"/>
      <c r="G667" s="108"/>
      <c r="H667" s="105"/>
      <c r="I667" s="99"/>
      <c r="J667" s="99"/>
      <c r="K667" s="99"/>
      <c r="L667" s="99"/>
      <c r="M667" s="99"/>
      <c r="N667" s="99"/>
    </row>
    <row r="668" spans="1:14" s="85" customFormat="1" ht="25.5">
      <c r="A668" s="106"/>
      <c r="B668" s="257"/>
      <c r="C668" s="95"/>
      <c r="D668" s="95"/>
      <c r="E668" s="95"/>
      <c r="F668" s="256" t="s">
        <v>218</v>
      </c>
      <c r="G668" s="259" t="s">
        <v>441</v>
      </c>
      <c r="H668" s="105" t="s">
        <v>81</v>
      </c>
      <c r="I668" s="99"/>
      <c r="J668" s="99"/>
      <c r="K668" s="99">
        <f>+I668</f>
        <v>0</v>
      </c>
      <c r="L668" s="99"/>
      <c r="M668" s="99"/>
      <c r="N668" s="99">
        <f>-I668+'[2]Extra 01'!H492</f>
        <v>55000000</v>
      </c>
    </row>
    <row r="669" spans="1:14" s="85" customFormat="1" ht="12.75" customHeight="1">
      <c r="A669" s="106"/>
      <c r="B669" s="257"/>
      <c r="C669" s="95"/>
      <c r="D669" s="95"/>
      <c r="E669" s="95"/>
      <c r="F669" s="256"/>
      <c r="G669" s="260"/>
      <c r="H669" s="105"/>
      <c r="I669" s="99"/>
      <c r="J669" s="99"/>
      <c r="K669" s="99"/>
      <c r="L669" s="99"/>
      <c r="M669" s="99"/>
      <c r="N669" s="99"/>
    </row>
    <row r="670" spans="1:14" s="85" customFormat="1" ht="12.75" customHeight="1">
      <c r="A670" s="106"/>
      <c r="B670" s="257"/>
      <c r="C670" s="95"/>
      <c r="D670" s="95"/>
      <c r="E670" s="95"/>
      <c r="F670" s="256" t="s">
        <v>440</v>
      </c>
      <c r="G670" s="260" t="s">
        <v>388</v>
      </c>
      <c r="H670" s="105" t="s">
        <v>81</v>
      </c>
      <c r="I670" s="99">
        <v>78294603.219999999</v>
      </c>
      <c r="J670" s="99"/>
      <c r="K670" s="99">
        <f>+I670</f>
        <v>78294603.219999999</v>
      </c>
      <c r="L670" s="99"/>
      <c r="M670" s="99"/>
      <c r="N670" s="99">
        <f>-I670+'[2]Extra 01'!H494+'[2]EXTRA 2'!H502</f>
        <v>200000000</v>
      </c>
    </row>
    <row r="671" spans="1:14" s="85" customFormat="1" ht="12.75" customHeight="1">
      <c r="A671" s="106"/>
      <c r="B671" s="257"/>
      <c r="C671" s="95"/>
      <c r="D671" s="95"/>
      <c r="E671" s="95"/>
      <c r="F671" s="256"/>
      <c r="G671" s="260"/>
      <c r="H671" s="105"/>
      <c r="I671" s="99"/>
      <c r="J671" s="99"/>
      <c r="K671" s="99"/>
      <c r="L671" s="99"/>
      <c r="M671" s="99"/>
      <c r="N671" s="99"/>
    </row>
    <row r="672" spans="1:14" s="85" customFormat="1" ht="12.75" customHeight="1">
      <c r="A672" s="106"/>
      <c r="B672" s="257"/>
      <c r="C672" s="95"/>
      <c r="D672" s="95"/>
      <c r="E672" s="95"/>
      <c r="F672" s="256" t="s">
        <v>442</v>
      </c>
      <c r="G672" s="260" t="s">
        <v>446</v>
      </c>
      <c r="H672" s="105" t="s">
        <v>81</v>
      </c>
      <c r="I672" s="99">
        <v>52412.04</v>
      </c>
      <c r="J672" s="99"/>
      <c r="K672" s="99">
        <f>+I672</f>
        <v>52412.04</v>
      </c>
      <c r="L672" s="99"/>
      <c r="M672" s="99"/>
      <c r="N672" s="99">
        <f>-I672+'[2]Extra 01'!H496</f>
        <v>69947587.959999993</v>
      </c>
    </row>
    <row r="673" spans="1:14" s="85" customFormat="1" ht="12.75" customHeight="1">
      <c r="A673" s="106"/>
      <c r="B673" s="257"/>
      <c r="C673" s="95"/>
      <c r="D673" s="95"/>
      <c r="E673" s="95"/>
      <c r="F673" s="256"/>
      <c r="G673" s="259"/>
      <c r="H673" s="105"/>
      <c r="I673" s="99"/>
      <c r="J673" s="99"/>
      <c r="K673" s="99"/>
      <c r="L673" s="99"/>
      <c r="M673" s="99"/>
      <c r="N673" s="99"/>
    </row>
    <row r="674" spans="1:14" s="85" customFormat="1" ht="12.75" customHeight="1">
      <c r="A674" s="106"/>
      <c r="B674" s="257"/>
      <c r="C674" s="95"/>
      <c r="D674" s="95"/>
      <c r="E674" s="95"/>
      <c r="F674" s="256" t="s">
        <v>443</v>
      </c>
      <c r="G674" s="259" t="s">
        <v>629</v>
      </c>
      <c r="H674" s="105" t="s">
        <v>81</v>
      </c>
      <c r="I674" s="99">
        <v>1237702.3999999999</v>
      </c>
      <c r="J674" s="99"/>
      <c r="K674" s="99">
        <f>+I674</f>
        <v>1237702.3999999999</v>
      </c>
      <c r="L674" s="99"/>
      <c r="M674" s="99"/>
      <c r="N674" s="99">
        <f>-I674+'[2]Extra 01'!H499</f>
        <v>0</v>
      </c>
    </row>
    <row r="675" spans="1:14" s="85" customFormat="1" ht="12.75" customHeight="1">
      <c r="A675" s="106"/>
      <c r="B675" s="257"/>
      <c r="C675" s="95"/>
      <c r="D675" s="95"/>
      <c r="E675" s="95"/>
      <c r="F675" s="256"/>
      <c r="G675" s="259"/>
      <c r="H675" s="105"/>
      <c r="I675" s="99"/>
      <c r="J675" s="99"/>
      <c r="K675" s="99"/>
      <c r="L675" s="99"/>
      <c r="M675" s="99"/>
      <c r="N675" s="99"/>
    </row>
    <row r="676" spans="1:14" s="85" customFormat="1" ht="12.75" customHeight="1">
      <c r="A676" s="106"/>
      <c r="B676" s="257"/>
      <c r="C676" s="95"/>
      <c r="D676" s="95"/>
      <c r="E676" s="95"/>
      <c r="F676" s="256" t="s">
        <v>445</v>
      </c>
      <c r="G676" s="259" t="s">
        <v>628</v>
      </c>
      <c r="H676" s="105" t="s">
        <v>81</v>
      </c>
      <c r="I676" s="99"/>
      <c r="J676" s="99"/>
      <c r="K676" s="99">
        <f>+I676</f>
        <v>0</v>
      </c>
      <c r="L676" s="99"/>
      <c r="M676" s="99"/>
      <c r="N676" s="99">
        <f>-I676+'[2]Extra 01'!H501</f>
        <v>95000000</v>
      </c>
    </row>
    <row r="677" spans="1:14" s="85" customFormat="1" ht="12.75" customHeight="1">
      <c r="A677" s="106"/>
      <c r="B677" s="257"/>
      <c r="C677" s="95"/>
      <c r="D677" s="95"/>
      <c r="E677" s="95"/>
      <c r="F677" s="256"/>
      <c r="G677" s="259"/>
      <c r="H677" s="105"/>
      <c r="I677" s="99"/>
      <c r="J677" s="99"/>
      <c r="K677" s="99"/>
      <c r="L677" s="99"/>
      <c r="M677" s="99"/>
      <c r="N677" s="99"/>
    </row>
    <row r="678" spans="1:14" s="85" customFormat="1" ht="12.75" customHeight="1">
      <c r="A678" s="106"/>
      <c r="B678" s="257"/>
      <c r="C678" s="95"/>
      <c r="D678" s="95"/>
      <c r="E678" s="95"/>
      <c r="F678" s="256" t="s">
        <v>447</v>
      </c>
      <c r="G678" s="259" t="s">
        <v>444</v>
      </c>
      <c r="H678" s="105" t="s">
        <v>81</v>
      </c>
      <c r="I678" s="99"/>
      <c r="J678" s="99"/>
      <c r="K678" s="99">
        <f>+I678</f>
        <v>0</v>
      </c>
      <c r="L678" s="99"/>
      <c r="M678" s="99"/>
      <c r="N678" s="99">
        <f>-I678+'[2]Extra 01'!H503</f>
        <v>9574883</v>
      </c>
    </row>
    <row r="679" spans="1:14" s="85" customFormat="1" ht="12.75" customHeight="1">
      <c r="A679" s="106"/>
      <c r="B679" s="257"/>
      <c r="C679" s="95"/>
      <c r="D679" s="95"/>
      <c r="E679" s="95"/>
      <c r="F679" s="256"/>
      <c r="G679" s="259"/>
      <c r="H679" s="105"/>
      <c r="I679" s="99"/>
      <c r="J679" s="99"/>
      <c r="K679" s="99"/>
      <c r="L679" s="99"/>
      <c r="M679" s="99"/>
      <c r="N679" s="99"/>
    </row>
    <row r="680" spans="1:14" s="85" customFormat="1" ht="12.75" customHeight="1">
      <c r="A680" s="106"/>
      <c r="B680" s="257"/>
      <c r="C680" s="95"/>
      <c r="D680" s="95"/>
      <c r="E680" s="95"/>
      <c r="F680" s="256" t="s">
        <v>389</v>
      </c>
      <c r="G680" s="259" t="s">
        <v>474</v>
      </c>
      <c r="H680" s="105" t="s">
        <v>81</v>
      </c>
      <c r="I680" s="99">
        <v>79440040.439999998</v>
      </c>
      <c r="J680" s="99"/>
      <c r="K680" s="99">
        <f>+I680</f>
        <v>79440040.439999998</v>
      </c>
      <c r="L680" s="99"/>
      <c r="M680" s="99"/>
      <c r="N680" s="99">
        <f>-I680+'[2]Extra 01'!H510</f>
        <v>13609959.560000002</v>
      </c>
    </row>
    <row r="681" spans="1:14" s="85" customFormat="1" ht="12.75" customHeight="1">
      <c r="A681" s="106"/>
      <c r="B681" s="257"/>
      <c r="C681" s="95"/>
      <c r="D681" s="95"/>
      <c r="E681" s="95"/>
      <c r="F681" s="256"/>
      <c r="G681" s="259"/>
      <c r="H681" s="105"/>
      <c r="I681" s="99"/>
      <c r="J681" s="99"/>
      <c r="K681" s="99"/>
      <c r="L681" s="99"/>
      <c r="M681" s="99"/>
      <c r="N681" s="99"/>
    </row>
    <row r="682" spans="1:14" s="85" customFormat="1" ht="13">
      <c r="A682" s="106"/>
      <c r="B682" s="257"/>
      <c r="C682" s="95"/>
      <c r="D682" s="95"/>
      <c r="E682" s="95"/>
      <c r="F682" s="256" t="s">
        <v>448</v>
      </c>
      <c r="G682" s="259" t="s">
        <v>627</v>
      </c>
      <c r="H682" s="105" t="s">
        <v>78</v>
      </c>
      <c r="I682" s="99"/>
      <c r="J682" s="99"/>
      <c r="K682" s="99">
        <f>+I682</f>
        <v>0</v>
      </c>
      <c r="L682" s="99"/>
      <c r="M682" s="99"/>
      <c r="N682" s="99">
        <f>-I682+'[2]Extra 01'!H512</f>
        <v>20000000</v>
      </c>
    </row>
    <row r="683" spans="1:14" s="85" customFormat="1" ht="12.65" customHeight="1">
      <c r="A683" s="106"/>
      <c r="B683" s="257"/>
      <c r="C683" s="95"/>
      <c r="D683" s="95"/>
      <c r="E683" s="95"/>
      <c r="F683" s="256"/>
      <c r="G683" s="259"/>
      <c r="H683" s="105"/>
      <c r="I683" s="99"/>
      <c r="J683" s="99"/>
      <c r="K683" s="99"/>
      <c r="L683" s="99"/>
      <c r="M683" s="99"/>
      <c r="N683" s="99"/>
    </row>
    <row r="684" spans="1:14" s="85" customFormat="1" ht="12.65" customHeight="1">
      <c r="A684" s="106"/>
      <c r="B684" s="257"/>
      <c r="C684" s="95"/>
      <c r="D684" s="95"/>
      <c r="E684" s="95"/>
      <c r="F684" s="256" t="s">
        <v>413</v>
      </c>
      <c r="G684" s="259" t="s">
        <v>626</v>
      </c>
      <c r="H684" s="105" t="s">
        <v>81</v>
      </c>
      <c r="I684" s="99">
        <f>176477365.15+99394585.87</f>
        <v>275871951.01999998</v>
      </c>
      <c r="J684" s="99"/>
      <c r="K684" s="99">
        <f>+I684</f>
        <v>275871951.01999998</v>
      </c>
      <c r="L684" s="99"/>
      <c r="M684" s="99"/>
      <c r="N684" s="99">
        <f>-I684+275927727.09</f>
        <v>55776.069999992847</v>
      </c>
    </row>
    <row r="685" spans="1:14" s="85" customFormat="1" ht="12.65" customHeight="1">
      <c r="A685" s="106"/>
      <c r="B685" s="257"/>
      <c r="C685" s="95"/>
      <c r="D685" s="95"/>
      <c r="E685" s="95"/>
      <c r="F685" s="256"/>
      <c r="G685" s="259"/>
      <c r="H685" s="105"/>
      <c r="I685" s="99"/>
      <c r="J685" s="99"/>
      <c r="K685" s="99"/>
      <c r="L685" s="99"/>
      <c r="M685" s="99"/>
      <c r="N685" s="99"/>
    </row>
    <row r="686" spans="1:14" s="85" customFormat="1" ht="12.65" customHeight="1">
      <c r="A686" s="106"/>
      <c r="B686" s="257"/>
      <c r="C686" s="95"/>
      <c r="D686" s="95"/>
      <c r="E686" s="95"/>
      <c r="F686" s="256" t="s">
        <v>390</v>
      </c>
      <c r="G686" s="259" t="s">
        <v>625</v>
      </c>
      <c r="H686" s="105" t="s">
        <v>81</v>
      </c>
      <c r="I686" s="99">
        <v>57697937.759999998</v>
      </c>
      <c r="J686" s="99"/>
      <c r="K686" s="99">
        <f>+I686</f>
        <v>57697937.759999998</v>
      </c>
      <c r="L686" s="99"/>
      <c r="M686" s="99"/>
      <c r="N686" s="99">
        <f>-I686+27000000+35212314.02-35212314.02+35212314.02</f>
        <v>4514376.2600000054</v>
      </c>
    </row>
    <row r="687" spans="1:14" s="85" customFormat="1" ht="12.65" customHeight="1">
      <c r="A687" s="106"/>
      <c r="B687" s="257"/>
      <c r="C687" s="95"/>
      <c r="D687" s="95"/>
      <c r="E687" s="95"/>
      <c r="F687" s="256"/>
      <c r="G687" s="259"/>
      <c r="H687" s="105"/>
      <c r="I687" s="99"/>
      <c r="J687" s="99"/>
      <c r="K687" s="99"/>
      <c r="L687" s="99"/>
      <c r="M687" s="99"/>
      <c r="N687" s="99"/>
    </row>
    <row r="688" spans="1:14" s="85" customFormat="1" ht="25.5">
      <c r="A688" s="106"/>
      <c r="B688" s="257"/>
      <c r="C688" s="95"/>
      <c r="D688" s="95"/>
      <c r="E688" s="95"/>
      <c r="F688" s="256" t="s">
        <v>624</v>
      </c>
      <c r="G688" s="259" t="s">
        <v>623</v>
      </c>
      <c r="H688" s="105" t="s">
        <v>81</v>
      </c>
      <c r="I688" s="99">
        <v>246879877.52000001</v>
      </c>
      <c r="J688" s="99"/>
      <c r="K688" s="99">
        <f>+I688</f>
        <v>246879877.52000001</v>
      </c>
      <c r="L688" s="99"/>
      <c r="M688" s="99"/>
      <c r="N688" s="99">
        <f>-I688+260000000</f>
        <v>13120122.479999989</v>
      </c>
    </row>
    <row r="689" spans="1:14" s="85" customFormat="1" ht="12.65" customHeight="1">
      <c r="A689" s="106"/>
      <c r="B689" s="257"/>
      <c r="C689" s="95"/>
      <c r="D689" s="95"/>
      <c r="E689" s="95"/>
      <c r="F689" s="256"/>
      <c r="G689" s="259"/>
      <c r="H689" s="105"/>
      <c r="I689" s="99"/>
      <c r="J689" s="99"/>
      <c r="K689" s="99"/>
      <c r="L689" s="99"/>
      <c r="M689" s="99"/>
      <c r="N689" s="99"/>
    </row>
    <row r="690" spans="1:14" s="85" customFormat="1" ht="12.65" customHeight="1">
      <c r="A690" s="106"/>
      <c r="B690" s="257"/>
      <c r="C690" s="95"/>
      <c r="D690" s="95"/>
      <c r="E690" s="95"/>
      <c r="F690" s="256" t="s">
        <v>622</v>
      </c>
      <c r="G690" s="260" t="str">
        <f>+'[2]EXTRA 2'!G503</f>
        <v>Mejoras a la conducción Pluvial el Erizo</v>
      </c>
      <c r="H690" s="105" t="s">
        <v>81</v>
      </c>
      <c r="I690" s="99">
        <v>15139500.77</v>
      </c>
      <c r="J690" s="99"/>
      <c r="K690" s="99">
        <f>+I690</f>
        <v>15139500.77</v>
      </c>
      <c r="L690" s="99"/>
      <c r="M690" s="99"/>
      <c r="N690" s="99">
        <f>+'[2]EXTRA 2'!H504-'3_Detalle Origen y Aplicación'!I690</f>
        <v>0</v>
      </c>
    </row>
    <row r="691" spans="1:14" s="85" customFormat="1" ht="12.65" customHeight="1">
      <c r="A691" s="106"/>
      <c r="B691" s="257"/>
      <c r="C691" s="95"/>
      <c r="D691" s="95"/>
      <c r="E691" s="95"/>
      <c r="F691" s="256"/>
      <c r="G691" s="259"/>
      <c r="H691" s="105"/>
      <c r="I691" s="99"/>
      <c r="J691" s="99"/>
      <c r="K691" s="99"/>
      <c r="L691" s="99"/>
      <c r="M691" s="99"/>
      <c r="N691" s="99"/>
    </row>
    <row r="692" spans="1:14" s="85" customFormat="1" ht="12.65" customHeight="1">
      <c r="A692" s="106"/>
      <c r="B692" s="257"/>
      <c r="C692" s="95"/>
      <c r="D692" s="95"/>
      <c r="E692" s="95"/>
      <c r="F692" s="256" t="s">
        <v>621</v>
      </c>
      <c r="G692" s="259" t="str">
        <f>+'[2]EXTRA 2'!G505</f>
        <v>Construcción Puente Peatonal Escuela De Quebradas</v>
      </c>
      <c r="H692" s="105" t="s">
        <v>81</v>
      </c>
      <c r="I692" s="99">
        <v>14312034</v>
      </c>
      <c r="J692" s="99"/>
      <c r="K692" s="99">
        <f>+I692</f>
        <v>14312034</v>
      </c>
      <c r="L692" s="99"/>
      <c r="M692" s="99"/>
      <c r="N692" s="99">
        <f>+'[2]EXTRA 2'!H507-'3_Detalle Origen y Aplicación'!I692</f>
        <v>0</v>
      </c>
    </row>
    <row r="693" spans="1:14" s="85" customFormat="1" ht="12.65" customHeight="1">
      <c r="A693" s="106"/>
      <c r="B693" s="257"/>
      <c r="C693" s="95"/>
      <c r="D693" s="95"/>
      <c r="E693" s="95"/>
      <c r="F693" s="256"/>
      <c r="G693" s="259"/>
      <c r="H693" s="105"/>
      <c r="I693" s="99"/>
      <c r="J693" s="99"/>
      <c r="K693" s="99"/>
      <c r="L693" s="99"/>
      <c r="M693" s="99"/>
      <c r="N693" s="99"/>
    </row>
    <row r="694" spans="1:14" s="85" customFormat="1" ht="12.75" customHeight="1">
      <c r="A694" s="106"/>
      <c r="B694" s="257"/>
      <c r="C694" s="95"/>
      <c r="D694" s="95"/>
      <c r="E694" s="95"/>
      <c r="F694" s="256" t="s">
        <v>450</v>
      </c>
      <c r="G694" s="108" t="s">
        <v>620</v>
      </c>
      <c r="H694" s="105" t="s">
        <v>81</v>
      </c>
      <c r="I694" s="99"/>
      <c r="J694" s="99"/>
      <c r="K694" s="99">
        <f>+I694</f>
        <v>0</v>
      </c>
      <c r="L694" s="99"/>
      <c r="M694" s="99"/>
      <c r="N694" s="99">
        <f>-I694+[2]ordinario!I693</f>
        <v>150000000</v>
      </c>
    </row>
    <row r="695" spans="1:14" s="85" customFormat="1" ht="12.75" customHeight="1">
      <c r="A695" s="106"/>
      <c r="B695" s="257"/>
      <c r="C695" s="95"/>
      <c r="D695" s="95"/>
      <c r="E695" s="95"/>
      <c r="F695" s="256"/>
      <c r="G695" s="108"/>
      <c r="H695" s="105"/>
      <c r="I695" s="99"/>
      <c r="J695" s="99"/>
      <c r="K695" s="99"/>
      <c r="L695" s="99"/>
      <c r="M695" s="99"/>
      <c r="N695" s="99"/>
    </row>
    <row r="696" spans="1:14" s="85" customFormat="1" ht="12.75" customHeight="1">
      <c r="A696" s="106"/>
      <c r="B696" s="257"/>
      <c r="C696" s="95"/>
      <c r="D696" s="95"/>
      <c r="E696" s="95"/>
      <c r="F696" s="256" t="s">
        <v>452</v>
      </c>
      <c r="G696" s="108" t="s">
        <v>619</v>
      </c>
      <c r="H696" s="105" t="s">
        <v>81</v>
      </c>
      <c r="I696" s="99"/>
      <c r="J696" s="99"/>
      <c r="K696" s="99">
        <f>+I696</f>
        <v>0</v>
      </c>
      <c r="L696" s="99"/>
      <c r="M696" s="99"/>
      <c r="N696" s="99">
        <f>-I696+[2]ordinario!I687</f>
        <v>15000000</v>
      </c>
    </row>
    <row r="697" spans="1:14" s="85" customFormat="1" ht="12.75" customHeight="1">
      <c r="A697" s="106"/>
      <c r="B697" s="257"/>
      <c r="C697" s="95"/>
      <c r="D697" s="95"/>
      <c r="E697" s="95"/>
      <c r="F697" s="256"/>
      <c r="G697" s="108"/>
      <c r="H697" s="105"/>
      <c r="I697" s="99"/>
      <c r="J697" s="99"/>
      <c r="K697" s="99"/>
      <c r="L697" s="99"/>
      <c r="M697" s="99"/>
      <c r="N697" s="99"/>
    </row>
    <row r="698" spans="1:14" s="85" customFormat="1" ht="12.75" customHeight="1">
      <c r="A698" s="106"/>
      <c r="B698" s="257"/>
      <c r="C698" s="95"/>
      <c r="D698" s="95"/>
      <c r="E698" s="95"/>
      <c r="F698" s="256" t="s">
        <v>393</v>
      </c>
      <c r="G698" s="108" t="s">
        <v>618</v>
      </c>
      <c r="H698" s="105" t="s">
        <v>81</v>
      </c>
      <c r="I698" s="99">
        <v>24750437.940000001</v>
      </c>
      <c r="J698" s="99"/>
      <c r="K698" s="99">
        <f>+I698</f>
        <v>24750437.940000001</v>
      </c>
      <c r="L698" s="99"/>
      <c r="M698" s="99"/>
      <c r="N698" s="99">
        <f>-I698+[2]ordinario!I689</f>
        <v>249562.05999999866</v>
      </c>
    </row>
    <row r="699" spans="1:14" s="85" customFormat="1" ht="12.75" customHeight="1">
      <c r="A699" s="106"/>
      <c r="B699" s="257"/>
      <c r="C699" s="95"/>
      <c r="D699" s="95"/>
      <c r="E699" s="95"/>
      <c r="F699" s="256"/>
      <c r="G699" s="108"/>
      <c r="H699" s="105"/>
      <c r="I699" s="99"/>
      <c r="J699" s="99"/>
      <c r="K699" s="99"/>
      <c r="L699" s="99"/>
      <c r="M699" s="99"/>
      <c r="N699" s="99"/>
    </row>
    <row r="700" spans="1:14" s="85" customFormat="1" ht="12.75" customHeight="1">
      <c r="A700" s="106"/>
      <c r="B700" s="257"/>
      <c r="C700" s="95"/>
      <c r="D700" s="95"/>
      <c r="E700" s="95"/>
      <c r="F700" s="256" t="s">
        <v>424</v>
      </c>
      <c r="G700" s="108" t="s">
        <v>617</v>
      </c>
      <c r="H700" s="105" t="s">
        <v>81</v>
      </c>
      <c r="I700" s="99">
        <v>79300995.019999996</v>
      </c>
      <c r="J700" s="99"/>
      <c r="K700" s="99">
        <f>+I700</f>
        <v>79300995.019999996</v>
      </c>
      <c r="L700" s="99"/>
      <c r="M700" s="99"/>
      <c r="N700" s="99">
        <f>-I700+'[2]Extra 01'!H528</f>
        <v>124002.98000000417</v>
      </c>
    </row>
    <row r="701" spans="1:14" s="85" customFormat="1" ht="12.75" customHeight="1">
      <c r="A701" s="106"/>
      <c r="B701" s="257"/>
      <c r="C701" s="95"/>
      <c r="D701" s="95"/>
      <c r="E701" s="95"/>
      <c r="F701" s="256"/>
      <c r="G701" s="108"/>
      <c r="H701" s="105"/>
      <c r="I701" s="99"/>
      <c r="J701" s="99"/>
      <c r="K701" s="99"/>
      <c r="L701" s="99"/>
      <c r="M701" s="99"/>
      <c r="N701" s="99"/>
    </row>
    <row r="702" spans="1:14" s="85" customFormat="1" ht="12.75" customHeight="1">
      <c r="A702" s="106"/>
      <c r="B702" s="257"/>
      <c r="C702" s="95"/>
      <c r="D702" s="95"/>
      <c r="E702" s="95"/>
      <c r="F702" s="256" t="s">
        <v>425</v>
      </c>
      <c r="G702" s="108" t="s">
        <v>616</v>
      </c>
      <c r="H702" s="105" t="s">
        <v>81</v>
      </c>
      <c r="I702" s="99"/>
      <c r="J702" s="99"/>
      <c r="K702" s="99">
        <f>+I702</f>
        <v>0</v>
      </c>
      <c r="L702" s="99"/>
      <c r="M702" s="99"/>
      <c r="N702" s="99">
        <f>-I702+'[2]Extra 01'!H530</f>
        <v>36114458.259999998</v>
      </c>
    </row>
    <row r="703" spans="1:14" s="85" customFormat="1" ht="13">
      <c r="A703" s="106"/>
      <c r="B703" s="257"/>
      <c r="C703" s="95"/>
      <c r="D703" s="95"/>
      <c r="E703" s="95"/>
      <c r="F703" s="256"/>
      <c r="G703" s="108"/>
      <c r="H703" s="105"/>
      <c r="I703" s="99"/>
      <c r="J703" s="99"/>
      <c r="K703" s="99"/>
      <c r="L703" s="99"/>
      <c r="M703" s="99"/>
      <c r="N703" s="99"/>
    </row>
    <row r="704" spans="1:14" s="85" customFormat="1" ht="25.5">
      <c r="A704" s="106"/>
      <c r="B704" s="257"/>
      <c r="C704" s="95"/>
      <c r="D704" s="95"/>
      <c r="E704" s="95"/>
      <c r="F704" s="256" t="s">
        <v>394</v>
      </c>
      <c r="G704" s="108" t="s">
        <v>615</v>
      </c>
      <c r="H704" s="105" t="s">
        <v>81</v>
      </c>
      <c r="I704" s="99">
        <f>104999731.2+194999500.8</f>
        <v>299999232</v>
      </c>
      <c r="J704" s="99"/>
      <c r="K704" s="99">
        <f>+I704</f>
        <v>299999232</v>
      </c>
      <c r="L704" s="99"/>
      <c r="M704" s="99"/>
      <c r="N704" s="99">
        <f>-I704+'[2]Extra 01'!H534+'[2]EXTRA 2'!H538</f>
        <v>197954600.74000001</v>
      </c>
    </row>
    <row r="705" spans="1:14" s="85" customFormat="1" ht="12.75" customHeight="1">
      <c r="A705" s="106"/>
      <c r="B705" s="257"/>
      <c r="C705" s="95"/>
      <c r="D705" s="95"/>
      <c r="E705" s="95"/>
      <c r="F705" s="256"/>
      <c r="G705" s="108"/>
      <c r="H705" s="105"/>
      <c r="I705" s="99"/>
      <c r="J705" s="99"/>
      <c r="K705" s="99"/>
      <c r="L705" s="99"/>
      <c r="M705" s="99"/>
      <c r="N705" s="99"/>
    </row>
    <row r="706" spans="1:14" s="85" customFormat="1" ht="12.75" customHeight="1">
      <c r="A706" s="106"/>
      <c r="B706" s="257"/>
      <c r="C706" s="95"/>
      <c r="D706" s="95"/>
      <c r="E706" s="95"/>
      <c r="F706" s="256" t="s">
        <v>453</v>
      </c>
      <c r="G706" s="108" t="s">
        <v>614</v>
      </c>
      <c r="H706" s="105" t="s">
        <v>78</v>
      </c>
      <c r="I706" s="99"/>
      <c r="J706" s="99"/>
      <c r="K706" s="99">
        <f>+I706</f>
        <v>0</v>
      </c>
      <c r="L706" s="99"/>
      <c r="M706" s="99"/>
      <c r="N706" s="99">
        <f>-I706+'[2]Extra 01'!H536</f>
        <v>3000000</v>
      </c>
    </row>
    <row r="707" spans="1:14" s="85" customFormat="1" ht="12.75" customHeight="1">
      <c r="A707" s="106"/>
      <c r="B707" s="257"/>
      <c r="C707" s="95"/>
      <c r="D707" s="95"/>
      <c r="E707" s="95"/>
      <c r="F707" s="256"/>
      <c r="G707" s="108"/>
      <c r="H707" s="105" t="s">
        <v>81</v>
      </c>
      <c r="I707" s="99"/>
      <c r="J707" s="99"/>
      <c r="K707" s="99">
        <f>+I707</f>
        <v>0</v>
      </c>
      <c r="L707" s="99"/>
      <c r="M707" s="99"/>
      <c r="N707" s="99">
        <f>-I707+'[2]Extra 01'!H537</f>
        <v>4500000</v>
      </c>
    </row>
    <row r="708" spans="1:14" s="85" customFormat="1" ht="12.75" customHeight="1">
      <c r="A708" s="106"/>
      <c r="B708" s="257"/>
      <c r="C708" s="95"/>
      <c r="D708" s="95"/>
      <c r="E708" s="95"/>
      <c r="F708" s="256"/>
      <c r="G708" s="108"/>
      <c r="H708" s="105"/>
      <c r="I708" s="99"/>
      <c r="J708" s="99"/>
      <c r="K708" s="99"/>
      <c r="L708" s="99"/>
      <c r="M708" s="99"/>
      <c r="N708" s="99"/>
    </row>
    <row r="709" spans="1:14" s="85" customFormat="1" ht="12.75" customHeight="1">
      <c r="A709" s="106"/>
      <c r="B709" s="257"/>
      <c r="C709" s="95"/>
      <c r="D709" s="95"/>
      <c r="E709" s="95"/>
      <c r="F709" s="256" t="s">
        <v>454</v>
      </c>
      <c r="G709" s="108" t="s">
        <v>613</v>
      </c>
      <c r="H709" s="105" t="s">
        <v>81</v>
      </c>
      <c r="I709" s="99"/>
      <c r="J709" s="99"/>
      <c r="K709" s="99">
        <f>+I709</f>
        <v>0</v>
      </c>
      <c r="L709" s="99"/>
      <c r="M709" s="99"/>
      <c r="N709" s="99">
        <f>-I709+'[2]Extra 01'!H540</f>
        <v>30000000</v>
      </c>
    </row>
    <row r="710" spans="1:14" s="85" customFormat="1" ht="12.75" customHeight="1">
      <c r="A710" s="106"/>
      <c r="B710" s="257"/>
      <c r="C710" s="95"/>
      <c r="D710" s="95"/>
      <c r="E710" s="95"/>
      <c r="F710" s="256"/>
      <c r="G710" s="108"/>
      <c r="H710" s="105"/>
      <c r="I710" s="99"/>
      <c r="J710" s="99"/>
      <c r="K710" s="99"/>
      <c r="L710" s="99"/>
      <c r="M710" s="99"/>
      <c r="N710" s="99"/>
    </row>
    <row r="711" spans="1:14" s="85" customFormat="1" ht="12.75" customHeight="1">
      <c r="A711" s="106"/>
      <c r="B711" s="257"/>
      <c r="C711" s="95"/>
      <c r="D711" s="95"/>
      <c r="E711" s="95"/>
      <c r="F711" s="256" t="s">
        <v>395</v>
      </c>
      <c r="G711" s="108" t="s">
        <v>612</v>
      </c>
      <c r="H711" s="105" t="s">
        <v>81</v>
      </c>
      <c r="I711" s="99">
        <f>116287358.29+281622894.42</f>
        <v>397910252.71000004</v>
      </c>
      <c r="J711" s="99"/>
      <c r="K711" s="99">
        <f>+I711</f>
        <v>397910252.71000004</v>
      </c>
      <c r="L711" s="99"/>
      <c r="M711" s="99"/>
      <c r="N711" s="99">
        <f>-I711+'[2]Extra 01'!H544</f>
        <v>2089747.2899999619</v>
      </c>
    </row>
    <row r="712" spans="1:14" s="85" customFormat="1" ht="12.75" customHeight="1">
      <c r="A712" s="106"/>
      <c r="B712" s="257"/>
      <c r="C712" s="95"/>
      <c r="D712" s="95"/>
      <c r="E712" s="95"/>
      <c r="F712" s="256"/>
      <c r="G712" s="108"/>
      <c r="H712" s="105"/>
      <c r="I712" s="99"/>
      <c r="J712" s="99"/>
      <c r="K712" s="99"/>
      <c r="L712" s="99"/>
      <c r="M712" s="99"/>
      <c r="N712" s="99"/>
    </row>
    <row r="713" spans="1:14" s="85" customFormat="1" ht="25.5">
      <c r="A713" s="106"/>
      <c r="B713" s="257"/>
      <c r="C713" s="95"/>
      <c r="D713" s="95"/>
      <c r="E713" s="95"/>
      <c r="F713" s="256" t="s">
        <v>455</v>
      </c>
      <c r="G713" s="108" t="s">
        <v>457</v>
      </c>
      <c r="H713" s="105" t="s">
        <v>81</v>
      </c>
      <c r="I713" s="99"/>
      <c r="J713" s="99"/>
      <c r="K713" s="99">
        <f>+I713</f>
        <v>0</v>
      </c>
      <c r="L713" s="99"/>
      <c r="M713" s="99"/>
      <c r="N713" s="99">
        <f>-I713+'[2]Extra 01'!H546</f>
        <v>19259729</v>
      </c>
    </row>
    <row r="714" spans="1:14" s="85" customFormat="1" ht="13">
      <c r="A714" s="106"/>
      <c r="B714" s="257"/>
      <c r="C714" s="95"/>
      <c r="D714" s="95"/>
      <c r="E714" s="95"/>
      <c r="F714" s="256"/>
      <c r="G714" s="108"/>
      <c r="H714" s="105"/>
      <c r="I714" s="99"/>
      <c r="J714" s="99"/>
      <c r="K714" s="99"/>
      <c r="L714" s="99"/>
      <c r="M714" s="99"/>
      <c r="N714" s="99"/>
    </row>
    <row r="715" spans="1:14" s="85" customFormat="1" ht="13">
      <c r="A715" s="106"/>
      <c r="B715" s="257"/>
      <c r="C715" s="95"/>
      <c r="D715" s="95"/>
      <c r="E715" s="95"/>
      <c r="F715" s="256" t="s">
        <v>456</v>
      </c>
      <c r="G715" s="108" t="s">
        <v>460</v>
      </c>
      <c r="H715" s="105" t="s">
        <v>81</v>
      </c>
      <c r="I715" s="99"/>
      <c r="J715" s="99"/>
      <c r="K715" s="99">
        <f>+I715</f>
        <v>0</v>
      </c>
      <c r="L715" s="99"/>
      <c r="M715" s="99"/>
      <c r="N715" s="99">
        <f>-I715+'[2]Extra 01'!H548</f>
        <v>60000000</v>
      </c>
    </row>
    <row r="716" spans="1:14" s="85" customFormat="1" ht="13">
      <c r="A716" s="106"/>
      <c r="B716" s="257"/>
      <c r="C716" s="95"/>
      <c r="D716" s="95"/>
      <c r="E716" s="95"/>
      <c r="F716" s="256"/>
      <c r="G716" s="108"/>
      <c r="H716" s="105"/>
      <c r="I716" s="99"/>
      <c r="J716" s="99"/>
      <c r="K716" s="99"/>
      <c r="L716" s="99"/>
      <c r="M716" s="99"/>
      <c r="N716" s="99"/>
    </row>
    <row r="717" spans="1:14" s="85" customFormat="1" ht="25.5">
      <c r="A717" s="106"/>
      <c r="B717" s="257"/>
      <c r="C717" s="95"/>
      <c r="D717" s="95"/>
      <c r="E717" s="95"/>
      <c r="F717" s="256" t="s">
        <v>458</v>
      </c>
      <c r="G717" s="108" t="s">
        <v>611</v>
      </c>
      <c r="H717" s="105" t="s">
        <v>78</v>
      </c>
      <c r="I717" s="99"/>
      <c r="J717" s="99"/>
      <c r="K717" s="99">
        <f>+I717</f>
        <v>0</v>
      </c>
      <c r="L717" s="99"/>
      <c r="M717" s="99"/>
      <c r="N717" s="99">
        <f>-I717+'[2]Extra 01'!H550</f>
        <v>16325000</v>
      </c>
    </row>
    <row r="718" spans="1:14" s="85" customFormat="1" ht="13">
      <c r="A718" s="106"/>
      <c r="B718" s="257"/>
      <c r="C718" s="95"/>
      <c r="D718" s="95"/>
      <c r="E718" s="95"/>
      <c r="F718" s="256"/>
      <c r="G718" s="108"/>
      <c r="H718" s="105" t="s">
        <v>81</v>
      </c>
      <c r="I718" s="99">
        <v>599105462.34000003</v>
      </c>
      <c r="J718" s="99"/>
      <c r="K718" s="99">
        <f>+I718</f>
        <v>599105462.34000003</v>
      </c>
      <c r="L718" s="99"/>
      <c r="M718" s="99"/>
      <c r="N718" s="99">
        <f>-I718+'[2]Extra 01'!H551+'[2]EXTRA 2'!H548</f>
        <v>411021481.31</v>
      </c>
    </row>
    <row r="719" spans="1:14" s="85" customFormat="1" ht="13">
      <c r="A719" s="106"/>
      <c r="B719" s="257"/>
      <c r="C719" s="95"/>
      <c r="D719" s="95"/>
      <c r="E719" s="95"/>
      <c r="F719" s="256"/>
      <c r="G719" s="108"/>
      <c r="H719" s="105"/>
      <c r="I719" s="99"/>
      <c r="J719" s="99"/>
      <c r="K719" s="99"/>
      <c r="L719" s="99"/>
      <c r="M719" s="99"/>
      <c r="N719" s="99"/>
    </row>
    <row r="720" spans="1:14" s="85" customFormat="1" ht="25.5">
      <c r="A720" s="106"/>
      <c r="B720" s="257"/>
      <c r="C720" s="95"/>
      <c r="D720" s="95"/>
      <c r="E720" s="95"/>
      <c r="F720" s="256" t="s">
        <v>462</v>
      </c>
      <c r="G720" s="108" t="s">
        <v>610</v>
      </c>
      <c r="H720" s="105" t="s">
        <v>78</v>
      </c>
      <c r="I720" s="99">
        <v>14980500</v>
      </c>
      <c r="J720" s="99"/>
      <c r="K720" s="99">
        <f>+I720</f>
        <v>14980500</v>
      </c>
      <c r="L720" s="99"/>
      <c r="M720" s="99"/>
      <c r="N720" s="99">
        <f>-'3_Detalle Origen y Aplicación'!I720+'[2]Extra 01'!H553</f>
        <v>19500</v>
      </c>
    </row>
    <row r="721" spans="1:14" s="85" customFormat="1" ht="13">
      <c r="A721" s="106"/>
      <c r="B721" s="257"/>
      <c r="C721" s="95"/>
      <c r="D721" s="95"/>
      <c r="E721" s="95"/>
      <c r="F721" s="256"/>
      <c r="G721" s="108"/>
      <c r="H721" s="105" t="s">
        <v>81</v>
      </c>
      <c r="I721" s="99">
        <v>84973499.390000001</v>
      </c>
      <c r="J721" s="99"/>
      <c r="K721" s="99">
        <f>+I721</f>
        <v>84973499.390000001</v>
      </c>
      <c r="L721" s="99"/>
      <c r="M721" s="99"/>
      <c r="N721" s="99">
        <f>-'3_Detalle Origen y Aplicación'!I721+'[2]Extra 01'!H554</f>
        <v>26500.609999999404</v>
      </c>
    </row>
    <row r="722" spans="1:14" s="85" customFormat="1" ht="13">
      <c r="A722" s="106"/>
      <c r="B722" s="257"/>
      <c r="C722" s="95"/>
      <c r="D722" s="95"/>
      <c r="E722" s="95"/>
      <c r="F722" s="256"/>
      <c r="G722" s="108"/>
      <c r="H722" s="105"/>
      <c r="I722" s="99"/>
      <c r="J722" s="99"/>
      <c r="K722" s="99"/>
      <c r="L722" s="99"/>
      <c r="M722" s="99"/>
      <c r="N722" s="99"/>
    </row>
    <row r="723" spans="1:14" s="85" customFormat="1" ht="13">
      <c r="A723" s="106"/>
      <c r="B723" s="257"/>
      <c r="C723" s="95"/>
      <c r="D723" s="95"/>
      <c r="E723" s="95"/>
      <c r="F723" s="256" t="s">
        <v>426</v>
      </c>
      <c r="G723" s="108" t="s">
        <v>609</v>
      </c>
      <c r="H723" s="105" t="s">
        <v>81</v>
      </c>
      <c r="I723" s="99"/>
      <c r="J723" s="99"/>
      <c r="K723" s="99">
        <f>+I723</f>
        <v>0</v>
      </c>
      <c r="L723" s="99"/>
      <c r="M723" s="99"/>
      <c r="N723" s="99">
        <f>-I723+'[2]Extra 01'!H556</f>
        <v>29800280.57</v>
      </c>
    </row>
    <row r="724" spans="1:14" s="85" customFormat="1" ht="13">
      <c r="A724" s="106"/>
      <c r="B724" s="257"/>
      <c r="C724" s="95"/>
      <c r="D724" s="95"/>
      <c r="E724" s="95"/>
      <c r="F724" s="256"/>
      <c r="G724" s="108"/>
      <c r="H724" s="105"/>
      <c r="I724" s="99"/>
      <c r="J724" s="99"/>
      <c r="K724" s="99"/>
      <c r="L724" s="99"/>
      <c r="M724" s="99"/>
      <c r="N724" s="99"/>
    </row>
    <row r="725" spans="1:14" s="85" customFormat="1" ht="25.5">
      <c r="A725" s="106"/>
      <c r="B725" s="257"/>
      <c r="C725" s="95"/>
      <c r="D725" s="95"/>
      <c r="E725" s="95"/>
      <c r="F725" s="256" t="s">
        <v>463</v>
      </c>
      <c r="G725" s="108" t="s">
        <v>608</v>
      </c>
      <c r="H725" s="105" t="s">
        <v>81</v>
      </c>
      <c r="I725" s="99"/>
      <c r="J725" s="99"/>
      <c r="K725" s="99">
        <f>+I725</f>
        <v>0</v>
      </c>
      <c r="L725" s="99"/>
      <c r="M725" s="99"/>
      <c r="N725" s="99">
        <f>-I725+'[2]Extra 01'!H558</f>
        <v>29800277</v>
      </c>
    </row>
    <row r="726" spans="1:14" s="85" customFormat="1" ht="13">
      <c r="A726" s="106"/>
      <c r="B726" s="257"/>
      <c r="C726" s="95"/>
      <c r="D726" s="95"/>
      <c r="E726" s="95"/>
      <c r="F726" s="256"/>
      <c r="G726" s="108"/>
      <c r="H726" s="105"/>
      <c r="I726" s="99"/>
      <c r="J726" s="99"/>
      <c r="K726" s="99"/>
      <c r="L726" s="99"/>
      <c r="M726" s="99"/>
      <c r="N726" s="99"/>
    </row>
    <row r="727" spans="1:14" s="85" customFormat="1" ht="13">
      <c r="A727" s="106"/>
      <c r="B727" s="257"/>
      <c r="C727" s="95"/>
      <c r="D727" s="95"/>
      <c r="E727" s="95"/>
      <c r="F727" s="256" t="s">
        <v>514</v>
      </c>
      <c r="G727" s="108" t="s">
        <v>607</v>
      </c>
      <c r="H727" s="105" t="s">
        <v>81</v>
      </c>
      <c r="I727" s="99"/>
      <c r="J727" s="99"/>
      <c r="K727" s="99">
        <f>+I727</f>
        <v>0</v>
      </c>
      <c r="L727" s="99"/>
      <c r="M727" s="99"/>
      <c r="N727" s="99">
        <f>-I727+'[2]Extra 01'!H560</f>
        <v>38760000</v>
      </c>
    </row>
    <row r="728" spans="1:14" s="85" customFormat="1" ht="13">
      <c r="A728" s="106"/>
      <c r="B728" s="257"/>
      <c r="C728" s="95"/>
      <c r="D728" s="95"/>
      <c r="E728" s="95"/>
      <c r="F728" s="256"/>
      <c r="G728" s="108"/>
      <c r="H728" s="105"/>
      <c r="I728" s="99"/>
      <c r="J728" s="99"/>
      <c r="K728" s="99"/>
      <c r="L728" s="99"/>
      <c r="M728" s="99"/>
      <c r="N728" s="99"/>
    </row>
    <row r="729" spans="1:14" s="85" customFormat="1" ht="25.5">
      <c r="A729" s="106"/>
      <c r="B729" s="257"/>
      <c r="C729" s="95"/>
      <c r="D729" s="95"/>
      <c r="E729" s="95"/>
      <c r="F729" s="256" t="s">
        <v>427</v>
      </c>
      <c r="G729" s="108" t="s">
        <v>606</v>
      </c>
      <c r="H729" s="105" t="s">
        <v>81</v>
      </c>
      <c r="I729" s="99"/>
      <c r="J729" s="99"/>
      <c r="K729" s="99">
        <f>+I729</f>
        <v>0</v>
      </c>
      <c r="L729" s="99"/>
      <c r="M729" s="99"/>
      <c r="N729" s="99">
        <f>-I729+'[2]Extra 01'!H562</f>
        <v>38760000</v>
      </c>
    </row>
    <row r="730" spans="1:14" s="85" customFormat="1" ht="13">
      <c r="A730" s="106"/>
      <c r="B730" s="257"/>
      <c r="C730" s="95"/>
      <c r="D730" s="95"/>
      <c r="E730" s="95"/>
      <c r="F730" s="256"/>
      <c r="G730" s="108"/>
      <c r="H730" s="105"/>
      <c r="I730" s="99"/>
      <c r="J730" s="99"/>
      <c r="K730" s="99"/>
      <c r="L730" s="99"/>
      <c r="M730" s="99"/>
      <c r="N730" s="99"/>
    </row>
    <row r="731" spans="1:14" s="85" customFormat="1" ht="25.5">
      <c r="A731" s="106"/>
      <c r="B731" s="257"/>
      <c r="C731" s="95"/>
      <c r="D731" s="95"/>
      <c r="E731" s="95"/>
      <c r="F731" s="256" t="s">
        <v>428</v>
      </c>
      <c r="G731" s="108" t="s">
        <v>605</v>
      </c>
      <c r="H731" s="105" t="s">
        <v>81</v>
      </c>
      <c r="I731" s="99"/>
      <c r="J731" s="99"/>
      <c r="K731" s="99">
        <f>+I731</f>
        <v>0</v>
      </c>
      <c r="L731" s="99"/>
      <c r="M731" s="99"/>
      <c r="N731" s="99">
        <f>-I731+'[2]Extra 01'!H564</f>
        <v>30294876.879999999</v>
      </c>
    </row>
    <row r="732" spans="1:14" s="85" customFormat="1" ht="12.75" customHeight="1">
      <c r="A732" s="106"/>
      <c r="B732" s="257"/>
      <c r="C732" s="95"/>
      <c r="D732" s="95"/>
      <c r="E732" s="95"/>
      <c r="F732" s="256"/>
      <c r="G732" s="108"/>
      <c r="H732" s="105"/>
      <c r="I732" s="99"/>
      <c r="J732" s="99"/>
      <c r="K732" s="99"/>
      <c r="L732" s="99"/>
      <c r="M732" s="99"/>
      <c r="N732" s="99"/>
    </row>
    <row r="733" spans="1:14" s="85" customFormat="1" ht="12.75" customHeight="1">
      <c r="A733" s="106"/>
      <c r="B733" s="257"/>
      <c r="C733" s="95"/>
      <c r="D733" s="95"/>
      <c r="E733" s="95"/>
      <c r="F733" s="256" t="s">
        <v>604</v>
      </c>
      <c r="G733" s="108" t="str">
        <f>+'[2]EXTRA 2'!G549</f>
        <v xml:space="preserve">Mejoras Sistema Pluvial Calle Nuestro Amo en Etapas </v>
      </c>
      <c r="H733" s="105" t="s">
        <v>81</v>
      </c>
      <c r="I733" s="99">
        <v>7393071.2800000003</v>
      </c>
      <c r="J733" s="99"/>
      <c r="K733" s="99">
        <f>+I733</f>
        <v>7393071.2800000003</v>
      </c>
      <c r="L733" s="99"/>
      <c r="M733" s="99"/>
      <c r="N733" s="99">
        <f>+'[2]EXTRA 2'!H551-'3_Detalle Origen y Aplicación'!I733</f>
        <v>737052.22999999952</v>
      </c>
    </row>
    <row r="734" spans="1:14" s="85" customFormat="1" ht="12.75" customHeight="1">
      <c r="A734" s="106"/>
      <c r="B734" s="257"/>
      <c r="C734" s="95"/>
      <c r="D734" s="95"/>
      <c r="E734" s="95"/>
      <c r="F734" s="256"/>
      <c r="G734" s="108"/>
      <c r="H734" s="105"/>
      <c r="I734" s="99"/>
      <c r="J734" s="99"/>
      <c r="K734" s="99"/>
      <c r="L734" s="99"/>
      <c r="M734" s="99"/>
      <c r="N734" s="99"/>
    </row>
    <row r="735" spans="1:14" s="85" customFormat="1" ht="12.75" customHeight="1">
      <c r="A735" s="106"/>
      <c r="B735" s="257"/>
      <c r="C735" s="95"/>
      <c r="D735" s="95"/>
      <c r="E735" s="95"/>
      <c r="F735" s="256" t="s">
        <v>603</v>
      </c>
      <c r="G735" s="108" t="str">
        <f>+'[2]EXTRA 2'!G552</f>
        <v>Mejoras Pluviales en Guácima Centro</v>
      </c>
      <c r="H735" s="105" t="s">
        <v>81</v>
      </c>
      <c r="I735" s="99">
        <v>159560014.55000001</v>
      </c>
      <c r="J735" s="99"/>
      <c r="K735" s="99">
        <f>+I735</f>
        <v>159560014.55000001</v>
      </c>
      <c r="L735" s="99"/>
      <c r="M735" s="99"/>
      <c r="N735" s="99">
        <f>+'[2]EXTRA 2'!H553-'3_Detalle Origen y Aplicación'!I735</f>
        <v>0</v>
      </c>
    </row>
    <row r="736" spans="1:14" s="85" customFormat="1" ht="12.75" customHeight="1">
      <c r="A736" s="106"/>
      <c r="B736" s="257"/>
      <c r="C736" s="95"/>
      <c r="D736" s="95"/>
      <c r="E736" s="95"/>
      <c r="F736" s="256"/>
      <c r="G736" s="108"/>
      <c r="H736" s="105"/>
      <c r="I736" s="99"/>
      <c r="J736" s="99"/>
      <c r="K736" s="99"/>
      <c r="L736" s="99"/>
      <c r="M736" s="99"/>
      <c r="N736" s="99"/>
    </row>
    <row r="737" spans="1:14" s="85" customFormat="1" ht="12.75" customHeight="1">
      <c r="A737" s="106"/>
      <c r="B737" s="257"/>
      <c r="C737" s="95"/>
      <c r="D737" s="95"/>
      <c r="E737" s="95"/>
      <c r="F737" s="256" t="s">
        <v>602</v>
      </c>
      <c r="G737" s="108" t="str">
        <f>+'[2]EXTRA 2'!G554</f>
        <v>Mejoras Pluviales en lagos del Coyol</v>
      </c>
      <c r="H737" s="105" t="s">
        <v>81</v>
      </c>
      <c r="I737" s="99"/>
      <c r="J737" s="99"/>
      <c r="K737" s="99">
        <f>+I737</f>
        <v>0</v>
      </c>
      <c r="L737" s="99"/>
      <c r="M737" s="99"/>
      <c r="N737" s="99">
        <f>+'[2]EXTRA 2'!H555-'3_Detalle Origen y Aplicación'!I737</f>
        <v>220771.86</v>
      </c>
    </row>
    <row r="738" spans="1:14" s="85" customFormat="1" ht="12.75" customHeight="1">
      <c r="A738" s="106"/>
      <c r="B738" s="257"/>
      <c r="C738" s="95"/>
      <c r="D738" s="95"/>
      <c r="E738" s="95"/>
      <c r="F738" s="256"/>
      <c r="G738" s="108"/>
      <c r="H738" s="105"/>
      <c r="I738" s="99"/>
      <c r="J738" s="99"/>
      <c r="K738" s="99"/>
      <c r="L738" s="99"/>
      <c r="M738" s="99"/>
      <c r="N738" s="99"/>
    </row>
    <row r="739" spans="1:14" s="85" customFormat="1" ht="12.75" customHeight="1">
      <c r="A739" s="106"/>
      <c r="B739" s="257"/>
      <c r="C739" s="95"/>
      <c r="D739" s="95"/>
      <c r="E739" s="95"/>
      <c r="F739" s="256" t="s">
        <v>554</v>
      </c>
      <c r="G739" s="108" t="str">
        <f>+'[2]EXTRA 2'!G556</f>
        <v>Mejoras Pluviales en Villa Bonita</v>
      </c>
      <c r="H739" s="105" t="s">
        <v>81</v>
      </c>
      <c r="I739" s="99">
        <v>1124809538.7</v>
      </c>
      <c r="J739" s="99"/>
      <c r="K739" s="99">
        <f>+I739</f>
        <v>1124809538.7</v>
      </c>
      <c r="L739" s="99"/>
      <c r="M739" s="99"/>
      <c r="N739" s="99">
        <f>+'[2]EXTRA 2'!H557-'3_Detalle Origen y Aplicación'!I739</f>
        <v>0</v>
      </c>
    </row>
    <row r="740" spans="1:14" s="85" customFormat="1" ht="12.75" customHeight="1">
      <c r="A740" s="106"/>
      <c r="B740" s="257"/>
      <c r="C740" s="95"/>
      <c r="D740" s="95"/>
      <c r="E740" s="95"/>
      <c r="F740" s="256"/>
      <c r="G740" s="108"/>
      <c r="H740" s="105"/>
      <c r="I740" s="99"/>
      <c r="J740" s="99"/>
      <c r="K740" s="99"/>
      <c r="L740" s="99"/>
      <c r="M740" s="99"/>
      <c r="N740" s="99"/>
    </row>
    <row r="741" spans="1:14" s="85" customFormat="1" ht="12.75" customHeight="1">
      <c r="A741" s="106"/>
      <c r="B741" s="257"/>
      <c r="C741" s="95"/>
      <c r="D741" s="95"/>
      <c r="E741" s="95"/>
      <c r="F741" s="256" t="s">
        <v>601</v>
      </c>
      <c r="G741" s="108" t="str">
        <f>+'[2]EXTRA 2'!G558</f>
        <v>Sistema de Riego Plaza Villa Bonita</v>
      </c>
      <c r="H741" s="105" t="s">
        <v>81</v>
      </c>
      <c r="I741" s="99"/>
      <c r="J741" s="99"/>
      <c r="K741" s="99">
        <f>+I741</f>
        <v>0</v>
      </c>
      <c r="L741" s="99"/>
      <c r="M741" s="99"/>
      <c r="N741" s="99">
        <f>+'[2]EXTRA 2'!H559-'3_Detalle Origen y Aplicación'!I741</f>
        <v>35000000</v>
      </c>
    </row>
    <row r="742" spans="1:14" s="85" customFormat="1" ht="12.75" customHeight="1">
      <c r="A742" s="106"/>
      <c r="B742" s="257"/>
      <c r="C742" s="95"/>
      <c r="D742" s="95"/>
      <c r="E742" s="95"/>
      <c r="F742" s="256"/>
      <c r="G742" s="108"/>
      <c r="H742" s="105"/>
      <c r="I742" s="99"/>
      <c r="J742" s="99"/>
      <c r="K742" s="99"/>
      <c r="L742" s="99"/>
      <c r="M742" s="99"/>
      <c r="N742" s="99"/>
    </row>
    <row r="743" spans="1:14" s="85" customFormat="1" ht="12.75" customHeight="1">
      <c r="A743" s="106"/>
      <c r="B743" s="257"/>
      <c r="C743" s="95"/>
      <c r="D743" s="95"/>
      <c r="E743" s="95"/>
      <c r="F743" s="256" t="s">
        <v>219</v>
      </c>
      <c r="G743" s="108" t="s">
        <v>464</v>
      </c>
      <c r="H743" s="105" t="s">
        <v>78</v>
      </c>
      <c r="I743" s="99">
        <f>10000000+4126000+748396+79589506.38+63986.72</f>
        <v>94527889.099999994</v>
      </c>
      <c r="J743" s="99">
        <f>+I743</f>
        <v>94527889.099999994</v>
      </c>
      <c r="K743" s="99">
        <v>0</v>
      </c>
      <c r="L743" s="99"/>
      <c r="M743" s="99"/>
      <c r="N743" s="99">
        <f>-I743+'[2]Extra 01'!H571+'[2]EXTRA 2'!H572</f>
        <v>-63986.719999998808</v>
      </c>
    </row>
    <row r="744" spans="1:14" s="85" customFormat="1" ht="12.75" customHeight="1">
      <c r="A744" s="106"/>
      <c r="B744" s="257"/>
      <c r="C744" s="95"/>
      <c r="D744" s="95"/>
      <c r="E744" s="95"/>
      <c r="F744" s="256"/>
      <c r="G744" s="108"/>
      <c r="H744" s="105" t="s">
        <v>79</v>
      </c>
      <c r="I744" s="99">
        <f>6000000+4275266+11423879.54+109098197.06</f>
        <v>130797342.59999999</v>
      </c>
      <c r="J744" s="99">
        <f>+I744</f>
        <v>130797342.59999999</v>
      </c>
      <c r="K744" s="99"/>
      <c r="L744" s="99"/>
      <c r="M744" s="99"/>
      <c r="N744" s="99">
        <f>-I744+'[2]Extra 01'!H572+'[2]EXTRA 2'!H573</f>
        <v>0</v>
      </c>
    </row>
    <row r="745" spans="1:14" s="85" customFormat="1" ht="12.75" customHeight="1">
      <c r="A745" s="106"/>
      <c r="B745" s="257"/>
      <c r="C745" s="95"/>
      <c r="D745" s="95"/>
      <c r="E745" s="95"/>
      <c r="F745" s="256"/>
      <c r="G745" s="108"/>
      <c r="H745" s="105" t="s">
        <v>81</v>
      </c>
      <c r="I745" s="99">
        <v>86504547.439999998</v>
      </c>
      <c r="J745" s="99"/>
      <c r="K745" s="99">
        <f>+I745</f>
        <v>86504547.439999998</v>
      </c>
      <c r="L745" s="99"/>
      <c r="M745" s="99"/>
      <c r="N745" s="99">
        <f>-I745+[2]ordinario!I691+'[2]Extra 01'!H573+'[2]EXTRA 2'!H574</f>
        <v>102775421.02999999</v>
      </c>
    </row>
    <row r="746" spans="1:14" s="85" customFormat="1" ht="12.75" customHeight="1">
      <c r="A746" s="106"/>
      <c r="B746" s="257"/>
      <c r="C746" s="95"/>
      <c r="D746" s="95"/>
      <c r="E746" s="95"/>
      <c r="F746" s="256"/>
      <c r="G746" s="108"/>
      <c r="H746" s="105"/>
      <c r="I746" s="99"/>
      <c r="J746" s="99"/>
      <c r="K746" s="99"/>
      <c r="L746" s="99"/>
      <c r="M746" s="99"/>
      <c r="N746" s="99"/>
    </row>
    <row r="747" spans="1:14" s="85" customFormat="1" ht="12.75" customHeight="1">
      <c r="A747" s="106"/>
      <c r="B747" s="257"/>
      <c r="C747" s="95"/>
      <c r="D747" s="95"/>
      <c r="E747" s="95"/>
      <c r="F747" s="256" t="s">
        <v>247</v>
      </c>
      <c r="G747" s="108" t="s">
        <v>318</v>
      </c>
      <c r="H747" s="105" t="s">
        <v>78</v>
      </c>
      <c r="I747" s="99">
        <f>31149255.51+7238648.8</f>
        <v>38387904.310000002</v>
      </c>
      <c r="J747" s="99">
        <f>+I747</f>
        <v>38387904.310000002</v>
      </c>
      <c r="K747" s="99"/>
      <c r="L747" s="99"/>
      <c r="M747" s="99"/>
      <c r="N747" s="99">
        <f>-I747+'[2]Extra 01'!H575+'[2]EXTRA 2'!H576</f>
        <v>0</v>
      </c>
    </row>
    <row r="748" spans="1:14" s="85" customFormat="1" ht="12.75" customHeight="1">
      <c r="A748" s="106"/>
      <c r="B748" s="257"/>
      <c r="C748" s="95"/>
      <c r="D748" s="95"/>
      <c r="E748" s="95"/>
      <c r="F748" s="256"/>
      <c r="G748" s="108"/>
      <c r="H748" s="105"/>
      <c r="I748" s="99"/>
      <c r="J748" s="99"/>
      <c r="K748" s="99"/>
      <c r="L748" s="99"/>
      <c r="M748" s="99"/>
      <c r="N748" s="99"/>
    </row>
    <row r="749" spans="1:14" s="85" customFormat="1" ht="12.75" customHeight="1">
      <c r="A749" s="106"/>
      <c r="B749" s="257"/>
      <c r="C749" s="95"/>
      <c r="D749" s="95"/>
      <c r="E749" s="95"/>
      <c r="F749" s="256" t="s">
        <v>502</v>
      </c>
      <c r="G749" s="258" t="s">
        <v>600</v>
      </c>
      <c r="H749" s="105" t="s">
        <v>78</v>
      </c>
      <c r="I749" s="99">
        <v>1765000</v>
      </c>
      <c r="J749" s="99"/>
      <c r="K749" s="99">
        <f>+I749</f>
        <v>1765000</v>
      </c>
      <c r="L749" s="99"/>
      <c r="M749" s="99"/>
      <c r="N749" s="99">
        <f>1765000-I749</f>
        <v>0</v>
      </c>
    </row>
    <row r="750" spans="1:14" s="85" customFormat="1" ht="12.75" customHeight="1">
      <c r="A750" s="106"/>
      <c r="B750" s="257"/>
      <c r="C750" s="95"/>
      <c r="D750" s="95"/>
      <c r="E750" s="95"/>
      <c r="F750" s="256"/>
      <c r="G750" s="258"/>
      <c r="H750" s="105" t="s">
        <v>81</v>
      </c>
      <c r="I750" s="99">
        <v>0</v>
      </c>
      <c r="J750" s="99"/>
      <c r="K750" s="99">
        <f>+I750</f>
        <v>0</v>
      </c>
      <c r="L750" s="99"/>
      <c r="M750" s="99"/>
      <c r="N750" s="99">
        <f>-I750+'[2]Extra 01'!H583-1765000</f>
        <v>16979793.66</v>
      </c>
    </row>
    <row r="751" spans="1:14" s="85" customFormat="1" ht="12.75" customHeight="1">
      <c r="A751" s="106"/>
      <c r="B751" s="257"/>
      <c r="C751" s="95"/>
      <c r="D751" s="95"/>
      <c r="E751" s="95"/>
      <c r="F751" s="256"/>
      <c r="G751" s="258"/>
      <c r="H751" s="105"/>
      <c r="I751" s="99"/>
      <c r="J751" s="99"/>
      <c r="K751" s="99"/>
      <c r="L751" s="99"/>
      <c r="M751" s="99"/>
      <c r="N751" s="99"/>
    </row>
    <row r="752" spans="1:14" s="85" customFormat="1" ht="12.75" customHeight="1">
      <c r="A752" s="106"/>
      <c r="B752" s="257"/>
      <c r="C752" s="95"/>
      <c r="D752" s="95"/>
      <c r="E752" s="95"/>
      <c r="F752" s="256"/>
      <c r="G752" s="108"/>
      <c r="H752" s="105"/>
      <c r="I752" s="99"/>
      <c r="J752" s="99"/>
      <c r="K752" s="99"/>
      <c r="L752" s="99"/>
      <c r="M752" s="99"/>
      <c r="N752" s="99"/>
    </row>
    <row r="753" spans="1:14" s="85" customFormat="1" ht="25.5">
      <c r="A753" s="106"/>
      <c r="B753" s="257"/>
      <c r="C753" s="95"/>
      <c r="D753" s="95"/>
      <c r="E753" s="95"/>
      <c r="F753" s="256" t="s">
        <v>265</v>
      </c>
      <c r="G753" s="108" t="s">
        <v>599</v>
      </c>
      <c r="H753" s="105" t="s">
        <v>78</v>
      </c>
      <c r="I753" s="99"/>
      <c r="J753" s="99">
        <f>+I753</f>
        <v>0</v>
      </c>
      <c r="K753" s="99"/>
      <c r="L753" s="99"/>
      <c r="M753" s="99"/>
      <c r="N753" s="99">
        <f>+'[2]Extra 01'!H592</f>
        <v>100000000</v>
      </c>
    </row>
    <row r="754" spans="1:14" s="85" customFormat="1" ht="13">
      <c r="A754" s="106"/>
      <c r="B754" s="257"/>
      <c r="C754" s="95"/>
      <c r="D754" s="95"/>
      <c r="E754" s="95"/>
      <c r="F754" s="256"/>
      <c r="G754" s="108"/>
      <c r="H754" s="105" t="s">
        <v>79</v>
      </c>
      <c r="I754" s="99"/>
      <c r="J754" s="99">
        <f>+I754</f>
        <v>0</v>
      </c>
      <c r="K754" s="99"/>
      <c r="L754" s="99"/>
      <c r="M754" s="99"/>
      <c r="N754" s="99">
        <v>12530000</v>
      </c>
    </row>
    <row r="755" spans="1:14" s="85" customFormat="1" ht="13">
      <c r="A755" s="106"/>
      <c r="B755" s="257"/>
      <c r="C755" s="95"/>
      <c r="D755" s="95"/>
      <c r="E755" s="95"/>
      <c r="F755" s="256"/>
      <c r="G755" s="108"/>
      <c r="H755" s="105" t="s">
        <v>81</v>
      </c>
      <c r="I755" s="99"/>
      <c r="J755" s="99"/>
      <c r="K755" s="99">
        <f>+I755</f>
        <v>0</v>
      </c>
      <c r="L755" s="99"/>
      <c r="M755" s="99"/>
      <c r="N755" s="99">
        <f>-I755+[2]ordinario!I696+'[2]Extra 01'!H593-12530000</f>
        <v>502470000</v>
      </c>
    </row>
    <row r="756" spans="1:14" s="85" customFormat="1" ht="12.75" customHeight="1">
      <c r="A756" s="106"/>
      <c r="B756" s="257"/>
      <c r="C756" s="95"/>
      <c r="D756" s="95"/>
      <c r="E756" s="95"/>
      <c r="F756" s="256"/>
      <c r="G756" s="108"/>
      <c r="H756" s="105"/>
      <c r="I756" s="99"/>
      <c r="J756" s="99"/>
      <c r="K756" s="99"/>
      <c r="L756" s="99"/>
      <c r="M756" s="99"/>
      <c r="N756" s="99"/>
    </row>
    <row r="757" spans="1:14" s="85" customFormat="1" ht="25.5">
      <c r="A757" s="106"/>
      <c r="B757" s="257"/>
      <c r="C757" s="95"/>
      <c r="D757" s="95"/>
      <c r="E757" s="95"/>
      <c r="F757" s="256" t="s">
        <v>465</v>
      </c>
      <c r="G757" s="108" t="s">
        <v>598</v>
      </c>
      <c r="H757" s="105" t="s">
        <v>81</v>
      </c>
      <c r="I757" s="99">
        <v>47627465.340000004</v>
      </c>
      <c r="J757" s="99"/>
      <c r="K757" s="99">
        <f>+I757</f>
        <v>47627465.340000004</v>
      </c>
      <c r="L757" s="99"/>
      <c r="M757" s="99"/>
      <c r="N757" s="99">
        <f>-I757+[2]ordinario!I698</f>
        <v>22372534.659999996</v>
      </c>
    </row>
    <row r="758" spans="1:14" s="85" customFormat="1" ht="12.75" customHeight="1">
      <c r="A758" s="106"/>
      <c r="B758" s="257"/>
      <c r="C758" s="95"/>
      <c r="D758" s="95"/>
      <c r="E758" s="95"/>
      <c r="F758" s="256"/>
      <c r="G758" s="108"/>
      <c r="H758" s="105"/>
      <c r="I758" s="99"/>
      <c r="J758" s="99"/>
      <c r="K758" s="99"/>
      <c r="L758" s="99"/>
      <c r="M758" s="99"/>
      <c r="N758" s="99"/>
    </row>
    <row r="759" spans="1:14" s="85" customFormat="1" ht="12.75" customHeight="1">
      <c r="A759" s="106"/>
      <c r="B759" s="257"/>
      <c r="C759" s="95"/>
      <c r="D759" s="95"/>
      <c r="E759" s="95"/>
      <c r="F759" s="256" t="s">
        <v>467</v>
      </c>
      <c r="G759" s="108" t="s">
        <v>597</v>
      </c>
      <c r="H759" s="105" t="s">
        <v>78</v>
      </c>
      <c r="I759" s="99"/>
      <c r="J759" s="99"/>
      <c r="K759" s="99">
        <f>+I759</f>
        <v>0</v>
      </c>
      <c r="L759" s="99"/>
      <c r="M759" s="99"/>
      <c r="N759" s="99">
        <f>-I759++'[2]Extra 01'!H585</f>
        <v>13270218.533</v>
      </c>
    </row>
    <row r="760" spans="1:14" s="85" customFormat="1" ht="12.75" customHeight="1">
      <c r="A760" s="106"/>
      <c r="B760" s="257"/>
      <c r="C760" s="95"/>
      <c r="D760" s="95"/>
      <c r="E760" s="95"/>
      <c r="F760" s="256"/>
      <c r="G760" s="108"/>
      <c r="H760" s="105" t="s">
        <v>81</v>
      </c>
      <c r="I760" s="99"/>
      <c r="J760" s="99"/>
      <c r="K760" s="99">
        <f>+I760</f>
        <v>0</v>
      </c>
      <c r="L760" s="99"/>
      <c r="M760" s="99"/>
      <c r="N760" s="99">
        <f>-I760++'[2]Extra 01'!H586</f>
        <v>60145573.130000003</v>
      </c>
    </row>
    <row r="761" spans="1:14" s="85" customFormat="1" ht="12.75" customHeight="1">
      <c r="A761" s="106"/>
      <c r="B761" s="257"/>
      <c r="C761" s="95"/>
      <c r="D761" s="95"/>
      <c r="E761" s="95"/>
      <c r="F761" s="256"/>
      <c r="G761" s="108"/>
      <c r="H761" s="105"/>
      <c r="I761" s="99"/>
      <c r="J761" s="99"/>
      <c r="K761" s="99"/>
      <c r="L761" s="99"/>
      <c r="M761" s="99"/>
      <c r="N761" s="99"/>
    </row>
    <row r="762" spans="1:14" s="85" customFormat="1" ht="12.75" customHeight="1">
      <c r="A762" s="106"/>
      <c r="B762" s="257"/>
      <c r="C762" s="95"/>
      <c r="D762" s="95"/>
      <c r="E762" s="95"/>
      <c r="F762" s="256" t="s">
        <v>397</v>
      </c>
      <c r="G762" s="108" t="s">
        <v>266</v>
      </c>
      <c r="H762" s="105" t="s">
        <v>78</v>
      </c>
      <c r="I762" s="99">
        <v>32147442</v>
      </c>
      <c r="J762" s="99">
        <f>+I762</f>
        <v>32147442</v>
      </c>
      <c r="K762" s="99"/>
      <c r="L762" s="99"/>
      <c r="M762" s="99"/>
      <c r="N762" s="99">
        <f>-I762+'[2]Extra 01'!H588+'[2]EXTRA 2'!H589</f>
        <v>6852562</v>
      </c>
    </row>
    <row r="763" spans="1:14" s="85" customFormat="1" ht="12.75" customHeight="1">
      <c r="A763" s="106"/>
      <c r="B763" s="257"/>
      <c r="C763" s="95"/>
      <c r="D763" s="95"/>
      <c r="E763" s="95"/>
      <c r="F763" s="256"/>
      <c r="G763" s="108"/>
      <c r="H763" s="105" t="s">
        <v>79</v>
      </c>
      <c r="I763" s="99"/>
      <c r="J763" s="99">
        <f>+I763</f>
        <v>0</v>
      </c>
      <c r="K763" s="99"/>
      <c r="L763" s="99"/>
      <c r="M763" s="99"/>
      <c r="N763" s="99">
        <f>-I763+'[2]Extra 01'!H589</f>
        <v>24000000</v>
      </c>
    </row>
    <row r="764" spans="1:14" s="85" customFormat="1" ht="12.75" customHeight="1">
      <c r="A764" s="106"/>
      <c r="B764" s="257"/>
      <c r="C764" s="95"/>
      <c r="D764" s="95"/>
      <c r="E764" s="95"/>
      <c r="F764" s="256"/>
      <c r="G764" s="108"/>
      <c r="H764" s="105" t="s">
        <v>81</v>
      </c>
      <c r="I764" s="99">
        <v>110190625.88</v>
      </c>
      <c r="J764" s="99"/>
      <c r="K764" s="99">
        <f>+I764</f>
        <v>110190625.88</v>
      </c>
      <c r="L764" s="99"/>
      <c r="M764" s="99"/>
      <c r="N764" s="99">
        <f>-I764+'[2]Extra 01'!H590+'[2]EXTRA 2'!H591</f>
        <v>545850249.02999997</v>
      </c>
    </row>
    <row r="765" spans="1:14" s="85" customFormat="1" ht="12.75" customHeight="1">
      <c r="A765" s="106"/>
      <c r="B765" s="257"/>
      <c r="C765" s="95"/>
      <c r="D765" s="95"/>
      <c r="E765" s="95"/>
      <c r="F765" s="256"/>
      <c r="G765" s="108"/>
      <c r="H765" s="105"/>
      <c r="I765" s="99"/>
      <c r="J765" s="99"/>
      <c r="K765" s="99"/>
      <c r="L765" s="99"/>
      <c r="M765" s="99"/>
      <c r="N765" s="99"/>
    </row>
    <row r="766" spans="1:14" s="85" customFormat="1" ht="25.5">
      <c r="A766" s="106"/>
      <c r="B766" s="257"/>
      <c r="C766" s="95"/>
      <c r="D766" s="95"/>
      <c r="E766" s="95"/>
      <c r="F766" s="256" t="s">
        <v>469</v>
      </c>
      <c r="G766" s="108" t="s">
        <v>470</v>
      </c>
      <c r="H766" s="105" t="s">
        <v>79</v>
      </c>
      <c r="I766" s="99"/>
      <c r="J766" s="99">
        <f>+I766</f>
        <v>0</v>
      </c>
      <c r="K766" s="99"/>
      <c r="L766" s="99"/>
      <c r="M766" s="99"/>
      <c r="N766" s="99">
        <f>-I766+'[2]Extra 01'!H595-1300000</f>
        <v>950000</v>
      </c>
    </row>
    <row r="767" spans="1:14" s="85" customFormat="1" ht="12.75" customHeight="1">
      <c r="A767" s="106"/>
      <c r="B767" s="257"/>
      <c r="C767" s="95"/>
      <c r="D767" s="95"/>
      <c r="E767" s="95"/>
      <c r="F767" s="256"/>
      <c r="G767" s="108"/>
      <c r="H767" s="105" t="s">
        <v>81</v>
      </c>
      <c r="I767" s="99"/>
      <c r="J767" s="99"/>
      <c r="K767" s="99">
        <f>+I767</f>
        <v>0</v>
      </c>
      <c r="L767" s="99"/>
      <c r="M767" s="99"/>
      <c r="N767" s="99">
        <f>-I767+'[2]Extra 01'!H596+1300000</f>
        <v>3860500</v>
      </c>
    </row>
    <row r="768" spans="1:14" s="85" customFormat="1" ht="12.75" customHeight="1">
      <c r="A768" s="106"/>
      <c r="B768" s="257"/>
      <c r="C768" s="95"/>
      <c r="D768" s="95"/>
      <c r="E768" s="95"/>
      <c r="F768" s="256"/>
      <c r="G768" s="108"/>
      <c r="H768" s="105"/>
      <c r="I768" s="99"/>
      <c r="J768" s="99"/>
      <c r="K768" s="99"/>
      <c r="L768" s="99"/>
      <c r="M768" s="99"/>
      <c r="N768" s="99"/>
    </row>
    <row r="769" spans="1:14" s="85" customFormat="1" ht="12.75" customHeight="1">
      <c r="A769" s="106"/>
      <c r="B769" s="257"/>
      <c r="C769" s="95"/>
      <c r="D769" s="95"/>
      <c r="E769" s="95"/>
      <c r="F769" s="256" t="s">
        <v>471</v>
      </c>
      <c r="G769" s="108" t="s">
        <v>596</v>
      </c>
      <c r="H769" s="105" t="s">
        <v>81</v>
      </c>
      <c r="I769" s="99"/>
      <c r="J769" s="99"/>
      <c r="K769" s="99">
        <f>+I769</f>
        <v>0</v>
      </c>
      <c r="L769" s="99"/>
      <c r="M769" s="99"/>
      <c r="N769" s="99">
        <f>-I769+'[2]Extra 01'!H598</f>
        <v>22786026.84</v>
      </c>
    </row>
    <row r="770" spans="1:14" s="85" customFormat="1" ht="12.75" customHeight="1">
      <c r="A770" s="106"/>
      <c r="B770" s="257"/>
      <c r="C770" s="95"/>
      <c r="D770" s="95"/>
      <c r="E770" s="95"/>
      <c r="F770" s="256"/>
      <c r="G770" s="108"/>
      <c r="H770" s="105"/>
      <c r="I770" s="99"/>
      <c r="J770" s="99"/>
      <c r="K770" s="99"/>
      <c r="L770" s="99"/>
      <c r="M770" s="99"/>
      <c r="N770" s="99"/>
    </row>
    <row r="771" spans="1:14" s="85" customFormat="1" ht="12.75" customHeight="1">
      <c r="A771" s="106"/>
      <c r="B771" s="257"/>
      <c r="C771" s="95"/>
      <c r="D771" s="95"/>
      <c r="E771" s="95"/>
      <c r="F771" s="256" t="s">
        <v>472</v>
      </c>
      <c r="G771" s="108" t="s">
        <v>595</v>
      </c>
      <c r="H771" s="105" t="s">
        <v>81</v>
      </c>
      <c r="I771" s="99"/>
      <c r="J771" s="99"/>
      <c r="K771" s="99">
        <f>+I771</f>
        <v>0</v>
      </c>
      <c r="L771" s="99"/>
      <c r="M771" s="99"/>
      <c r="N771" s="99">
        <f>-I771+'[2]Extra 01'!H600</f>
        <v>137000000</v>
      </c>
    </row>
    <row r="772" spans="1:14" s="85" customFormat="1" ht="12.75" customHeight="1">
      <c r="A772" s="106"/>
      <c r="B772" s="257"/>
      <c r="C772" s="95"/>
      <c r="D772" s="95"/>
      <c r="E772" s="95"/>
      <c r="F772" s="256"/>
      <c r="G772" s="108"/>
      <c r="H772" s="105"/>
      <c r="I772" s="99"/>
      <c r="J772" s="99"/>
      <c r="K772" s="99"/>
      <c r="L772" s="99"/>
      <c r="M772" s="99"/>
      <c r="N772" s="99"/>
    </row>
    <row r="773" spans="1:14" s="85" customFormat="1" ht="12.75" customHeight="1">
      <c r="A773" s="106"/>
      <c r="B773" s="257"/>
      <c r="C773" s="95"/>
      <c r="D773" s="95"/>
      <c r="E773" s="95"/>
      <c r="F773" s="256" t="s">
        <v>473</v>
      </c>
      <c r="G773" s="108" t="s">
        <v>594</v>
      </c>
      <c r="H773" s="105" t="s">
        <v>81</v>
      </c>
      <c r="I773" s="99">
        <v>350000000</v>
      </c>
      <c r="J773" s="99"/>
      <c r="K773" s="99">
        <f>+I773</f>
        <v>350000000</v>
      </c>
      <c r="L773" s="99"/>
      <c r="M773" s="99"/>
      <c r="N773" s="99">
        <f>-I773+'[2]Extra 01'!H607</f>
        <v>0</v>
      </c>
    </row>
    <row r="774" spans="1:14" s="85" customFormat="1" ht="12.75" customHeight="1">
      <c r="A774" s="106"/>
      <c r="B774" s="257"/>
      <c r="C774" s="95"/>
      <c r="D774" s="95"/>
      <c r="E774" s="95"/>
      <c r="F774" s="256"/>
      <c r="G774" s="108"/>
      <c r="H774" s="105"/>
      <c r="I774" s="99"/>
      <c r="J774" s="99"/>
      <c r="K774" s="99"/>
      <c r="L774" s="99"/>
      <c r="M774" s="99"/>
      <c r="N774" s="99"/>
    </row>
    <row r="775" spans="1:14" s="85" customFormat="1" ht="12.75" customHeight="1">
      <c r="A775" s="106"/>
      <c r="B775" s="257"/>
      <c r="C775" s="95"/>
      <c r="D775" s="95"/>
      <c r="E775" s="95"/>
      <c r="F775" s="256" t="s">
        <v>398</v>
      </c>
      <c r="G775" s="108" t="s">
        <v>477</v>
      </c>
      <c r="H775" s="105" t="s">
        <v>81</v>
      </c>
      <c r="I775" s="99">
        <v>145401467</v>
      </c>
      <c r="J775" s="99"/>
      <c r="K775" s="99">
        <f>+I775</f>
        <v>145401467</v>
      </c>
      <c r="L775" s="99"/>
      <c r="M775" s="99"/>
      <c r="N775" s="99">
        <f>-I775+'[2]Extra 01'!H609</f>
        <v>4598533</v>
      </c>
    </row>
    <row r="776" spans="1:14" s="85" customFormat="1" ht="12.75" customHeight="1">
      <c r="A776" s="106"/>
      <c r="B776" s="257"/>
      <c r="C776" s="95"/>
      <c r="D776" s="95"/>
      <c r="E776" s="95"/>
      <c r="F776" s="256"/>
      <c r="G776" s="108"/>
      <c r="H776" s="105"/>
      <c r="I776" s="99"/>
      <c r="J776" s="99"/>
      <c r="K776" s="99"/>
      <c r="L776" s="99"/>
      <c r="M776" s="99"/>
      <c r="N776" s="99"/>
    </row>
    <row r="777" spans="1:14" s="85" customFormat="1" ht="12.75" customHeight="1">
      <c r="A777" s="106"/>
      <c r="B777" s="257"/>
      <c r="C777" s="95"/>
      <c r="D777" s="95"/>
      <c r="E777" s="95"/>
      <c r="F777" s="256" t="s">
        <v>475</v>
      </c>
      <c r="G777" s="108" t="s">
        <v>468</v>
      </c>
      <c r="H777" s="105" t="s">
        <v>81</v>
      </c>
      <c r="I777" s="99">
        <v>3047259.29</v>
      </c>
      <c r="J777" s="99"/>
      <c r="K777" s="99">
        <f>+I777</f>
        <v>3047259.29</v>
      </c>
      <c r="L777" s="99"/>
      <c r="M777" s="99"/>
      <c r="N777" s="99">
        <f>-I777+'[2]Extra 01'!H611+'[2]EXTRA 2'!H599</f>
        <v>410354.89999999991</v>
      </c>
    </row>
    <row r="778" spans="1:14" s="85" customFormat="1" ht="12.75" customHeight="1">
      <c r="A778" s="106"/>
      <c r="B778" s="257"/>
      <c r="C778" s="95"/>
      <c r="D778" s="95"/>
      <c r="E778" s="95"/>
      <c r="F778" s="256"/>
      <c r="G778" s="108"/>
      <c r="H778" s="105"/>
      <c r="I778" s="99"/>
      <c r="J778" s="99"/>
      <c r="K778" s="99"/>
      <c r="L778" s="99"/>
      <c r="M778" s="99"/>
      <c r="N778" s="99"/>
    </row>
    <row r="779" spans="1:14" s="85" customFormat="1" ht="12.75" customHeight="1">
      <c r="A779" s="106"/>
      <c r="B779" s="257"/>
      <c r="C779" s="95"/>
      <c r="D779" s="95"/>
      <c r="E779" s="95"/>
      <c r="F779" s="256" t="s">
        <v>476</v>
      </c>
      <c r="G779" s="108" t="s">
        <v>593</v>
      </c>
      <c r="H779" s="105" t="s">
        <v>81</v>
      </c>
      <c r="I779" s="99"/>
      <c r="J779" s="99"/>
      <c r="K779" s="99">
        <f>+I779</f>
        <v>0</v>
      </c>
      <c r="L779" s="99"/>
      <c r="M779" s="99"/>
      <c r="N779" s="99">
        <f>-I779+'[2]Extra 01'!H613</f>
        <v>24353142</v>
      </c>
    </row>
    <row r="780" spans="1:14" s="85" customFormat="1" ht="12.75" customHeight="1">
      <c r="A780" s="106"/>
      <c r="B780" s="257"/>
      <c r="C780" s="95"/>
      <c r="D780" s="95"/>
      <c r="E780" s="95"/>
      <c r="F780" s="256"/>
      <c r="G780" s="108"/>
      <c r="H780" s="105"/>
      <c r="I780" s="99"/>
      <c r="J780" s="99"/>
      <c r="K780" s="99"/>
      <c r="L780" s="99"/>
      <c r="M780" s="99"/>
      <c r="N780" s="99"/>
    </row>
    <row r="781" spans="1:14" s="85" customFormat="1" ht="12.75" customHeight="1">
      <c r="A781" s="106"/>
      <c r="B781" s="257"/>
      <c r="C781" s="95"/>
      <c r="D781" s="95"/>
      <c r="E781" s="95"/>
      <c r="F781" s="256" t="s">
        <v>592</v>
      </c>
      <c r="G781" s="108" t="s">
        <v>591</v>
      </c>
      <c r="H781" s="105" t="s">
        <v>81</v>
      </c>
      <c r="I781" s="99"/>
      <c r="J781" s="99"/>
      <c r="K781" s="99">
        <f>+I781</f>
        <v>0</v>
      </c>
      <c r="L781" s="99"/>
      <c r="M781" s="99"/>
      <c r="N781" s="99">
        <f>-I781+'[2]Extra 01'!H615</f>
        <v>3276719.73</v>
      </c>
    </row>
    <row r="782" spans="1:14" s="85" customFormat="1" ht="12.75" customHeight="1">
      <c r="A782" s="106"/>
      <c r="B782" s="257"/>
      <c r="C782" s="95"/>
      <c r="D782" s="95"/>
      <c r="E782" s="95"/>
      <c r="F782" s="256"/>
      <c r="G782" s="108"/>
      <c r="H782" s="105"/>
      <c r="I782" s="99"/>
      <c r="J782" s="99"/>
      <c r="K782" s="99"/>
      <c r="L782" s="99"/>
      <c r="M782" s="99"/>
      <c r="N782" s="99"/>
    </row>
    <row r="783" spans="1:14" s="85" customFormat="1" ht="12.75" customHeight="1">
      <c r="A783" s="106"/>
      <c r="B783" s="257"/>
      <c r="C783" s="95"/>
      <c r="D783" s="95"/>
      <c r="E783" s="95"/>
      <c r="F783" s="256" t="s">
        <v>478</v>
      </c>
      <c r="G783" s="108" t="s">
        <v>590</v>
      </c>
      <c r="H783" s="105" t="s">
        <v>81</v>
      </c>
      <c r="I783" s="99"/>
      <c r="J783" s="99"/>
      <c r="K783" s="99">
        <f>+I783</f>
        <v>0</v>
      </c>
      <c r="L783" s="99"/>
      <c r="M783" s="99"/>
      <c r="N783" s="99">
        <f>-I783+'[2]Extra 01'!H617</f>
        <v>45000000</v>
      </c>
    </row>
    <row r="784" spans="1:14" s="85" customFormat="1" ht="12.75" customHeight="1">
      <c r="A784" s="106"/>
      <c r="B784" s="257"/>
      <c r="C784" s="95"/>
      <c r="D784" s="95"/>
      <c r="E784" s="95"/>
      <c r="F784" s="256"/>
      <c r="G784" s="108"/>
      <c r="H784" s="105"/>
      <c r="I784" s="99"/>
      <c r="J784" s="99"/>
      <c r="K784" s="99"/>
      <c r="L784" s="99"/>
      <c r="M784" s="99"/>
      <c r="N784" s="99"/>
    </row>
    <row r="785" spans="1:14" s="85" customFormat="1" ht="12.75" customHeight="1">
      <c r="A785" s="106"/>
      <c r="B785" s="257"/>
      <c r="C785" s="95"/>
      <c r="D785" s="95"/>
      <c r="E785" s="95"/>
      <c r="F785" s="256" t="s">
        <v>399</v>
      </c>
      <c r="G785" s="108" t="s">
        <v>589</v>
      </c>
      <c r="H785" s="105" t="s">
        <v>81</v>
      </c>
      <c r="I785" s="99">
        <v>17582199</v>
      </c>
      <c r="J785" s="99"/>
      <c r="K785" s="99">
        <f>+I785</f>
        <v>17582199</v>
      </c>
      <c r="L785" s="99"/>
      <c r="M785" s="99"/>
      <c r="N785" s="99">
        <f>-I785+'[2]Extra 01'!H619+'[2]EXTRA 2'!H603</f>
        <v>2417801</v>
      </c>
    </row>
    <row r="786" spans="1:14" s="85" customFormat="1" ht="12.75" customHeight="1">
      <c r="A786" s="106"/>
      <c r="B786" s="257"/>
      <c r="C786" s="95"/>
      <c r="D786" s="95"/>
      <c r="E786" s="95"/>
      <c r="F786" s="256"/>
      <c r="G786" s="108"/>
      <c r="H786" s="105"/>
      <c r="I786" s="99"/>
      <c r="J786" s="99"/>
      <c r="K786" s="99"/>
      <c r="L786" s="99"/>
      <c r="M786" s="99"/>
      <c r="N786" s="99"/>
    </row>
    <row r="787" spans="1:14" s="85" customFormat="1" ht="12.75" customHeight="1">
      <c r="A787" s="106"/>
      <c r="B787" s="257"/>
      <c r="C787" s="95"/>
      <c r="D787" s="95"/>
      <c r="E787" s="95"/>
      <c r="F787" s="256" t="s">
        <v>355</v>
      </c>
      <c r="G787" s="108" t="s">
        <v>588</v>
      </c>
      <c r="H787" s="105" t="s">
        <v>78</v>
      </c>
      <c r="I787" s="99"/>
      <c r="J787" s="99"/>
      <c r="K787" s="99">
        <f>+I787</f>
        <v>0</v>
      </c>
      <c r="L787" s="99"/>
      <c r="M787" s="99"/>
      <c r="N787" s="99">
        <f>-I787+'[2]Extra 01'!H622</f>
        <v>5000000</v>
      </c>
    </row>
    <row r="788" spans="1:14" s="85" customFormat="1" ht="12.75" customHeight="1">
      <c r="A788" s="106"/>
      <c r="B788" s="257"/>
      <c r="C788" s="95"/>
      <c r="D788" s="95"/>
      <c r="E788" s="95"/>
      <c r="F788" s="256"/>
      <c r="G788" s="108"/>
      <c r="H788" s="105" t="s">
        <v>81</v>
      </c>
      <c r="I788" s="99"/>
      <c r="J788" s="99"/>
      <c r="K788" s="99">
        <f>+I788</f>
        <v>0</v>
      </c>
      <c r="L788" s="99"/>
      <c r="M788" s="99"/>
      <c r="N788" s="99">
        <f>-I788+'[2]Extra 01'!H623</f>
        <v>30000000</v>
      </c>
    </row>
    <row r="789" spans="1:14" s="85" customFormat="1" ht="12.75" customHeight="1">
      <c r="A789" s="106"/>
      <c r="B789" s="257"/>
      <c r="C789" s="95"/>
      <c r="D789" s="95"/>
      <c r="E789" s="95"/>
      <c r="F789" s="256"/>
      <c r="G789" s="108"/>
      <c r="H789" s="105"/>
      <c r="I789" s="99"/>
      <c r="J789" s="99"/>
      <c r="K789" s="99"/>
      <c r="L789" s="99"/>
      <c r="M789" s="99"/>
      <c r="N789" s="99"/>
    </row>
    <row r="790" spans="1:14" s="85" customFormat="1" ht="25.5">
      <c r="A790" s="106"/>
      <c r="B790" s="257"/>
      <c r="C790" s="95"/>
      <c r="D790" s="95"/>
      <c r="E790" s="95"/>
      <c r="F790" s="256" t="s">
        <v>479</v>
      </c>
      <c r="G790" s="108" t="s">
        <v>587</v>
      </c>
      <c r="H790" s="105" t="s">
        <v>78</v>
      </c>
      <c r="I790" s="99"/>
      <c r="J790" s="99"/>
      <c r="K790" s="99">
        <f>+I790</f>
        <v>0</v>
      </c>
      <c r="L790" s="99"/>
      <c r="M790" s="99"/>
      <c r="N790" s="99">
        <f>-I790+'[2]Extra 01'!H625-10000000</f>
        <v>0</v>
      </c>
    </row>
    <row r="791" spans="1:14" s="85" customFormat="1" ht="12.75" customHeight="1">
      <c r="A791" s="106"/>
      <c r="B791" s="257"/>
      <c r="C791" s="95"/>
      <c r="D791" s="95"/>
      <c r="E791" s="95"/>
      <c r="F791" s="256"/>
      <c r="G791" s="108"/>
      <c r="H791" s="105" t="s">
        <v>81</v>
      </c>
      <c r="I791" s="99"/>
      <c r="J791" s="99"/>
      <c r="K791" s="99">
        <f>+I791</f>
        <v>0</v>
      </c>
      <c r="L791" s="99"/>
      <c r="M791" s="99"/>
      <c r="N791" s="99">
        <f>-I791+'[2]Extra 01'!H626+10000000-40000000</f>
        <v>0</v>
      </c>
    </row>
    <row r="792" spans="1:14" s="85" customFormat="1" ht="12.75" customHeight="1">
      <c r="A792" s="106"/>
      <c r="B792" s="257"/>
      <c r="C792" s="95"/>
      <c r="D792" s="95"/>
      <c r="E792" s="95"/>
      <c r="F792" s="256"/>
      <c r="G792" s="108"/>
      <c r="H792" s="105"/>
      <c r="I792" s="99"/>
      <c r="J792" s="99"/>
      <c r="K792" s="99"/>
      <c r="L792" s="99"/>
      <c r="M792" s="99"/>
      <c r="N792" s="99"/>
    </row>
    <row r="793" spans="1:14" s="85" customFormat="1" ht="12.75" customHeight="1">
      <c r="A793" s="106"/>
      <c r="B793" s="257"/>
      <c r="C793" s="95"/>
      <c r="D793" s="95"/>
      <c r="E793" s="95"/>
      <c r="F793" s="256" t="s">
        <v>480</v>
      </c>
      <c r="G793" s="108" t="s">
        <v>586</v>
      </c>
      <c r="H793" s="105" t="s">
        <v>78</v>
      </c>
      <c r="I793" s="99"/>
      <c r="J793" s="99"/>
      <c r="K793" s="99">
        <f>+I793</f>
        <v>0</v>
      </c>
      <c r="L793" s="99"/>
      <c r="M793" s="99"/>
      <c r="N793" s="99">
        <f>-I793+'[2]Extra 01'!H628</f>
        <v>10000000</v>
      </c>
    </row>
    <row r="794" spans="1:14" s="85" customFormat="1" ht="12.75" customHeight="1">
      <c r="A794" s="106"/>
      <c r="B794" s="257"/>
      <c r="C794" s="95"/>
      <c r="D794" s="95"/>
      <c r="E794" s="95"/>
      <c r="F794" s="256"/>
      <c r="G794" s="108"/>
      <c r="H794" s="105" t="s">
        <v>81</v>
      </c>
      <c r="I794" s="99"/>
      <c r="J794" s="99"/>
      <c r="K794" s="99">
        <f>+I794</f>
        <v>0</v>
      </c>
      <c r="L794" s="99"/>
      <c r="M794" s="99"/>
      <c r="N794" s="99">
        <f>-I794+'[2]Extra 01'!H629</f>
        <v>30767184.960000001</v>
      </c>
    </row>
    <row r="795" spans="1:14" s="85" customFormat="1" ht="12.75" customHeight="1">
      <c r="A795" s="106"/>
      <c r="B795" s="257"/>
      <c r="C795" s="95"/>
      <c r="D795" s="95"/>
      <c r="E795" s="95"/>
      <c r="F795" s="256"/>
      <c r="G795" s="108"/>
      <c r="H795" s="105"/>
      <c r="I795" s="99"/>
      <c r="J795" s="99"/>
      <c r="K795" s="99"/>
      <c r="L795" s="99"/>
      <c r="M795" s="99"/>
      <c r="N795" s="99"/>
    </row>
    <row r="796" spans="1:14" s="85" customFormat="1" ht="12.75" customHeight="1">
      <c r="A796" s="106"/>
      <c r="B796" s="257"/>
      <c r="C796" s="95"/>
      <c r="D796" s="95"/>
      <c r="E796" s="95"/>
      <c r="F796" s="256" t="s">
        <v>481</v>
      </c>
      <c r="G796" s="108" t="s">
        <v>585</v>
      </c>
      <c r="H796" s="105" t="s">
        <v>78</v>
      </c>
      <c r="I796" s="99"/>
      <c r="J796" s="99"/>
      <c r="K796" s="99">
        <f>+I796</f>
        <v>0</v>
      </c>
      <c r="L796" s="99"/>
      <c r="M796" s="99"/>
      <c r="N796" s="99">
        <f>-I796+'[2]Extra 01'!H631</f>
        <v>10000000</v>
      </c>
    </row>
    <row r="797" spans="1:14" s="85" customFormat="1" ht="12.75" customHeight="1">
      <c r="A797" s="106"/>
      <c r="B797" s="257"/>
      <c r="C797" s="95"/>
      <c r="D797" s="95"/>
      <c r="E797" s="95"/>
      <c r="F797" s="256"/>
      <c r="G797" s="108"/>
      <c r="H797" s="105" t="s">
        <v>81</v>
      </c>
      <c r="I797" s="99"/>
      <c r="J797" s="99"/>
      <c r="K797" s="99">
        <f>+I797</f>
        <v>0</v>
      </c>
      <c r="L797" s="99"/>
      <c r="M797" s="99"/>
      <c r="N797" s="99">
        <f>-I797+'[2]Extra 01'!H632</f>
        <v>60000000</v>
      </c>
    </row>
    <row r="798" spans="1:14" s="85" customFormat="1" ht="12.75" customHeight="1">
      <c r="A798" s="106"/>
      <c r="B798" s="257"/>
      <c r="C798" s="95"/>
      <c r="D798" s="95"/>
      <c r="E798" s="95"/>
      <c r="F798" s="256"/>
      <c r="G798" s="108"/>
      <c r="H798" s="105"/>
      <c r="I798" s="99"/>
      <c r="J798" s="99"/>
      <c r="K798" s="99"/>
      <c r="L798" s="99"/>
      <c r="M798" s="99"/>
      <c r="N798" s="99"/>
    </row>
    <row r="799" spans="1:14" s="85" customFormat="1" ht="12.75" customHeight="1">
      <c r="A799" s="106"/>
      <c r="B799" s="257"/>
      <c r="C799" s="95"/>
      <c r="D799" s="95"/>
      <c r="E799" s="95"/>
      <c r="F799" s="256" t="s">
        <v>482</v>
      </c>
      <c r="G799" s="108" t="s">
        <v>584</v>
      </c>
      <c r="H799" s="105" t="s">
        <v>81</v>
      </c>
      <c r="I799" s="99">
        <v>17562185</v>
      </c>
      <c r="J799" s="99"/>
      <c r="K799" s="99">
        <f>+I799</f>
        <v>17562185</v>
      </c>
      <c r="L799" s="99"/>
      <c r="M799" s="99"/>
      <c r="N799" s="99">
        <f>+'[2]Extra 01'!H635-'3_Detalle Origen y Aplicación'!I799</f>
        <v>17437815</v>
      </c>
    </row>
    <row r="800" spans="1:14" s="85" customFormat="1" ht="12.75" customHeight="1">
      <c r="A800" s="106"/>
      <c r="B800" s="257"/>
      <c r="C800" s="95"/>
      <c r="D800" s="95"/>
      <c r="E800" s="95"/>
      <c r="F800" s="256"/>
      <c r="G800" s="108"/>
      <c r="H800" s="105"/>
      <c r="I800" s="99"/>
      <c r="J800" s="99"/>
      <c r="K800" s="99"/>
      <c r="L800" s="99"/>
      <c r="M800" s="99"/>
      <c r="N800" s="99"/>
    </row>
    <row r="801" spans="1:14" s="85" customFormat="1" ht="12.75" customHeight="1">
      <c r="A801" s="106"/>
      <c r="B801" s="257"/>
      <c r="C801" s="95"/>
      <c r="D801" s="95"/>
      <c r="E801" s="95"/>
      <c r="F801" s="256" t="s">
        <v>483</v>
      </c>
      <c r="G801" s="108" t="s">
        <v>583</v>
      </c>
      <c r="H801" s="105" t="s">
        <v>81</v>
      </c>
      <c r="I801" s="99"/>
      <c r="J801" s="99"/>
      <c r="K801" s="99">
        <f>+I801</f>
        <v>0</v>
      </c>
      <c r="L801" s="99"/>
      <c r="M801" s="99"/>
      <c r="N801" s="99">
        <f>+'[2]Extra 01'!H637-'3_Detalle Origen y Aplicación'!I801</f>
        <v>34000000</v>
      </c>
    </row>
    <row r="802" spans="1:14" s="85" customFormat="1" ht="12.75" customHeight="1">
      <c r="A802" s="106"/>
      <c r="B802" s="257"/>
      <c r="C802" s="95"/>
      <c r="D802" s="95"/>
      <c r="E802" s="95"/>
      <c r="F802" s="256"/>
      <c r="G802" s="108"/>
      <c r="H802" s="105"/>
      <c r="I802" s="99"/>
      <c r="J802" s="99"/>
      <c r="K802" s="99"/>
      <c r="L802" s="99"/>
      <c r="M802" s="99"/>
      <c r="N802" s="99"/>
    </row>
    <row r="803" spans="1:14" s="85" customFormat="1" ht="12.75" customHeight="1">
      <c r="A803" s="106"/>
      <c r="B803" s="257"/>
      <c r="C803" s="95"/>
      <c r="D803" s="95"/>
      <c r="E803" s="95"/>
      <c r="F803" s="256" t="s">
        <v>582</v>
      </c>
      <c r="G803" s="108" t="s">
        <v>581</v>
      </c>
      <c r="H803" s="105" t="s">
        <v>81</v>
      </c>
      <c r="I803" s="99"/>
      <c r="J803" s="99"/>
      <c r="K803" s="99">
        <f>+I803</f>
        <v>0</v>
      </c>
      <c r="L803" s="99"/>
      <c r="M803" s="99"/>
      <c r="N803" s="99">
        <f>+'[2]Extra 01'!H639-'3_Detalle Origen y Aplicación'!I803</f>
        <v>66767184.960000001</v>
      </c>
    </row>
    <row r="804" spans="1:14" s="85" customFormat="1" ht="12.75" customHeight="1">
      <c r="A804" s="106"/>
      <c r="B804" s="257"/>
      <c r="C804" s="95"/>
      <c r="D804" s="95"/>
      <c r="E804" s="95"/>
      <c r="F804" s="256"/>
      <c r="G804" s="108"/>
      <c r="H804" s="99"/>
      <c r="I804" s="99"/>
      <c r="J804" s="99"/>
      <c r="K804" s="99"/>
      <c r="L804" s="99"/>
      <c r="M804" s="99"/>
      <c r="N804" s="99"/>
    </row>
    <row r="805" spans="1:14" s="85" customFormat="1" ht="12.75" customHeight="1">
      <c r="A805" s="106"/>
      <c r="B805" s="257"/>
      <c r="C805" s="95"/>
      <c r="D805" s="95"/>
      <c r="E805" s="95"/>
      <c r="F805" s="256" t="s">
        <v>580</v>
      </c>
      <c r="G805" s="108" t="s">
        <v>579</v>
      </c>
      <c r="H805" s="105" t="s">
        <v>81</v>
      </c>
      <c r="I805" s="99"/>
      <c r="J805" s="99"/>
      <c r="K805" s="99">
        <f>+I805</f>
        <v>0</v>
      </c>
      <c r="L805" s="99"/>
      <c r="M805" s="99"/>
      <c r="N805" s="99">
        <f>+'[2]Extra 01'!H641-'3_Detalle Origen y Aplicación'!I805</f>
        <v>38760000</v>
      </c>
    </row>
    <row r="806" spans="1:14" s="85" customFormat="1" ht="12.75" customHeight="1">
      <c r="A806" s="106"/>
      <c r="B806" s="257"/>
      <c r="C806" s="95"/>
      <c r="D806" s="95"/>
      <c r="E806" s="95"/>
      <c r="F806" s="256"/>
      <c r="G806" s="108"/>
      <c r="H806" s="105"/>
      <c r="I806" s="99"/>
      <c r="J806" s="99"/>
      <c r="K806" s="99"/>
      <c r="L806" s="99"/>
      <c r="M806" s="99"/>
      <c r="N806" s="99"/>
    </row>
    <row r="807" spans="1:14" s="85" customFormat="1" ht="12.75" customHeight="1">
      <c r="A807" s="106"/>
      <c r="B807" s="257"/>
      <c r="C807" s="95"/>
      <c r="D807" s="95"/>
      <c r="E807" s="95"/>
      <c r="F807" s="256" t="s">
        <v>578</v>
      </c>
      <c r="G807" s="108" t="s">
        <v>577</v>
      </c>
      <c r="H807" s="105" t="s">
        <v>79</v>
      </c>
      <c r="I807" s="99"/>
      <c r="J807" s="99">
        <f>+I807</f>
        <v>0</v>
      </c>
      <c r="K807" s="99"/>
      <c r="L807" s="99"/>
      <c r="M807" s="99"/>
      <c r="N807" s="99">
        <f>+'[2]Extra 01'!H643-'3_Detalle Origen y Aplicación'!I807</f>
        <v>1206000</v>
      </c>
    </row>
    <row r="808" spans="1:14" s="85" customFormat="1" ht="12.75" customHeight="1">
      <c r="A808" s="106"/>
      <c r="B808" s="257"/>
      <c r="C808" s="95"/>
      <c r="D808" s="95"/>
      <c r="E808" s="95"/>
      <c r="F808" s="256"/>
      <c r="G808" s="108"/>
      <c r="H808" s="105" t="s">
        <v>81</v>
      </c>
      <c r="I808" s="99"/>
      <c r="J808" s="99"/>
      <c r="K808" s="99">
        <f>+I808</f>
        <v>0</v>
      </c>
      <c r="L808" s="99"/>
      <c r="M808" s="99"/>
      <c r="N808" s="99">
        <f>+'[2]Extra 01'!H644-'3_Detalle Origen y Aplicación'!I808</f>
        <v>28794000</v>
      </c>
    </row>
    <row r="809" spans="1:14" s="85" customFormat="1" ht="12.75" customHeight="1">
      <c r="A809" s="106"/>
      <c r="B809" s="257"/>
      <c r="C809" s="95"/>
      <c r="D809" s="95"/>
      <c r="E809" s="95"/>
      <c r="F809" s="256"/>
      <c r="G809" s="108"/>
      <c r="H809" s="105"/>
      <c r="I809" s="99"/>
      <c r="J809" s="99"/>
      <c r="K809" s="99"/>
      <c r="L809" s="99"/>
      <c r="M809" s="99"/>
      <c r="N809" s="99"/>
    </row>
    <row r="810" spans="1:14" s="85" customFormat="1" ht="12.75" customHeight="1">
      <c r="A810" s="106"/>
      <c r="B810" s="257"/>
      <c r="C810" s="95"/>
      <c r="D810" s="95"/>
      <c r="E810" s="95"/>
      <c r="F810" s="256" t="s">
        <v>576</v>
      </c>
      <c r="G810" s="108" t="s">
        <v>575</v>
      </c>
      <c r="H810" s="105" t="s">
        <v>81</v>
      </c>
      <c r="I810" s="99">
        <v>8094340</v>
      </c>
      <c r="J810" s="99"/>
      <c r="K810" s="99">
        <f>+I810</f>
        <v>8094340</v>
      </c>
      <c r="L810" s="99" t="s">
        <v>574</v>
      </c>
      <c r="M810" s="99"/>
      <c r="N810" s="99">
        <f>+'[2]Extra 01'!H646-'3_Detalle Origen y Aplicación'!I810</f>
        <v>1905660</v>
      </c>
    </row>
    <row r="811" spans="1:14" s="85" customFormat="1" ht="12.75" customHeight="1">
      <c r="A811" s="106"/>
      <c r="B811" s="257"/>
      <c r="C811" s="95"/>
      <c r="D811" s="95"/>
      <c r="E811" s="95"/>
      <c r="F811" s="256"/>
      <c r="G811" s="108"/>
      <c r="H811" s="105"/>
      <c r="I811" s="99"/>
      <c r="J811" s="99"/>
      <c r="K811" s="99"/>
      <c r="L811" s="99"/>
      <c r="M811" s="99"/>
      <c r="N811" s="99"/>
    </row>
    <row r="812" spans="1:14" s="85" customFormat="1" ht="12.75" customHeight="1">
      <c r="A812" s="106"/>
      <c r="B812" s="257"/>
      <c r="C812" s="95"/>
      <c r="D812" s="95"/>
      <c r="E812" s="95"/>
      <c r="F812" s="256" t="s">
        <v>573</v>
      </c>
      <c r="G812" s="108" t="str">
        <f>+'[2]EXTRA 2'!G604</f>
        <v>Mejoras en Parque la Loma Urbanización la Trinidad</v>
      </c>
      <c r="H812" s="105" t="s">
        <v>78</v>
      </c>
      <c r="I812" s="99">
        <v>4400000</v>
      </c>
      <c r="J812" s="99">
        <f>+I812</f>
        <v>4400000</v>
      </c>
      <c r="K812" s="99">
        <v>0</v>
      </c>
      <c r="L812" s="99"/>
      <c r="M812" s="99"/>
      <c r="N812" s="99">
        <f>+'[2]EXTRA 2'!H605-'3_Detalle Origen y Aplicación'!I812</f>
        <v>27243800</v>
      </c>
    </row>
    <row r="813" spans="1:14" s="85" customFormat="1" ht="12.75" customHeight="1">
      <c r="A813" s="106"/>
      <c r="B813" s="257"/>
      <c r="C813" s="95"/>
      <c r="D813" s="95"/>
      <c r="E813" s="95"/>
      <c r="F813" s="256"/>
      <c r="G813" s="108"/>
      <c r="H813" s="105"/>
      <c r="I813" s="99"/>
      <c r="J813" s="99"/>
      <c r="K813" s="99"/>
      <c r="L813" s="99"/>
      <c r="M813" s="99"/>
      <c r="N813" s="99"/>
    </row>
    <row r="814" spans="1:14" s="85" customFormat="1" ht="12.75" customHeight="1">
      <c r="A814" s="106"/>
      <c r="B814" s="257"/>
      <c r="C814" s="95"/>
      <c r="D814" s="95"/>
      <c r="E814" s="95"/>
      <c r="F814" s="256" t="s">
        <v>572</v>
      </c>
      <c r="G814" s="108" t="str">
        <f>+'[2]EXTRA 2'!G606</f>
        <v>Mejoras Centro de Deportes de Cinco Esquinas de Carrizal</v>
      </c>
      <c r="H814" s="105" t="s">
        <v>81</v>
      </c>
      <c r="I814" s="99">
        <v>26906107</v>
      </c>
      <c r="J814" s="99"/>
      <c r="K814" s="99">
        <f>+I814</f>
        <v>26906107</v>
      </c>
      <c r="L814" s="99"/>
      <c r="M814" s="99"/>
      <c r="N814" s="99">
        <f>+'[2]EXTRA 2'!H607-'3_Detalle Origen y Aplicación'!I814</f>
        <v>0</v>
      </c>
    </row>
    <row r="815" spans="1:14" s="85" customFormat="1" ht="12.75" customHeight="1">
      <c r="A815" s="106"/>
      <c r="B815" s="257"/>
      <c r="C815" s="95"/>
      <c r="D815" s="95"/>
      <c r="E815" s="95"/>
      <c r="F815" s="256"/>
      <c r="G815" s="108"/>
      <c r="H815" s="105"/>
      <c r="I815" s="99"/>
      <c r="J815" s="99"/>
      <c r="K815" s="99"/>
      <c r="L815" s="99"/>
      <c r="M815" s="99"/>
      <c r="N815" s="99"/>
    </row>
    <row r="816" spans="1:14" s="85" customFormat="1" ht="12.5" customHeight="1">
      <c r="A816" s="106"/>
      <c r="B816" s="257"/>
      <c r="C816" s="95"/>
      <c r="D816" s="95"/>
      <c r="E816" s="95"/>
      <c r="F816" s="256" t="s">
        <v>571</v>
      </c>
      <c r="G816" s="108" t="str">
        <f>+'[2]EXTRA 2'!G583</f>
        <v xml:space="preserve">Play Infantil Lotes Murillo </v>
      </c>
      <c r="H816" s="105" t="s">
        <v>81</v>
      </c>
      <c r="I816" s="99"/>
      <c r="J816" s="99"/>
      <c r="K816" s="99">
        <f>+I816</f>
        <v>0</v>
      </c>
      <c r="L816" s="99"/>
      <c r="M816" s="99"/>
      <c r="N816" s="99">
        <f>+'[2]EXTRA 2'!H584-I816</f>
        <v>10000000</v>
      </c>
    </row>
    <row r="817" spans="1:532" s="85" customFormat="1" ht="12.75" customHeight="1">
      <c r="A817" s="106"/>
      <c r="B817" s="257"/>
      <c r="C817" s="95"/>
      <c r="D817" s="95"/>
      <c r="E817" s="95"/>
      <c r="F817" s="256"/>
      <c r="G817" s="108"/>
      <c r="H817" s="105"/>
      <c r="I817" s="99"/>
      <c r="J817" s="99"/>
      <c r="K817" s="99"/>
      <c r="L817" s="99"/>
      <c r="M817" s="99"/>
      <c r="N817" s="99"/>
    </row>
    <row r="818" spans="1:532" s="85" customFormat="1" ht="12.75" customHeight="1">
      <c r="A818" s="106"/>
      <c r="B818" s="257"/>
      <c r="C818" s="95"/>
      <c r="D818" s="95"/>
      <c r="E818" s="95"/>
      <c r="F818" s="256" t="s">
        <v>570</v>
      </c>
      <c r="G818" s="108" t="str">
        <f>+'[2]EXTRA 2'!G615</f>
        <v>Parque San Martin de Turrucares</v>
      </c>
      <c r="H818" s="105" t="s">
        <v>81</v>
      </c>
      <c r="I818" s="99"/>
      <c r="J818" s="99"/>
      <c r="K818" s="99">
        <f>+I818</f>
        <v>0</v>
      </c>
      <c r="L818" s="99"/>
      <c r="M818" s="99"/>
      <c r="N818" s="99">
        <f>+'[2]EXTRA 2'!H616-'3_Detalle Origen y Aplicación'!I818</f>
        <v>15000000</v>
      </c>
    </row>
    <row r="819" spans="1:532" s="85" customFormat="1" ht="12.75" customHeight="1">
      <c r="A819" s="106"/>
      <c r="B819" s="257"/>
      <c r="C819" s="95"/>
      <c r="D819" s="95"/>
      <c r="E819" s="95"/>
      <c r="F819" s="256"/>
      <c r="G819" s="108"/>
      <c r="H819" s="105"/>
      <c r="I819" s="99"/>
      <c r="J819" s="99"/>
      <c r="K819" s="99"/>
      <c r="L819" s="99"/>
      <c r="M819" s="99"/>
      <c r="N819" s="99"/>
    </row>
    <row r="820" spans="1:532" s="85" customFormat="1" ht="25.5">
      <c r="A820" s="106"/>
      <c r="B820" s="257"/>
      <c r="C820" s="95"/>
      <c r="D820" s="95"/>
      <c r="E820" s="95"/>
      <c r="F820" s="256" t="s">
        <v>400</v>
      </c>
      <c r="G820" s="258" t="s">
        <v>569</v>
      </c>
      <c r="H820" s="105" t="s">
        <v>83</v>
      </c>
      <c r="I820" s="99">
        <v>20000000</v>
      </c>
      <c r="J820" s="99"/>
      <c r="K820" s="99">
        <f>+I820</f>
        <v>20000000</v>
      </c>
      <c r="L820" s="99"/>
      <c r="M820" s="99"/>
      <c r="N820" s="99">
        <f>-I820+'[2]Extra 01'!H669</f>
        <v>0</v>
      </c>
    </row>
    <row r="821" spans="1:532" s="85" customFormat="1" ht="12.75" customHeight="1">
      <c r="A821" s="106"/>
      <c r="B821" s="257"/>
      <c r="C821" s="95"/>
      <c r="D821" s="95"/>
      <c r="E821" s="95"/>
      <c r="F821" s="256"/>
      <c r="G821" s="108"/>
      <c r="H821" s="105"/>
      <c r="I821" s="99"/>
      <c r="J821" s="99"/>
      <c r="K821" s="99"/>
      <c r="L821" s="99"/>
      <c r="M821" s="99"/>
      <c r="N821" s="99"/>
    </row>
    <row r="822" spans="1:532" s="85" customFormat="1" ht="12.75" customHeight="1">
      <c r="A822" s="106"/>
      <c r="B822" s="257"/>
      <c r="C822" s="95"/>
      <c r="D822" s="95"/>
      <c r="E822" s="95"/>
      <c r="F822" s="256" t="s">
        <v>400</v>
      </c>
      <c r="G822" s="108" t="s">
        <v>401</v>
      </c>
      <c r="H822" s="105" t="s">
        <v>83</v>
      </c>
      <c r="I822" s="99">
        <f>40000000+175000000</f>
        <v>215000000</v>
      </c>
      <c r="J822" s="99"/>
      <c r="K822" s="99">
        <f>+I822</f>
        <v>215000000</v>
      </c>
      <c r="L822" s="99"/>
      <c r="M822" s="99"/>
      <c r="N822" s="99">
        <f>-I822+'[2]Extra 01'!H670+40000000</f>
        <v>65000000</v>
      </c>
    </row>
    <row r="823" spans="1:532" s="85" customFormat="1" ht="12.75" customHeight="1">
      <c r="A823" s="106"/>
      <c r="B823" s="257"/>
      <c r="C823" s="95"/>
      <c r="D823" s="95"/>
      <c r="E823" s="95"/>
      <c r="F823" s="256" t="s">
        <v>277</v>
      </c>
      <c r="G823" s="108"/>
      <c r="H823" s="105"/>
      <c r="I823" s="99"/>
      <c r="J823" s="99"/>
      <c r="K823" s="99"/>
      <c r="L823" s="99"/>
      <c r="M823" s="99"/>
      <c r="N823" s="99">
        <f>+E508-D508</f>
        <v>257696251.52702713</v>
      </c>
    </row>
    <row r="824" spans="1:532" s="135" customFormat="1" ht="12.75" customHeight="1">
      <c r="A824" s="111"/>
      <c r="B824" s="243"/>
      <c r="C824" s="112"/>
      <c r="D824" s="112"/>
      <c r="E824" s="112"/>
      <c r="F824" s="242"/>
      <c r="G824" s="113"/>
      <c r="H824" s="114"/>
      <c r="I824" s="115"/>
      <c r="J824" s="115"/>
      <c r="K824" s="115"/>
      <c r="L824" s="115"/>
      <c r="M824" s="115"/>
      <c r="N824" s="116"/>
      <c r="O824" s="85"/>
      <c r="P824" s="85"/>
      <c r="Q824" s="85"/>
      <c r="R824" s="85"/>
      <c r="S824" s="85"/>
      <c r="T824" s="85"/>
      <c r="U824" s="85"/>
      <c r="V824" s="85"/>
      <c r="W824" s="85"/>
      <c r="X824" s="85"/>
      <c r="Y824" s="85"/>
      <c r="Z824" s="85"/>
      <c r="AA824" s="85"/>
      <c r="AB824" s="85"/>
      <c r="AC824" s="85"/>
      <c r="AD824" s="85"/>
      <c r="AE824" s="85"/>
      <c r="AF824" s="85"/>
      <c r="AG824" s="85"/>
      <c r="AH824" s="85"/>
      <c r="AI824" s="85"/>
      <c r="AJ824" s="85"/>
      <c r="AK824" s="85"/>
      <c r="AL824" s="85"/>
      <c r="AM824" s="85"/>
      <c r="AN824" s="85"/>
      <c r="AO824" s="85"/>
      <c r="AP824" s="85"/>
      <c r="AQ824" s="85"/>
      <c r="AR824" s="85"/>
      <c r="AS824" s="85"/>
      <c r="AT824" s="85"/>
      <c r="AU824" s="85"/>
      <c r="AV824" s="85"/>
      <c r="AW824" s="85"/>
      <c r="AX824" s="85"/>
      <c r="AY824" s="85"/>
      <c r="AZ824" s="85"/>
      <c r="BA824" s="85"/>
      <c r="BB824" s="85"/>
      <c r="BC824" s="85"/>
      <c r="BD824" s="85"/>
      <c r="BE824" s="85"/>
      <c r="BF824" s="85"/>
      <c r="BG824" s="85"/>
      <c r="BH824" s="85"/>
      <c r="BI824" s="85"/>
      <c r="BJ824" s="85"/>
      <c r="BK824" s="85"/>
      <c r="BL824" s="85"/>
      <c r="BM824" s="85"/>
      <c r="BN824" s="85"/>
      <c r="BO824" s="85"/>
      <c r="BP824" s="85"/>
      <c r="BQ824" s="85"/>
      <c r="BR824" s="85"/>
      <c r="BS824" s="85"/>
      <c r="BT824" s="85"/>
      <c r="BU824" s="85"/>
      <c r="BV824" s="85"/>
      <c r="BW824" s="85"/>
      <c r="BX824" s="85"/>
      <c r="BY824" s="85"/>
      <c r="BZ824" s="85"/>
      <c r="CA824" s="85"/>
      <c r="CB824" s="85"/>
      <c r="CC824" s="85"/>
      <c r="CD824" s="85"/>
      <c r="CE824" s="85"/>
      <c r="CF824" s="85"/>
      <c r="CG824" s="85"/>
      <c r="CH824" s="85"/>
      <c r="CI824" s="85"/>
      <c r="CJ824" s="85"/>
      <c r="CK824" s="85"/>
      <c r="CL824" s="85"/>
      <c r="CM824" s="85"/>
      <c r="CN824" s="85"/>
      <c r="CO824" s="85"/>
      <c r="CP824" s="85"/>
      <c r="CQ824" s="85"/>
      <c r="CR824" s="85"/>
      <c r="CS824" s="85"/>
      <c r="CT824" s="85"/>
      <c r="CU824" s="85"/>
      <c r="CV824" s="85"/>
      <c r="CW824" s="85"/>
      <c r="CX824" s="85"/>
      <c r="CY824" s="85"/>
      <c r="CZ824" s="85"/>
      <c r="DA824" s="85"/>
      <c r="DB824" s="85"/>
      <c r="DC824" s="85"/>
      <c r="DD824" s="85"/>
      <c r="DE824" s="85"/>
      <c r="DF824" s="85"/>
      <c r="DG824" s="85"/>
      <c r="DH824" s="85"/>
      <c r="DI824" s="85"/>
      <c r="DJ824" s="85"/>
      <c r="DK824" s="85"/>
      <c r="DL824" s="85"/>
      <c r="DM824" s="85"/>
      <c r="DN824" s="85"/>
      <c r="DO824" s="85"/>
      <c r="DP824" s="85"/>
      <c r="DQ824" s="85"/>
      <c r="DR824" s="85"/>
      <c r="DS824" s="85"/>
      <c r="DT824" s="85"/>
      <c r="DU824" s="85"/>
      <c r="DV824" s="85"/>
      <c r="DW824" s="85"/>
      <c r="DX824" s="85"/>
      <c r="DY824" s="85"/>
      <c r="DZ824" s="85"/>
      <c r="EA824" s="85"/>
      <c r="EB824" s="85"/>
      <c r="EC824" s="85"/>
      <c r="ED824" s="85"/>
      <c r="EE824" s="85"/>
      <c r="EF824" s="85"/>
      <c r="EG824" s="85"/>
      <c r="EH824" s="85"/>
      <c r="EI824" s="85"/>
      <c r="EJ824" s="85"/>
      <c r="EK824" s="85"/>
      <c r="EL824" s="85"/>
      <c r="EM824" s="85"/>
      <c r="EN824" s="85"/>
      <c r="EO824" s="85"/>
      <c r="EP824" s="85"/>
      <c r="EQ824" s="85"/>
      <c r="ER824" s="85"/>
      <c r="ES824" s="85"/>
      <c r="ET824" s="85"/>
      <c r="EU824" s="85"/>
      <c r="EV824" s="85"/>
      <c r="EW824" s="85"/>
      <c r="EX824" s="85"/>
      <c r="EY824" s="85"/>
      <c r="EZ824" s="85"/>
      <c r="FA824" s="85"/>
      <c r="FB824" s="85"/>
      <c r="FC824" s="85"/>
      <c r="FD824" s="85"/>
      <c r="FE824" s="85"/>
      <c r="FF824" s="85"/>
      <c r="FG824" s="85"/>
      <c r="FH824" s="85"/>
      <c r="FI824" s="85"/>
      <c r="FJ824" s="85"/>
      <c r="FK824" s="85"/>
      <c r="FL824" s="85"/>
      <c r="FM824" s="85"/>
      <c r="FN824" s="85"/>
      <c r="FO824" s="85"/>
      <c r="FP824" s="85"/>
      <c r="FQ824" s="85"/>
      <c r="FR824" s="85"/>
      <c r="FS824" s="85"/>
      <c r="FT824" s="85"/>
      <c r="FU824" s="85"/>
      <c r="FV824" s="85"/>
      <c r="FW824" s="85"/>
      <c r="FX824" s="85"/>
      <c r="FY824" s="85"/>
      <c r="FZ824" s="85"/>
      <c r="GA824" s="85"/>
      <c r="GB824" s="85"/>
      <c r="GC824" s="85"/>
      <c r="GD824" s="85"/>
      <c r="GE824" s="85"/>
      <c r="GF824" s="85"/>
      <c r="GG824" s="85"/>
      <c r="GH824" s="85"/>
      <c r="GI824" s="85"/>
      <c r="GJ824" s="85"/>
      <c r="GK824" s="85"/>
      <c r="GL824" s="85"/>
      <c r="GM824" s="85"/>
      <c r="GN824" s="85"/>
      <c r="GO824" s="85"/>
      <c r="GP824" s="85"/>
      <c r="GQ824" s="85"/>
      <c r="GR824" s="85"/>
      <c r="GS824" s="85"/>
      <c r="GT824" s="85"/>
      <c r="GU824" s="85"/>
      <c r="GV824" s="85"/>
      <c r="GW824" s="85"/>
      <c r="GX824" s="85"/>
      <c r="GY824" s="85"/>
      <c r="GZ824" s="85"/>
      <c r="HA824" s="85"/>
      <c r="HB824" s="85"/>
      <c r="HC824" s="85"/>
      <c r="HD824" s="85"/>
      <c r="HE824" s="85"/>
      <c r="HF824" s="85"/>
      <c r="HG824" s="85"/>
      <c r="HH824" s="85"/>
      <c r="HI824" s="85"/>
      <c r="HJ824" s="85"/>
      <c r="HK824" s="85"/>
      <c r="HL824" s="85"/>
      <c r="HM824" s="85"/>
      <c r="HN824" s="85"/>
      <c r="HO824" s="85"/>
      <c r="HP824" s="85"/>
      <c r="HQ824" s="85"/>
      <c r="HR824" s="85"/>
      <c r="HS824" s="85"/>
      <c r="HT824" s="85"/>
      <c r="HU824" s="85"/>
      <c r="HV824" s="85"/>
      <c r="HW824" s="85"/>
      <c r="HX824" s="85"/>
      <c r="HY824" s="85"/>
      <c r="HZ824" s="85"/>
      <c r="IA824" s="85"/>
      <c r="IB824" s="85"/>
      <c r="IC824" s="85"/>
      <c r="ID824" s="85"/>
      <c r="IE824" s="85"/>
      <c r="IF824" s="85"/>
      <c r="IG824" s="85"/>
      <c r="IH824" s="85"/>
      <c r="II824" s="85"/>
      <c r="IJ824" s="85"/>
      <c r="IK824" s="85"/>
      <c r="IL824" s="85"/>
      <c r="IM824" s="85"/>
      <c r="IN824" s="85"/>
      <c r="IO824" s="85"/>
      <c r="IP824" s="85"/>
      <c r="IQ824" s="85"/>
      <c r="IR824" s="85"/>
      <c r="IS824" s="85"/>
      <c r="IT824" s="85"/>
      <c r="IU824" s="85"/>
      <c r="IV824" s="85"/>
      <c r="IW824" s="85"/>
      <c r="IX824" s="85"/>
      <c r="IY824" s="85"/>
      <c r="IZ824" s="85"/>
      <c r="JA824" s="85"/>
      <c r="JB824" s="85"/>
      <c r="JC824" s="85"/>
      <c r="JD824" s="85"/>
      <c r="JE824" s="85"/>
      <c r="JF824" s="85"/>
      <c r="JG824" s="85"/>
      <c r="JH824" s="85"/>
      <c r="JI824" s="85"/>
      <c r="JJ824" s="85"/>
      <c r="JK824" s="85"/>
      <c r="JL824" s="85"/>
      <c r="JM824" s="85"/>
      <c r="JN824" s="85"/>
      <c r="JO824" s="85"/>
      <c r="JP824" s="85"/>
      <c r="JQ824" s="85"/>
      <c r="JR824" s="85"/>
      <c r="JS824" s="85"/>
      <c r="JT824" s="85"/>
      <c r="JU824" s="85"/>
      <c r="JV824" s="85"/>
      <c r="JW824" s="85"/>
      <c r="JX824" s="85"/>
      <c r="JY824" s="85"/>
      <c r="JZ824" s="85"/>
      <c r="KA824" s="85"/>
      <c r="KB824" s="85"/>
      <c r="KC824" s="85"/>
      <c r="KD824" s="85"/>
      <c r="KE824" s="85"/>
      <c r="KF824" s="85"/>
      <c r="KG824" s="85"/>
      <c r="KH824" s="85"/>
      <c r="KI824" s="85"/>
      <c r="KJ824" s="85"/>
      <c r="KK824" s="85"/>
      <c r="KL824" s="85"/>
      <c r="KM824" s="85"/>
      <c r="KN824" s="85"/>
      <c r="KO824" s="85"/>
      <c r="KP824" s="85"/>
      <c r="KQ824" s="85"/>
      <c r="KR824" s="85"/>
      <c r="KS824" s="85"/>
      <c r="KT824" s="85"/>
      <c r="KU824" s="85"/>
      <c r="KV824" s="85"/>
      <c r="KW824" s="85"/>
      <c r="KX824" s="85"/>
      <c r="KY824" s="85"/>
      <c r="KZ824" s="85"/>
      <c r="LA824" s="85"/>
      <c r="LB824" s="85"/>
      <c r="LC824" s="85"/>
      <c r="LD824" s="85"/>
      <c r="LE824" s="85"/>
      <c r="LF824" s="85"/>
      <c r="LG824" s="85"/>
      <c r="LH824" s="85"/>
      <c r="LI824" s="85"/>
      <c r="LJ824" s="85"/>
      <c r="LK824" s="85"/>
      <c r="LL824" s="85"/>
      <c r="LM824" s="85"/>
      <c r="LN824" s="85"/>
      <c r="LO824" s="85"/>
      <c r="LP824" s="85"/>
      <c r="LQ824" s="85"/>
      <c r="LR824" s="85"/>
      <c r="LS824" s="85"/>
      <c r="LT824" s="85"/>
      <c r="LU824" s="85"/>
      <c r="LV824" s="85"/>
      <c r="LW824" s="85"/>
      <c r="LX824" s="85"/>
      <c r="LY824" s="85"/>
      <c r="LZ824" s="85"/>
      <c r="MA824" s="85"/>
      <c r="MB824" s="85"/>
      <c r="MC824" s="85"/>
      <c r="MD824" s="85"/>
      <c r="ME824" s="85"/>
      <c r="MF824" s="85"/>
      <c r="MG824" s="85"/>
      <c r="MH824" s="85"/>
      <c r="MI824" s="85"/>
      <c r="MJ824" s="85"/>
      <c r="MK824" s="85"/>
      <c r="ML824" s="85"/>
      <c r="MM824" s="85"/>
      <c r="MN824" s="85"/>
      <c r="MO824" s="85"/>
      <c r="MP824" s="85"/>
      <c r="MQ824" s="85"/>
      <c r="MR824" s="85"/>
      <c r="MS824" s="85"/>
      <c r="MT824" s="85"/>
      <c r="MU824" s="85"/>
      <c r="MV824" s="85"/>
      <c r="MW824" s="85"/>
      <c r="MX824" s="85"/>
      <c r="MY824" s="85"/>
      <c r="MZ824" s="85"/>
      <c r="NA824" s="85"/>
      <c r="NB824" s="85"/>
      <c r="NC824" s="85"/>
      <c r="ND824" s="85"/>
      <c r="NE824" s="85"/>
      <c r="NF824" s="85"/>
      <c r="NG824" s="85"/>
      <c r="NH824" s="85"/>
      <c r="NI824" s="85"/>
      <c r="NJ824" s="85"/>
      <c r="NK824" s="85"/>
      <c r="NL824" s="85"/>
      <c r="NM824" s="85"/>
      <c r="NN824" s="85"/>
      <c r="NO824" s="85"/>
      <c r="NP824" s="85"/>
      <c r="NQ824" s="85"/>
      <c r="NR824" s="85"/>
      <c r="NS824" s="85"/>
      <c r="NT824" s="85"/>
      <c r="NU824" s="85"/>
      <c r="NV824" s="85"/>
      <c r="NW824" s="85"/>
      <c r="NX824" s="85"/>
      <c r="NY824" s="85"/>
      <c r="NZ824" s="85"/>
      <c r="OA824" s="85"/>
      <c r="OB824" s="85"/>
      <c r="OC824" s="85"/>
      <c r="OD824" s="85"/>
      <c r="OE824" s="85"/>
      <c r="OF824" s="85"/>
      <c r="OG824" s="85"/>
      <c r="OH824" s="85"/>
      <c r="OI824" s="85"/>
      <c r="OJ824" s="85"/>
      <c r="OK824" s="85"/>
      <c r="OL824" s="85"/>
      <c r="OM824" s="85"/>
      <c r="ON824" s="85"/>
      <c r="OO824" s="85"/>
      <c r="OP824" s="85"/>
      <c r="OQ824" s="85"/>
      <c r="OR824" s="85"/>
      <c r="OS824" s="85"/>
      <c r="OT824" s="85"/>
      <c r="OU824" s="85"/>
      <c r="OV824" s="85"/>
      <c r="OW824" s="85"/>
      <c r="OX824" s="85"/>
      <c r="OY824" s="85"/>
      <c r="OZ824" s="85"/>
      <c r="PA824" s="85"/>
      <c r="PB824" s="85"/>
      <c r="PC824" s="85"/>
      <c r="PD824" s="85"/>
      <c r="PE824" s="85"/>
      <c r="PF824" s="85"/>
      <c r="PG824" s="85"/>
      <c r="PH824" s="85"/>
      <c r="PI824" s="85"/>
      <c r="PJ824" s="85"/>
      <c r="PK824" s="85"/>
      <c r="PL824" s="85"/>
      <c r="PM824" s="85"/>
      <c r="PN824" s="85"/>
      <c r="PO824" s="85"/>
      <c r="PP824" s="85"/>
      <c r="PQ824" s="85"/>
      <c r="PR824" s="85"/>
      <c r="PS824" s="85"/>
      <c r="PT824" s="85"/>
      <c r="PU824" s="85"/>
      <c r="PV824" s="85"/>
      <c r="PW824" s="85"/>
      <c r="PX824" s="85"/>
      <c r="PY824" s="85"/>
      <c r="PZ824" s="85"/>
      <c r="QA824" s="85"/>
      <c r="QB824" s="85"/>
      <c r="QC824" s="85"/>
      <c r="QD824" s="85"/>
      <c r="QE824" s="85"/>
      <c r="QF824" s="85"/>
      <c r="QG824" s="85"/>
      <c r="QH824" s="85"/>
      <c r="QI824" s="85"/>
      <c r="QJ824" s="85"/>
      <c r="QK824" s="85"/>
      <c r="QL824" s="85"/>
      <c r="QM824" s="85"/>
      <c r="QN824" s="85"/>
      <c r="QO824" s="85"/>
      <c r="QP824" s="85"/>
      <c r="QQ824" s="85"/>
      <c r="QR824" s="85"/>
      <c r="QS824" s="85"/>
      <c r="QT824" s="85"/>
      <c r="QU824" s="85"/>
      <c r="QV824" s="85"/>
      <c r="QW824" s="85"/>
      <c r="QX824" s="85"/>
      <c r="QY824" s="85"/>
      <c r="QZ824" s="85"/>
      <c r="RA824" s="85"/>
      <c r="RB824" s="85"/>
      <c r="RC824" s="85"/>
      <c r="RD824" s="85"/>
      <c r="RE824" s="85"/>
      <c r="RF824" s="85"/>
      <c r="RG824" s="85"/>
      <c r="RH824" s="85"/>
      <c r="RI824" s="85"/>
      <c r="RJ824" s="85"/>
      <c r="RK824" s="85"/>
      <c r="RL824" s="85"/>
      <c r="RM824" s="85"/>
      <c r="RN824" s="85"/>
      <c r="RO824" s="85"/>
      <c r="RP824" s="85"/>
      <c r="RQ824" s="85"/>
      <c r="RR824" s="85"/>
      <c r="RS824" s="85"/>
      <c r="RT824" s="85"/>
      <c r="RU824" s="85"/>
      <c r="RV824" s="85"/>
      <c r="RW824" s="85"/>
      <c r="RX824" s="85"/>
      <c r="RY824" s="85"/>
      <c r="RZ824" s="85"/>
      <c r="SA824" s="85"/>
      <c r="SB824" s="85"/>
      <c r="SC824" s="85"/>
      <c r="SD824" s="85"/>
      <c r="SE824" s="85"/>
      <c r="SF824" s="85"/>
      <c r="SG824" s="85"/>
      <c r="SH824" s="85"/>
      <c r="SI824" s="85"/>
      <c r="SJ824" s="85"/>
      <c r="SK824" s="85"/>
      <c r="SL824" s="85"/>
      <c r="SM824" s="85"/>
      <c r="SN824" s="85"/>
      <c r="SO824" s="85"/>
      <c r="SP824" s="85"/>
      <c r="SQ824" s="85"/>
      <c r="SR824" s="85"/>
      <c r="SS824" s="85"/>
      <c r="ST824" s="85"/>
      <c r="SU824" s="85"/>
      <c r="SV824" s="85"/>
      <c r="SW824" s="85"/>
      <c r="SX824" s="85"/>
      <c r="SY824" s="85"/>
      <c r="SZ824" s="85"/>
      <c r="TA824" s="85"/>
      <c r="TB824" s="85"/>
      <c r="TC824" s="85"/>
      <c r="TD824" s="85"/>
      <c r="TE824" s="85"/>
      <c r="TF824" s="85"/>
      <c r="TG824" s="85"/>
      <c r="TH824" s="85"/>
      <c r="TI824" s="85"/>
      <c r="TJ824" s="85"/>
      <c r="TK824" s="85"/>
      <c r="TL824" s="85"/>
    </row>
    <row r="825" spans="1:532" s="85" customFormat="1" ht="12.75" customHeight="1">
      <c r="A825" s="122" t="s">
        <v>402</v>
      </c>
      <c r="B825" s="175" t="s">
        <v>86</v>
      </c>
      <c r="C825" s="124"/>
      <c r="D825" s="173">
        <f>+'[2]Extra 01'!C748</f>
        <v>130940</v>
      </c>
      <c r="E825" s="173">
        <f>+D825</f>
        <v>130940</v>
      </c>
      <c r="F825" s="174"/>
      <c r="G825" s="174"/>
      <c r="H825" s="98"/>
      <c r="I825" s="140">
        <f t="shared" ref="I825:N825" si="30">SUM(I826)</f>
        <v>0</v>
      </c>
      <c r="J825" s="140">
        <f t="shared" si="30"/>
        <v>0</v>
      </c>
      <c r="K825" s="140">
        <f t="shared" si="30"/>
        <v>0</v>
      </c>
      <c r="L825" s="140">
        <f t="shared" si="30"/>
        <v>0</v>
      </c>
      <c r="M825" s="140">
        <f t="shared" si="30"/>
        <v>0</v>
      </c>
      <c r="N825" s="140">
        <f t="shared" si="30"/>
        <v>130940</v>
      </c>
    </row>
    <row r="826" spans="1:532" s="85" customFormat="1" ht="12.75" customHeight="1">
      <c r="A826" s="122"/>
      <c r="B826" s="240"/>
      <c r="C826" s="124"/>
      <c r="D826" s="124"/>
      <c r="E826" s="124"/>
      <c r="F826" s="174" t="s">
        <v>171</v>
      </c>
      <c r="G826" s="174" t="s">
        <v>403</v>
      </c>
      <c r="H826" s="98" t="s">
        <v>83</v>
      </c>
      <c r="I826" s="125"/>
      <c r="J826" s="125"/>
      <c r="K826" s="125">
        <f>+I826</f>
        <v>0</v>
      </c>
      <c r="L826" s="125"/>
      <c r="M826" s="125"/>
      <c r="N826" s="126">
        <f>-I826+'[2]Extra 01'!H749</f>
        <v>130940</v>
      </c>
    </row>
    <row r="827" spans="1:532" s="135" customFormat="1" ht="12.75" customHeight="1">
      <c r="A827" s="111"/>
      <c r="B827" s="243"/>
      <c r="C827" s="112"/>
      <c r="D827" s="112"/>
      <c r="E827" s="112"/>
      <c r="F827" s="242"/>
      <c r="G827" s="113"/>
      <c r="H827" s="114"/>
      <c r="I827" s="115"/>
      <c r="J827" s="115"/>
      <c r="K827" s="115"/>
      <c r="L827" s="115"/>
      <c r="M827" s="115"/>
      <c r="N827" s="116"/>
      <c r="O827" s="85"/>
      <c r="P827" s="85"/>
      <c r="Q827" s="85"/>
      <c r="R827" s="85"/>
      <c r="S827" s="85"/>
      <c r="T827" s="85"/>
      <c r="U827" s="85"/>
      <c r="V827" s="85"/>
      <c r="W827" s="85"/>
      <c r="X827" s="85"/>
      <c r="Y827" s="85"/>
      <c r="Z827" s="85"/>
      <c r="AA827" s="85"/>
      <c r="AB827" s="85"/>
      <c r="AC827" s="85"/>
      <c r="AD827" s="85"/>
      <c r="AE827" s="85"/>
      <c r="AF827" s="85"/>
      <c r="AG827" s="85"/>
      <c r="AH827" s="85"/>
      <c r="AI827" s="85"/>
      <c r="AJ827" s="85"/>
      <c r="AK827" s="85"/>
      <c r="AL827" s="85"/>
      <c r="AM827" s="85"/>
      <c r="AN827" s="85"/>
      <c r="AO827" s="85"/>
      <c r="AP827" s="85"/>
      <c r="AQ827" s="85"/>
      <c r="AR827" s="85"/>
      <c r="AS827" s="85"/>
      <c r="AT827" s="85"/>
      <c r="AU827" s="85"/>
      <c r="AV827" s="85"/>
      <c r="AW827" s="85"/>
      <c r="AX827" s="85"/>
      <c r="AY827" s="85"/>
      <c r="AZ827" s="85"/>
      <c r="BA827" s="85"/>
      <c r="BB827" s="85"/>
      <c r="BC827" s="85"/>
      <c r="BD827" s="85"/>
      <c r="BE827" s="85"/>
      <c r="BF827" s="85"/>
      <c r="BG827" s="85"/>
      <c r="BH827" s="85"/>
      <c r="BI827" s="85"/>
      <c r="BJ827" s="85"/>
      <c r="BK827" s="85"/>
      <c r="BL827" s="85"/>
      <c r="BM827" s="85"/>
      <c r="BN827" s="85"/>
      <c r="BO827" s="85"/>
      <c r="BP827" s="85"/>
      <c r="BQ827" s="85"/>
      <c r="BR827" s="85"/>
      <c r="BS827" s="85"/>
      <c r="BT827" s="85"/>
      <c r="BU827" s="85"/>
      <c r="BV827" s="85"/>
      <c r="BW827" s="85"/>
      <c r="BX827" s="85"/>
      <c r="BY827" s="85"/>
      <c r="BZ827" s="85"/>
      <c r="CA827" s="85"/>
      <c r="CB827" s="85"/>
      <c r="CC827" s="85"/>
      <c r="CD827" s="85"/>
      <c r="CE827" s="85"/>
      <c r="CF827" s="85"/>
      <c r="CG827" s="85"/>
      <c r="CH827" s="85"/>
      <c r="CI827" s="85"/>
      <c r="CJ827" s="85"/>
      <c r="CK827" s="85"/>
      <c r="CL827" s="85"/>
      <c r="CM827" s="85"/>
      <c r="CN827" s="85"/>
      <c r="CO827" s="85"/>
      <c r="CP827" s="85"/>
      <c r="CQ827" s="85"/>
      <c r="CR827" s="85"/>
      <c r="CS827" s="85"/>
      <c r="CT827" s="85"/>
      <c r="CU827" s="85"/>
      <c r="CV827" s="85"/>
      <c r="CW827" s="85"/>
      <c r="CX827" s="85"/>
      <c r="CY827" s="85"/>
      <c r="CZ827" s="85"/>
      <c r="DA827" s="85"/>
      <c r="DB827" s="85"/>
      <c r="DC827" s="85"/>
      <c r="DD827" s="85"/>
      <c r="DE827" s="85"/>
      <c r="DF827" s="85"/>
      <c r="DG827" s="85"/>
      <c r="DH827" s="85"/>
      <c r="DI827" s="85"/>
      <c r="DJ827" s="85"/>
      <c r="DK827" s="85"/>
      <c r="DL827" s="85"/>
      <c r="DM827" s="85"/>
      <c r="DN827" s="85"/>
      <c r="DO827" s="85"/>
      <c r="DP827" s="85"/>
      <c r="DQ827" s="85"/>
      <c r="DR827" s="85"/>
      <c r="DS827" s="85"/>
      <c r="DT827" s="85"/>
      <c r="DU827" s="85"/>
      <c r="DV827" s="85"/>
      <c r="DW827" s="85"/>
      <c r="DX827" s="85"/>
      <c r="DY827" s="85"/>
      <c r="DZ827" s="85"/>
      <c r="EA827" s="85"/>
      <c r="EB827" s="85"/>
      <c r="EC827" s="85"/>
      <c r="ED827" s="85"/>
      <c r="EE827" s="85"/>
      <c r="EF827" s="85"/>
      <c r="EG827" s="85"/>
      <c r="EH827" s="85"/>
      <c r="EI827" s="85"/>
      <c r="EJ827" s="85"/>
      <c r="EK827" s="85"/>
      <c r="EL827" s="85"/>
      <c r="EM827" s="85"/>
      <c r="EN827" s="85"/>
      <c r="EO827" s="85"/>
      <c r="EP827" s="85"/>
      <c r="EQ827" s="85"/>
      <c r="ER827" s="85"/>
      <c r="ES827" s="85"/>
      <c r="ET827" s="85"/>
      <c r="EU827" s="85"/>
      <c r="EV827" s="85"/>
      <c r="EW827" s="85"/>
      <c r="EX827" s="85"/>
      <c r="EY827" s="85"/>
      <c r="EZ827" s="85"/>
      <c r="FA827" s="85"/>
      <c r="FB827" s="85"/>
      <c r="FC827" s="85"/>
      <c r="FD827" s="85"/>
      <c r="FE827" s="85"/>
      <c r="FF827" s="85"/>
      <c r="FG827" s="85"/>
      <c r="FH827" s="85"/>
      <c r="FI827" s="85"/>
      <c r="FJ827" s="85"/>
      <c r="FK827" s="85"/>
      <c r="FL827" s="85"/>
      <c r="FM827" s="85"/>
      <c r="FN827" s="85"/>
      <c r="FO827" s="85"/>
      <c r="FP827" s="85"/>
      <c r="FQ827" s="85"/>
      <c r="FR827" s="85"/>
      <c r="FS827" s="85"/>
      <c r="FT827" s="85"/>
      <c r="FU827" s="85"/>
      <c r="FV827" s="85"/>
      <c r="FW827" s="85"/>
      <c r="FX827" s="85"/>
      <c r="FY827" s="85"/>
      <c r="FZ827" s="85"/>
      <c r="GA827" s="85"/>
      <c r="GB827" s="85"/>
      <c r="GC827" s="85"/>
      <c r="GD827" s="85"/>
      <c r="GE827" s="85"/>
      <c r="GF827" s="85"/>
      <c r="GG827" s="85"/>
      <c r="GH827" s="85"/>
      <c r="GI827" s="85"/>
      <c r="GJ827" s="85"/>
      <c r="GK827" s="85"/>
      <c r="GL827" s="85"/>
      <c r="GM827" s="85"/>
      <c r="GN827" s="85"/>
      <c r="GO827" s="85"/>
      <c r="GP827" s="85"/>
      <c r="GQ827" s="85"/>
      <c r="GR827" s="85"/>
      <c r="GS827" s="85"/>
      <c r="GT827" s="85"/>
      <c r="GU827" s="85"/>
      <c r="GV827" s="85"/>
      <c r="GW827" s="85"/>
      <c r="GX827" s="85"/>
      <c r="GY827" s="85"/>
      <c r="GZ827" s="85"/>
      <c r="HA827" s="85"/>
      <c r="HB827" s="85"/>
      <c r="HC827" s="85"/>
      <c r="HD827" s="85"/>
      <c r="HE827" s="85"/>
      <c r="HF827" s="85"/>
      <c r="HG827" s="85"/>
      <c r="HH827" s="85"/>
      <c r="HI827" s="85"/>
      <c r="HJ827" s="85"/>
      <c r="HK827" s="85"/>
      <c r="HL827" s="85"/>
      <c r="HM827" s="85"/>
      <c r="HN827" s="85"/>
      <c r="HO827" s="85"/>
      <c r="HP827" s="85"/>
      <c r="HQ827" s="85"/>
      <c r="HR827" s="85"/>
      <c r="HS827" s="85"/>
      <c r="HT827" s="85"/>
      <c r="HU827" s="85"/>
      <c r="HV827" s="85"/>
      <c r="HW827" s="85"/>
      <c r="HX827" s="85"/>
      <c r="HY827" s="85"/>
      <c r="HZ827" s="85"/>
      <c r="IA827" s="85"/>
      <c r="IB827" s="85"/>
      <c r="IC827" s="85"/>
      <c r="ID827" s="85"/>
      <c r="IE827" s="85"/>
      <c r="IF827" s="85"/>
      <c r="IG827" s="85"/>
      <c r="IH827" s="85"/>
      <c r="II827" s="85"/>
      <c r="IJ827" s="85"/>
      <c r="IK827" s="85"/>
      <c r="IL827" s="85"/>
      <c r="IM827" s="85"/>
      <c r="IN827" s="85"/>
      <c r="IO827" s="85"/>
      <c r="IP827" s="85"/>
      <c r="IQ827" s="85"/>
      <c r="IR827" s="85"/>
      <c r="IS827" s="85"/>
      <c r="IT827" s="85"/>
      <c r="IU827" s="85"/>
      <c r="IV827" s="85"/>
      <c r="IW827" s="85"/>
      <c r="IX827" s="85"/>
      <c r="IY827" s="85"/>
      <c r="IZ827" s="85"/>
      <c r="JA827" s="85"/>
      <c r="JB827" s="85"/>
      <c r="JC827" s="85"/>
      <c r="JD827" s="85"/>
      <c r="JE827" s="85"/>
      <c r="JF827" s="85"/>
      <c r="JG827" s="85"/>
      <c r="JH827" s="85"/>
      <c r="JI827" s="85"/>
      <c r="JJ827" s="85"/>
      <c r="JK827" s="85"/>
      <c r="JL827" s="85"/>
      <c r="JM827" s="85"/>
      <c r="JN827" s="85"/>
      <c r="JO827" s="85"/>
      <c r="JP827" s="85"/>
      <c r="JQ827" s="85"/>
      <c r="JR827" s="85"/>
      <c r="JS827" s="85"/>
      <c r="JT827" s="85"/>
      <c r="JU827" s="85"/>
      <c r="JV827" s="85"/>
      <c r="JW827" s="85"/>
      <c r="JX827" s="85"/>
      <c r="JY827" s="85"/>
      <c r="JZ827" s="85"/>
      <c r="KA827" s="85"/>
      <c r="KB827" s="85"/>
      <c r="KC827" s="85"/>
      <c r="KD827" s="85"/>
      <c r="KE827" s="85"/>
      <c r="KF827" s="85"/>
      <c r="KG827" s="85"/>
      <c r="KH827" s="85"/>
      <c r="KI827" s="85"/>
      <c r="KJ827" s="85"/>
      <c r="KK827" s="85"/>
      <c r="KL827" s="85"/>
      <c r="KM827" s="85"/>
      <c r="KN827" s="85"/>
      <c r="KO827" s="85"/>
      <c r="KP827" s="85"/>
      <c r="KQ827" s="85"/>
      <c r="KR827" s="85"/>
      <c r="KS827" s="85"/>
      <c r="KT827" s="85"/>
      <c r="KU827" s="85"/>
      <c r="KV827" s="85"/>
      <c r="KW827" s="85"/>
      <c r="KX827" s="85"/>
      <c r="KY827" s="85"/>
      <c r="KZ827" s="85"/>
      <c r="LA827" s="85"/>
      <c r="LB827" s="85"/>
      <c r="LC827" s="85"/>
      <c r="LD827" s="85"/>
      <c r="LE827" s="85"/>
      <c r="LF827" s="85"/>
      <c r="LG827" s="85"/>
      <c r="LH827" s="85"/>
      <c r="LI827" s="85"/>
      <c r="LJ827" s="85"/>
      <c r="LK827" s="85"/>
      <c r="LL827" s="85"/>
      <c r="LM827" s="85"/>
      <c r="LN827" s="85"/>
      <c r="LO827" s="85"/>
      <c r="LP827" s="85"/>
      <c r="LQ827" s="85"/>
      <c r="LR827" s="85"/>
      <c r="LS827" s="85"/>
      <c r="LT827" s="85"/>
      <c r="LU827" s="85"/>
      <c r="LV827" s="85"/>
      <c r="LW827" s="85"/>
      <c r="LX827" s="85"/>
      <c r="LY827" s="85"/>
      <c r="LZ827" s="85"/>
      <c r="MA827" s="85"/>
      <c r="MB827" s="85"/>
      <c r="MC827" s="85"/>
      <c r="MD827" s="85"/>
      <c r="ME827" s="85"/>
      <c r="MF827" s="85"/>
      <c r="MG827" s="85"/>
      <c r="MH827" s="85"/>
      <c r="MI827" s="85"/>
      <c r="MJ827" s="85"/>
      <c r="MK827" s="85"/>
      <c r="ML827" s="85"/>
      <c r="MM827" s="85"/>
      <c r="MN827" s="85"/>
      <c r="MO827" s="85"/>
      <c r="MP827" s="85"/>
      <c r="MQ827" s="85"/>
      <c r="MR827" s="85"/>
      <c r="MS827" s="85"/>
      <c r="MT827" s="85"/>
      <c r="MU827" s="85"/>
      <c r="MV827" s="85"/>
      <c r="MW827" s="85"/>
      <c r="MX827" s="85"/>
      <c r="MY827" s="85"/>
      <c r="MZ827" s="85"/>
      <c r="NA827" s="85"/>
      <c r="NB827" s="85"/>
      <c r="NC827" s="85"/>
      <c r="ND827" s="85"/>
      <c r="NE827" s="85"/>
      <c r="NF827" s="85"/>
      <c r="NG827" s="85"/>
      <c r="NH827" s="85"/>
      <c r="NI827" s="85"/>
      <c r="NJ827" s="85"/>
      <c r="NK827" s="85"/>
      <c r="NL827" s="85"/>
      <c r="NM827" s="85"/>
      <c r="NN827" s="85"/>
      <c r="NO827" s="85"/>
      <c r="NP827" s="85"/>
      <c r="NQ827" s="85"/>
      <c r="NR827" s="85"/>
      <c r="NS827" s="85"/>
      <c r="NT827" s="85"/>
      <c r="NU827" s="85"/>
      <c r="NV827" s="85"/>
      <c r="NW827" s="85"/>
      <c r="NX827" s="85"/>
      <c r="NY827" s="85"/>
      <c r="NZ827" s="85"/>
      <c r="OA827" s="85"/>
      <c r="OB827" s="85"/>
      <c r="OC827" s="85"/>
      <c r="OD827" s="85"/>
      <c r="OE827" s="85"/>
      <c r="OF827" s="85"/>
      <c r="OG827" s="85"/>
      <c r="OH827" s="85"/>
      <c r="OI827" s="85"/>
      <c r="OJ827" s="85"/>
      <c r="OK827" s="85"/>
      <c r="OL827" s="85"/>
      <c r="OM827" s="85"/>
      <c r="ON827" s="85"/>
      <c r="OO827" s="85"/>
      <c r="OP827" s="85"/>
      <c r="OQ827" s="85"/>
      <c r="OR827" s="85"/>
      <c r="OS827" s="85"/>
      <c r="OT827" s="85"/>
      <c r="OU827" s="85"/>
      <c r="OV827" s="85"/>
      <c r="OW827" s="85"/>
      <c r="OX827" s="85"/>
      <c r="OY827" s="85"/>
      <c r="OZ827" s="85"/>
      <c r="PA827" s="85"/>
      <c r="PB827" s="85"/>
      <c r="PC827" s="85"/>
      <c r="PD827" s="85"/>
      <c r="PE827" s="85"/>
      <c r="PF827" s="85"/>
      <c r="PG827" s="85"/>
      <c r="PH827" s="85"/>
      <c r="PI827" s="85"/>
      <c r="PJ827" s="85"/>
      <c r="PK827" s="85"/>
      <c r="PL827" s="85"/>
      <c r="PM827" s="85"/>
      <c r="PN827" s="85"/>
      <c r="PO827" s="85"/>
      <c r="PP827" s="85"/>
      <c r="PQ827" s="85"/>
      <c r="PR827" s="85"/>
      <c r="PS827" s="85"/>
      <c r="PT827" s="85"/>
      <c r="PU827" s="85"/>
      <c r="PV827" s="85"/>
      <c r="PW827" s="85"/>
      <c r="PX827" s="85"/>
      <c r="PY827" s="85"/>
      <c r="PZ827" s="85"/>
      <c r="QA827" s="85"/>
      <c r="QB827" s="85"/>
      <c r="QC827" s="85"/>
      <c r="QD827" s="85"/>
      <c r="QE827" s="85"/>
      <c r="QF827" s="85"/>
      <c r="QG827" s="85"/>
      <c r="QH827" s="85"/>
      <c r="QI827" s="85"/>
      <c r="QJ827" s="85"/>
      <c r="QK827" s="85"/>
      <c r="QL827" s="85"/>
      <c r="QM827" s="85"/>
      <c r="QN827" s="85"/>
      <c r="QO827" s="85"/>
      <c r="QP827" s="85"/>
      <c r="QQ827" s="85"/>
      <c r="QR827" s="85"/>
      <c r="QS827" s="85"/>
      <c r="QT827" s="85"/>
      <c r="QU827" s="85"/>
      <c r="QV827" s="85"/>
      <c r="QW827" s="85"/>
      <c r="QX827" s="85"/>
      <c r="QY827" s="85"/>
      <c r="QZ827" s="85"/>
      <c r="RA827" s="85"/>
      <c r="RB827" s="85"/>
      <c r="RC827" s="85"/>
      <c r="RD827" s="85"/>
      <c r="RE827" s="85"/>
      <c r="RF827" s="85"/>
      <c r="RG827" s="85"/>
      <c r="RH827" s="85"/>
      <c r="RI827" s="85"/>
      <c r="RJ827" s="85"/>
      <c r="RK827" s="85"/>
      <c r="RL827" s="85"/>
      <c r="RM827" s="85"/>
      <c r="RN827" s="85"/>
      <c r="RO827" s="85"/>
      <c r="RP827" s="85"/>
      <c r="RQ827" s="85"/>
      <c r="RR827" s="85"/>
      <c r="RS827" s="85"/>
      <c r="RT827" s="85"/>
      <c r="RU827" s="85"/>
      <c r="RV827" s="85"/>
      <c r="RW827" s="85"/>
      <c r="RX827" s="85"/>
      <c r="RY827" s="85"/>
      <c r="RZ827" s="85"/>
      <c r="SA827" s="85"/>
      <c r="SB827" s="85"/>
      <c r="SC827" s="85"/>
      <c r="SD827" s="85"/>
      <c r="SE827" s="85"/>
      <c r="SF827" s="85"/>
      <c r="SG827" s="85"/>
      <c r="SH827" s="85"/>
      <c r="SI827" s="85"/>
      <c r="SJ827" s="85"/>
      <c r="SK827" s="85"/>
      <c r="SL827" s="85"/>
      <c r="SM827" s="85"/>
      <c r="SN827" s="85"/>
      <c r="SO827" s="85"/>
      <c r="SP827" s="85"/>
      <c r="SQ827" s="85"/>
      <c r="SR827" s="85"/>
      <c r="SS827" s="85"/>
      <c r="ST827" s="85"/>
      <c r="SU827" s="85"/>
      <c r="SV827" s="85"/>
      <c r="SW827" s="85"/>
      <c r="SX827" s="85"/>
      <c r="SY827" s="85"/>
      <c r="SZ827" s="85"/>
      <c r="TA827" s="85"/>
      <c r="TB827" s="85"/>
      <c r="TC827" s="85"/>
      <c r="TD827" s="85"/>
      <c r="TE827" s="85"/>
      <c r="TF827" s="85"/>
      <c r="TG827" s="85"/>
      <c r="TH827" s="85"/>
      <c r="TI827" s="85"/>
      <c r="TJ827" s="85"/>
      <c r="TK827" s="85"/>
      <c r="TL827" s="85"/>
    </row>
    <row r="828" spans="1:532" s="85" customFormat="1" ht="12.75" customHeight="1">
      <c r="A828" s="122" t="s">
        <v>404</v>
      </c>
      <c r="B828" s="175" t="s">
        <v>87</v>
      </c>
      <c r="C828" s="124"/>
      <c r="D828" s="173">
        <f>+'[2]Extra 01'!C752</f>
        <v>55150298.149999999</v>
      </c>
      <c r="E828" s="173">
        <f>+D828</f>
        <v>55150298.149999999</v>
      </c>
      <c r="F828" s="174"/>
      <c r="G828" s="174"/>
      <c r="H828" s="98"/>
      <c r="I828" s="140">
        <f t="shared" ref="I828:N828" si="31">SUM(I829)</f>
        <v>55150298.149999999</v>
      </c>
      <c r="J828" s="140">
        <f t="shared" si="31"/>
        <v>55150298.149999999</v>
      </c>
      <c r="K828" s="140">
        <f t="shared" si="31"/>
        <v>0</v>
      </c>
      <c r="L828" s="140">
        <f t="shared" si="31"/>
        <v>0</v>
      </c>
      <c r="M828" s="140">
        <f t="shared" si="31"/>
        <v>0</v>
      </c>
      <c r="N828" s="140">
        <f t="shared" si="31"/>
        <v>0</v>
      </c>
    </row>
    <row r="829" spans="1:532" s="85" customFormat="1" ht="12.75" customHeight="1">
      <c r="A829" s="122"/>
      <c r="B829" s="240"/>
      <c r="C829" s="124"/>
      <c r="D829" s="124"/>
      <c r="E829" s="124"/>
      <c r="F829" s="174" t="s">
        <v>171</v>
      </c>
      <c r="G829" s="97" t="s">
        <v>405</v>
      </c>
      <c r="H829" s="98" t="s">
        <v>82</v>
      </c>
      <c r="I829" s="173">
        <v>55150298.149999999</v>
      </c>
      <c r="J829" s="125">
        <f>+I829</f>
        <v>55150298.149999999</v>
      </c>
      <c r="K829" s="125"/>
      <c r="L829" s="125"/>
      <c r="M829" s="125"/>
      <c r="N829" s="141">
        <f>-I829+'[2]Extra 01'!H753</f>
        <v>0</v>
      </c>
    </row>
    <row r="830" spans="1:532" s="135" customFormat="1" ht="12.75" customHeight="1">
      <c r="A830" s="111"/>
      <c r="B830" s="243"/>
      <c r="C830" s="112"/>
      <c r="D830" s="112"/>
      <c r="E830" s="112"/>
      <c r="F830" s="242"/>
      <c r="G830" s="113"/>
      <c r="H830" s="114"/>
      <c r="I830" s="115"/>
      <c r="J830" s="115"/>
      <c r="K830" s="115"/>
      <c r="L830" s="115"/>
      <c r="M830" s="115"/>
      <c r="N830" s="116"/>
      <c r="O830" s="85"/>
      <c r="P830" s="85"/>
      <c r="Q830" s="85"/>
      <c r="R830" s="85"/>
      <c r="S830" s="85"/>
      <c r="T830" s="85"/>
      <c r="U830" s="85"/>
      <c r="V830" s="85"/>
      <c r="W830" s="85"/>
      <c r="X830" s="85"/>
      <c r="Y830" s="85"/>
      <c r="Z830" s="85"/>
      <c r="AA830" s="85"/>
      <c r="AB830" s="85"/>
      <c r="AC830" s="85"/>
      <c r="AD830" s="85"/>
      <c r="AE830" s="85"/>
      <c r="AF830" s="85"/>
      <c r="AG830" s="85"/>
      <c r="AH830" s="85"/>
      <c r="AI830" s="85"/>
      <c r="AJ830" s="85"/>
      <c r="AK830" s="85"/>
      <c r="AL830" s="85"/>
      <c r="AM830" s="85"/>
      <c r="AN830" s="85"/>
      <c r="AO830" s="85"/>
      <c r="AP830" s="85"/>
      <c r="AQ830" s="85"/>
      <c r="AR830" s="85"/>
      <c r="AS830" s="85"/>
      <c r="AT830" s="85"/>
      <c r="AU830" s="85"/>
      <c r="AV830" s="85"/>
      <c r="AW830" s="85"/>
      <c r="AX830" s="85"/>
      <c r="AY830" s="85"/>
      <c r="AZ830" s="85"/>
      <c r="BA830" s="85"/>
      <c r="BB830" s="85"/>
      <c r="BC830" s="85"/>
      <c r="BD830" s="85"/>
      <c r="BE830" s="85"/>
      <c r="BF830" s="85"/>
      <c r="BG830" s="85"/>
      <c r="BH830" s="85"/>
      <c r="BI830" s="85"/>
      <c r="BJ830" s="85"/>
      <c r="BK830" s="85"/>
      <c r="BL830" s="85"/>
      <c r="BM830" s="85"/>
      <c r="BN830" s="85"/>
      <c r="BO830" s="85"/>
      <c r="BP830" s="85"/>
      <c r="BQ830" s="85"/>
      <c r="BR830" s="85"/>
      <c r="BS830" s="85"/>
      <c r="BT830" s="85"/>
      <c r="BU830" s="85"/>
      <c r="BV830" s="85"/>
      <c r="BW830" s="85"/>
      <c r="BX830" s="85"/>
      <c r="BY830" s="85"/>
      <c r="BZ830" s="85"/>
      <c r="CA830" s="85"/>
      <c r="CB830" s="85"/>
      <c r="CC830" s="85"/>
      <c r="CD830" s="85"/>
      <c r="CE830" s="85"/>
      <c r="CF830" s="85"/>
      <c r="CG830" s="85"/>
      <c r="CH830" s="85"/>
      <c r="CI830" s="85"/>
      <c r="CJ830" s="85"/>
      <c r="CK830" s="85"/>
      <c r="CL830" s="85"/>
      <c r="CM830" s="85"/>
      <c r="CN830" s="85"/>
      <c r="CO830" s="85"/>
      <c r="CP830" s="85"/>
      <c r="CQ830" s="85"/>
      <c r="CR830" s="85"/>
      <c r="CS830" s="85"/>
      <c r="CT830" s="85"/>
      <c r="CU830" s="85"/>
      <c r="CV830" s="85"/>
      <c r="CW830" s="85"/>
      <c r="CX830" s="85"/>
      <c r="CY830" s="85"/>
      <c r="CZ830" s="85"/>
      <c r="DA830" s="85"/>
      <c r="DB830" s="85"/>
      <c r="DC830" s="85"/>
      <c r="DD830" s="85"/>
      <c r="DE830" s="85"/>
      <c r="DF830" s="85"/>
      <c r="DG830" s="85"/>
      <c r="DH830" s="85"/>
      <c r="DI830" s="85"/>
      <c r="DJ830" s="85"/>
      <c r="DK830" s="85"/>
      <c r="DL830" s="85"/>
      <c r="DM830" s="85"/>
      <c r="DN830" s="85"/>
      <c r="DO830" s="85"/>
      <c r="DP830" s="85"/>
      <c r="DQ830" s="85"/>
      <c r="DR830" s="85"/>
      <c r="DS830" s="85"/>
      <c r="DT830" s="85"/>
      <c r="DU830" s="85"/>
      <c r="DV830" s="85"/>
      <c r="DW830" s="85"/>
      <c r="DX830" s="85"/>
      <c r="DY830" s="85"/>
      <c r="DZ830" s="85"/>
      <c r="EA830" s="85"/>
      <c r="EB830" s="85"/>
      <c r="EC830" s="85"/>
      <c r="ED830" s="85"/>
      <c r="EE830" s="85"/>
      <c r="EF830" s="85"/>
      <c r="EG830" s="85"/>
      <c r="EH830" s="85"/>
      <c r="EI830" s="85"/>
      <c r="EJ830" s="85"/>
      <c r="EK830" s="85"/>
      <c r="EL830" s="85"/>
      <c r="EM830" s="85"/>
      <c r="EN830" s="85"/>
      <c r="EO830" s="85"/>
      <c r="EP830" s="85"/>
      <c r="EQ830" s="85"/>
      <c r="ER830" s="85"/>
      <c r="ES830" s="85"/>
      <c r="ET830" s="85"/>
      <c r="EU830" s="85"/>
      <c r="EV830" s="85"/>
      <c r="EW830" s="85"/>
      <c r="EX830" s="85"/>
      <c r="EY830" s="85"/>
      <c r="EZ830" s="85"/>
      <c r="FA830" s="85"/>
      <c r="FB830" s="85"/>
      <c r="FC830" s="85"/>
      <c r="FD830" s="85"/>
      <c r="FE830" s="85"/>
      <c r="FF830" s="85"/>
      <c r="FG830" s="85"/>
      <c r="FH830" s="85"/>
      <c r="FI830" s="85"/>
      <c r="FJ830" s="85"/>
      <c r="FK830" s="85"/>
      <c r="FL830" s="85"/>
      <c r="FM830" s="85"/>
      <c r="FN830" s="85"/>
      <c r="FO830" s="85"/>
      <c r="FP830" s="85"/>
      <c r="FQ830" s="85"/>
      <c r="FR830" s="85"/>
      <c r="FS830" s="85"/>
      <c r="FT830" s="85"/>
      <c r="FU830" s="85"/>
      <c r="FV830" s="85"/>
      <c r="FW830" s="85"/>
      <c r="FX830" s="85"/>
      <c r="FY830" s="85"/>
      <c r="FZ830" s="85"/>
      <c r="GA830" s="85"/>
      <c r="GB830" s="85"/>
      <c r="GC830" s="85"/>
      <c r="GD830" s="85"/>
      <c r="GE830" s="85"/>
      <c r="GF830" s="85"/>
      <c r="GG830" s="85"/>
      <c r="GH830" s="85"/>
      <c r="GI830" s="85"/>
      <c r="GJ830" s="85"/>
      <c r="GK830" s="85"/>
      <c r="GL830" s="85"/>
      <c r="GM830" s="85"/>
      <c r="GN830" s="85"/>
      <c r="GO830" s="85"/>
      <c r="GP830" s="85"/>
      <c r="GQ830" s="85"/>
      <c r="GR830" s="85"/>
      <c r="GS830" s="85"/>
      <c r="GT830" s="85"/>
      <c r="GU830" s="85"/>
      <c r="GV830" s="85"/>
      <c r="GW830" s="85"/>
      <c r="GX830" s="85"/>
      <c r="GY830" s="85"/>
      <c r="GZ830" s="85"/>
      <c r="HA830" s="85"/>
      <c r="HB830" s="85"/>
      <c r="HC830" s="85"/>
      <c r="HD830" s="85"/>
      <c r="HE830" s="85"/>
      <c r="HF830" s="85"/>
      <c r="HG830" s="85"/>
      <c r="HH830" s="85"/>
      <c r="HI830" s="85"/>
      <c r="HJ830" s="85"/>
      <c r="HK830" s="85"/>
      <c r="HL830" s="85"/>
      <c r="HM830" s="85"/>
      <c r="HN830" s="85"/>
      <c r="HO830" s="85"/>
      <c r="HP830" s="85"/>
      <c r="HQ830" s="85"/>
      <c r="HR830" s="85"/>
      <c r="HS830" s="85"/>
      <c r="HT830" s="85"/>
      <c r="HU830" s="85"/>
      <c r="HV830" s="85"/>
      <c r="HW830" s="85"/>
      <c r="HX830" s="85"/>
      <c r="HY830" s="85"/>
      <c r="HZ830" s="85"/>
      <c r="IA830" s="85"/>
      <c r="IB830" s="85"/>
      <c r="IC830" s="85"/>
      <c r="ID830" s="85"/>
      <c r="IE830" s="85"/>
      <c r="IF830" s="85"/>
      <c r="IG830" s="85"/>
      <c r="IH830" s="85"/>
      <c r="II830" s="85"/>
      <c r="IJ830" s="85"/>
      <c r="IK830" s="85"/>
      <c r="IL830" s="85"/>
      <c r="IM830" s="85"/>
      <c r="IN830" s="85"/>
      <c r="IO830" s="85"/>
      <c r="IP830" s="85"/>
      <c r="IQ830" s="85"/>
      <c r="IR830" s="85"/>
      <c r="IS830" s="85"/>
      <c r="IT830" s="85"/>
      <c r="IU830" s="85"/>
      <c r="IV830" s="85"/>
      <c r="IW830" s="85"/>
      <c r="IX830" s="85"/>
      <c r="IY830" s="85"/>
      <c r="IZ830" s="85"/>
      <c r="JA830" s="85"/>
      <c r="JB830" s="85"/>
      <c r="JC830" s="85"/>
      <c r="JD830" s="85"/>
      <c r="JE830" s="85"/>
      <c r="JF830" s="85"/>
      <c r="JG830" s="85"/>
      <c r="JH830" s="85"/>
      <c r="JI830" s="85"/>
      <c r="JJ830" s="85"/>
      <c r="JK830" s="85"/>
      <c r="JL830" s="85"/>
      <c r="JM830" s="85"/>
      <c r="JN830" s="85"/>
      <c r="JO830" s="85"/>
      <c r="JP830" s="85"/>
      <c r="JQ830" s="85"/>
      <c r="JR830" s="85"/>
      <c r="JS830" s="85"/>
      <c r="JT830" s="85"/>
      <c r="JU830" s="85"/>
      <c r="JV830" s="85"/>
      <c r="JW830" s="85"/>
      <c r="JX830" s="85"/>
      <c r="JY830" s="85"/>
      <c r="JZ830" s="85"/>
      <c r="KA830" s="85"/>
      <c r="KB830" s="85"/>
      <c r="KC830" s="85"/>
      <c r="KD830" s="85"/>
      <c r="KE830" s="85"/>
      <c r="KF830" s="85"/>
      <c r="KG830" s="85"/>
      <c r="KH830" s="85"/>
      <c r="KI830" s="85"/>
      <c r="KJ830" s="85"/>
      <c r="KK830" s="85"/>
      <c r="KL830" s="85"/>
      <c r="KM830" s="85"/>
      <c r="KN830" s="85"/>
      <c r="KO830" s="85"/>
      <c r="KP830" s="85"/>
      <c r="KQ830" s="85"/>
      <c r="KR830" s="85"/>
      <c r="KS830" s="85"/>
      <c r="KT830" s="85"/>
      <c r="KU830" s="85"/>
      <c r="KV830" s="85"/>
      <c r="KW830" s="85"/>
      <c r="KX830" s="85"/>
      <c r="KY830" s="85"/>
      <c r="KZ830" s="85"/>
      <c r="LA830" s="85"/>
      <c r="LB830" s="85"/>
      <c r="LC830" s="85"/>
      <c r="LD830" s="85"/>
      <c r="LE830" s="85"/>
      <c r="LF830" s="85"/>
      <c r="LG830" s="85"/>
      <c r="LH830" s="85"/>
      <c r="LI830" s="85"/>
      <c r="LJ830" s="85"/>
      <c r="LK830" s="85"/>
      <c r="LL830" s="85"/>
      <c r="LM830" s="85"/>
      <c r="LN830" s="85"/>
      <c r="LO830" s="85"/>
      <c r="LP830" s="85"/>
      <c r="LQ830" s="85"/>
      <c r="LR830" s="85"/>
      <c r="LS830" s="85"/>
      <c r="LT830" s="85"/>
      <c r="LU830" s="85"/>
      <c r="LV830" s="85"/>
      <c r="LW830" s="85"/>
      <c r="LX830" s="85"/>
      <c r="LY830" s="85"/>
      <c r="LZ830" s="85"/>
      <c r="MA830" s="85"/>
      <c r="MB830" s="85"/>
      <c r="MC830" s="85"/>
      <c r="MD830" s="85"/>
      <c r="ME830" s="85"/>
      <c r="MF830" s="85"/>
      <c r="MG830" s="85"/>
      <c r="MH830" s="85"/>
      <c r="MI830" s="85"/>
      <c r="MJ830" s="85"/>
      <c r="MK830" s="85"/>
      <c r="ML830" s="85"/>
      <c r="MM830" s="85"/>
      <c r="MN830" s="85"/>
      <c r="MO830" s="85"/>
      <c r="MP830" s="85"/>
      <c r="MQ830" s="85"/>
      <c r="MR830" s="85"/>
      <c r="MS830" s="85"/>
      <c r="MT830" s="85"/>
      <c r="MU830" s="85"/>
      <c r="MV830" s="85"/>
      <c r="MW830" s="85"/>
      <c r="MX830" s="85"/>
      <c r="MY830" s="85"/>
      <c r="MZ830" s="85"/>
      <c r="NA830" s="85"/>
      <c r="NB830" s="85"/>
      <c r="NC830" s="85"/>
      <c r="ND830" s="85"/>
      <c r="NE830" s="85"/>
      <c r="NF830" s="85"/>
      <c r="NG830" s="85"/>
      <c r="NH830" s="85"/>
      <c r="NI830" s="85"/>
      <c r="NJ830" s="85"/>
      <c r="NK830" s="85"/>
      <c r="NL830" s="85"/>
      <c r="NM830" s="85"/>
      <c r="NN830" s="85"/>
      <c r="NO830" s="85"/>
      <c r="NP830" s="85"/>
      <c r="NQ830" s="85"/>
      <c r="NR830" s="85"/>
      <c r="NS830" s="85"/>
      <c r="NT830" s="85"/>
      <c r="NU830" s="85"/>
      <c r="NV830" s="85"/>
      <c r="NW830" s="85"/>
      <c r="NX830" s="85"/>
      <c r="NY830" s="85"/>
      <c r="NZ830" s="85"/>
      <c r="OA830" s="85"/>
      <c r="OB830" s="85"/>
      <c r="OC830" s="85"/>
      <c r="OD830" s="85"/>
      <c r="OE830" s="85"/>
      <c r="OF830" s="85"/>
      <c r="OG830" s="85"/>
      <c r="OH830" s="85"/>
      <c r="OI830" s="85"/>
      <c r="OJ830" s="85"/>
      <c r="OK830" s="85"/>
      <c r="OL830" s="85"/>
      <c r="OM830" s="85"/>
      <c r="ON830" s="85"/>
      <c r="OO830" s="85"/>
      <c r="OP830" s="85"/>
      <c r="OQ830" s="85"/>
      <c r="OR830" s="85"/>
      <c r="OS830" s="85"/>
      <c r="OT830" s="85"/>
      <c r="OU830" s="85"/>
      <c r="OV830" s="85"/>
      <c r="OW830" s="85"/>
      <c r="OX830" s="85"/>
      <c r="OY830" s="85"/>
      <c r="OZ830" s="85"/>
      <c r="PA830" s="85"/>
      <c r="PB830" s="85"/>
      <c r="PC830" s="85"/>
      <c r="PD830" s="85"/>
      <c r="PE830" s="85"/>
      <c r="PF830" s="85"/>
      <c r="PG830" s="85"/>
      <c r="PH830" s="85"/>
      <c r="PI830" s="85"/>
      <c r="PJ830" s="85"/>
      <c r="PK830" s="85"/>
      <c r="PL830" s="85"/>
      <c r="PM830" s="85"/>
      <c r="PN830" s="85"/>
      <c r="PO830" s="85"/>
      <c r="PP830" s="85"/>
      <c r="PQ830" s="85"/>
      <c r="PR830" s="85"/>
      <c r="PS830" s="85"/>
      <c r="PT830" s="85"/>
      <c r="PU830" s="85"/>
      <c r="PV830" s="85"/>
      <c r="PW830" s="85"/>
      <c r="PX830" s="85"/>
      <c r="PY830" s="85"/>
      <c r="PZ830" s="85"/>
      <c r="QA830" s="85"/>
      <c r="QB830" s="85"/>
      <c r="QC830" s="85"/>
      <c r="QD830" s="85"/>
      <c r="QE830" s="85"/>
      <c r="QF830" s="85"/>
      <c r="QG830" s="85"/>
      <c r="QH830" s="85"/>
      <c r="QI830" s="85"/>
      <c r="QJ830" s="85"/>
      <c r="QK830" s="85"/>
      <c r="QL830" s="85"/>
      <c r="QM830" s="85"/>
      <c r="QN830" s="85"/>
      <c r="QO830" s="85"/>
      <c r="QP830" s="85"/>
      <c r="QQ830" s="85"/>
      <c r="QR830" s="85"/>
      <c r="QS830" s="85"/>
      <c r="QT830" s="85"/>
      <c r="QU830" s="85"/>
      <c r="QV830" s="85"/>
      <c r="QW830" s="85"/>
      <c r="QX830" s="85"/>
      <c r="QY830" s="85"/>
      <c r="QZ830" s="85"/>
      <c r="RA830" s="85"/>
      <c r="RB830" s="85"/>
      <c r="RC830" s="85"/>
      <c r="RD830" s="85"/>
      <c r="RE830" s="85"/>
      <c r="RF830" s="85"/>
      <c r="RG830" s="85"/>
      <c r="RH830" s="85"/>
      <c r="RI830" s="85"/>
      <c r="RJ830" s="85"/>
      <c r="RK830" s="85"/>
      <c r="RL830" s="85"/>
      <c r="RM830" s="85"/>
      <c r="RN830" s="85"/>
      <c r="RO830" s="85"/>
      <c r="RP830" s="85"/>
      <c r="RQ830" s="85"/>
      <c r="RR830" s="85"/>
      <c r="RS830" s="85"/>
      <c r="RT830" s="85"/>
      <c r="RU830" s="85"/>
      <c r="RV830" s="85"/>
      <c r="RW830" s="85"/>
      <c r="RX830" s="85"/>
      <c r="RY830" s="85"/>
      <c r="RZ830" s="85"/>
      <c r="SA830" s="85"/>
      <c r="SB830" s="85"/>
      <c r="SC830" s="85"/>
      <c r="SD830" s="85"/>
      <c r="SE830" s="85"/>
      <c r="SF830" s="85"/>
      <c r="SG830" s="85"/>
      <c r="SH830" s="85"/>
      <c r="SI830" s="85"/>
      <c r="SJ830" s="85"/>
      <c r="SK830" s="85"/>
      <c r="SL830" s="85"/>
      <c r="SM830" s="85"/>
      <c r="SN830" s="85"/>
      <c r="SO830" s="85"/>
      <c r="SP830" s="85"/>
      <c r="SQ830" s="85"/>
      <c r="SR830" s="85"/>
      <c r="SS830" s="85"/>
      <c r="ST830" s="85"/>
      <c r="SU830" s="85"/>
      <c r="SV830" s="85"/>
      <c r="SW830" s="85"/>
      <c r="SX830" s="85"/>
      <c r="SY830" s="85"/>
      <c r="SZ830" s="85"/>
      <c r="TA830" s="85"/>
      <c r="TB830" s="85"/>
      <c r="TC830" s="85"/>
      <c r="TD830" s="85"/>
      <c r="TE830" s="85"/>
      <c r="TF830" s="85"/>
      <c r="TG830" s="85"/>
      <c r="TH830" s="85"/>
      <c r="TI830" s="85"/>
      <c r="TJ830" s="85"/>
      <c r="TK830" s="85"/>
      <c r="TL830" s="85"/>
    </row>
    <row r="831" spans="1:532" s="85" customFormat="1" ht="26">
      <c r="A831" s="122" t="s">
        <v>406</v>
      </c>
      <c r="B831" s="175" t="s">
        <v>88</v>
      </c>
      <c r="C831" s="124"/>
      <c r="D831" s="173">
        <f>+'[2]Extra 01'!C756</f>
        <v>49102.5</v>
      </c>
      <c r="E831" s="173">
        <f>+D831</f>
        <v>49102.5</v>
      </c>
      <c r="F831" s="174"/>
      <c r="G831" s="174"/>
      <c r="H831" s="98"/>
      <c r="I831" s="140">
        <f t="shared" ref="I831:N831" si="32">SUM(I832)</f>
        <v>49102.5</v>
      </c>
      <c r="J831" s="140">
        <f t="shared" si="32"/>
        <v>0</v>
      </c>
      <c r="K831" s="140">
        <f t="shared" si="32"/>
        <v>49102.5</v>
      </c>
      <c r="L831" s="140">
        <f t="shared" si="32"/>
        <v>0</v>
      </c>
      <c r="M831" s="140">
        <f t="shared" si="32"/>
        <v>0</v>
      </c>
      <c r="N831" s="140">
        <f t="shared" si="32"/>
        <v>0</v>
      </c>
    </row>
    <row r="832" spans="1:532" s="85" customFormat="1" ht="12.75" customHeight="1">
      <c r="A832" s="122"/>
      <c r="B832" s="240"/>
      <c r="C832" s="124"/>
      <c r="D832" s="124"/>
      <c r="E832" s="124"/>
      <c r="F832" s="174" t="s">
        <v>171</v>
      </c>
      <c r="G832" s="174" t="s">
        <v>88</v>
      </c>
      <c r="H832" s="98" t="s">
        <v>83</v>
      </c>
      <c r="I832" s="125">
        <v>49102.5</v>
      </c>
      <c r="J832" s="125"/>
      <c r="K832" s="125">
        <f>+I832</f>
        <v>49102.5</v>
      </c>
      <c r="L832" s="125"/>
      <c r="M832" s="125"/>
      <c r="N832" s="125">
        <f>-I832+'[2]Extra 01'!H757</f>
        <v>0</v>
      </c>
    </row>
    <row r="833" spans="1:532" s="135" customFormat="1" ht="12.75" customHeight="1">
      <c r="A833" s="111"/>
      <c r="B833" s="243"/>
      <c r="C833" s="112"/>
      <c r="D833" s="112"/>
      <c r="E833" s="112"/>
      <c r="F833" s="242"/>
      <c r="G833" s="113"/>
      <c r="H833" s="114"/>
      <c r="I833" s="115"/>
      <c r="J833" s="115"/>
      <c r="K833" s="115"/>
      <c r="L833" s="115"/>
      <c r="M833" s="115"/>
      <c r="N833" s="116"/>
      <c r="O833" s="85"/>
      <c r="P833" s="85"/>
      <c r="Q833" s="85"/>
      <c r="R833" s="85"/>
      <c r="S833" s="85"/>
      <c r="T833" s="85"/>
      <c r="U833" s="85"/>
      <c r="V833" s="85"/>
      <c r="W833" s="85"/>
      <c r="X833" s="85"/>
      <c r="Y833" s="85"/>
      <c r="Z833" s="85"/>
      <c r="AA833" s="85"/>
      <c r="AB833" s="85"/>
      <c r="AC833" s="85"/>
      <c r="AD833" s="85"/>
      <c r="AE833" s="85"/>
      <c r="AF833" s="85"/>
      <c r="AG833" s="85"/>
      <c r="AH833" s="85"/>
      <c r="AI833" s="85"/>
      <c r="AJ833" s="85"/>
      <c r="AK833" s="85"/>
      <c r="AL833" s="85"/>
      <c r="AM833" s="85"/>
      <c r="AN833" s="85"/>
      <c r="AO833" s="85"/>
      <c r="AP833" s="85"/>
      <c r="AQ833" s="85"/>
      <c r="AR833" s="85"/>
      <c r="AS833" s="85"/>
      <c r="AT833" s="85"/>
      <c r="AU833" s="85"/>
      <c r="AV833" s="85"/>
      <c r="AW833" s="85"/>
      <c r="AX833" s="85"/>
      <c r="AY833" s="85"/>
      <c r="AZ833" s="85"/>
      <c r="BA833" s="85"/>
      <c r="BB833" s="85"/>
      <c r="BC833" s="85"/>
      <c r="BD833" s="85"/>
      <c r="BE833" s="85"/>
      <c r="BF833" s="85"/>
      <c r="BG833" s="85"/>
      <c r="BH833" s="85"/>
      <c r="BI833" s="85"/>
      <c r="BJ833" s="85"/>
      <c r="BK833" s="85"/>
      <c r="BL833" s="85"/>
      <c r="BM833" s="85"/>
      <c r="BN833" s="85"/>
      <c r="BO833" s="85"/>
      <c r="BP833" s="85"/>
      <c r="BQ833" s="85"/>
      <c r="BR833" s="85"/>
      <c r="BS833" s="85"/>
      <c r="BT833" s="85"/>
      <c r="BU833" s="85"/>
      <c r="BV833" s="85"/>
      <c r="BW833" s="85"/>
      <c r="BX833" s="85"/>
      <c r="BY833" s="85"/>
      <c r="BZ833" s="85"/>
      <c r="CA833" s="85"/>
      <c r="CB833" s="85"/>
      <c r="CC833" s="85"/>
      <c r="CD833" s="85"/>
      <c r="CE833" s="85"/>
      <c r="CF833" s="85"/>
      <c r="CG833" s="85"/>
      <c r="CH833" s="85"/>
      <c r="CI833" s="85"/>
      <c r="CJ833" s="85"/>
      <c r="CK833" s="85"/>
      <c r="CL833" s="85"/>
      <c r="CM833" s="85"/>
      <c r="CN833" s="85"/>
      <c r="CO833" s="85"/>
      <c r="CP833" s="85"/>
      <c r="CQ833" s="85"/>
      <c r="CR833" s="85"/>
      <c r="CS833" s="85"/>
      <c r="CT833" s="85"/>
      <c r="CU833" s="85"/>
      <c r="CV833" s="85"/>
      <c r="CW833" s="85"/>
      <c r="CX833" s="85"/>
      <c r="CY833" s="85"/>
      <c r="CZ833" s="85"/>
      <c r="DA833" s="85"/>
      <c r="DB833" s="85"/>
      <c r="DC833" s="85"/>
      <c r="DD833" s="85"/>
      <c r="DE833" s="85"/>
      <c r="DF833" s="85"/>
      <c r="DG833" s="85"/>
      <c r="DH833" s="85"/>
      <c r="DI833" s="85"/>
      <c r="DJ833" s="85"/>
      <c r="DK833" s="85"/>
      <c r="DL833" s="85"/>
      <c r="DM833" s="85"/>
      <c r="DN833" s="85"/>
      <c r="DO833" s="85"/>
      <c r="DP833" s="85"/>
      <c r="DQ833" s="85"/>
      <c r="DR833" s="85"/>
      <c r="DS833" s="85"/>
      <c r="DT833" s="85"/>
      <c r="DU833" s="85"/>
      <c r="DV833" s="85"/>
      <c r="DW833" s="85"/>
      <c r="DX833" s="85"/>
      <c r="DY833" s="85"/>
      <c r="DZ833" s="85"/>
      <c r="EA833" s="85"/>
      <c r="EB833" s="85"/>
      <c r="EC833" s="85"/>
      <c r="ED833" s="85"/>
      <c r="EE833" s="85"/>
      <c r="EF833" s="85"/>
      <c r="EG833" s="85"/>
      <c r="EH833" s="85"/>
      <c r="EI833" s="85"/>
      <c r="EJ833" s="85"/>
      <c r="EK833" s="85"/>
      <c r="EL833" s="85"/>
      <c r="EM833" s="85"/>
      <c r="EN833" s="85"/>
      <c r="EO833" s="85"/>
      <c r="EP833" s="85"/>
      <c r="EQ833" s="85"/>
      <c r="ER833" s="85"/>
      <c r="ES833" s="85"/>
      <c r="ET833" s="85"/>
      <c r="EU833" s="85"/>
      <c r="EV833" s="85"/>
      <c r="EW833" s="85"/>
      <c r="EX833" s="85"/>
      <c r="EY833" s="85"/>
      <c r="EZ833" s="85"/>
      <c r="FA833" s="85"/>
      <c r="FB833" s="85"/>
      <c r="FC833" s="85"/>
      <c r="FD833" s="85"/>
      <c r="FE833" s="85"/>
      <c r="FF833" s="85"/>
      <c r="FG833" s="85"/>
      <c r="FH833" s="85"/>
      <c r="FI833" s="85"/>
      <c r="FJ833" s="85"/>
      <c r="FK833" s="85"/>
      <c r="FL833" s="85"/>
      <c r="FM833" s="85"/>
      <c r="FN833" s="85"/>
      <c r="FO833" s="85"/>
      <c r="FP833" s="85"/>
      <c r="FQ833" s="85"/>
      <c r="FR833" s="85"/>
      <c r="FS833" s="85"/>
      <c r="FT833" s="85"/>
      <c r="FU833" s="85"/>
      <c r="FV833" s="85"/>
      <c r="FW833" s="85"/>
      <c r="FX833" s="85"/>
      <c r="FY833" s="85"/>
      <c r="FZ833" s="85"/>
      <c r="GA833" s="85"/>
      <c r="GB833" s="85"/>
      <c r="GC833" s="85"/>
      <c r="GD833" s="85"/>
      <c r="GE833" s="85"/>
      <c r="GF833" s="85"/>
      <c r="GG833" s="85"/>
      <c r="GH833" s="85"/>
      <c r="GI833" s="85"/>
      <c r="GJ833" s="85"/>
      <c r="GK833" s="85"/>
      <c r="GL833" s="85"/>
      <c r="GM833" s="85"/>
      <c r="GN833" s="85"/>
      <c r="GO833" s="85"/>
      <c r="GP833" s="85"/>
      <c r="GQ833" s="85"/>
      <c r="GR833" s="85"/>
      <c r="GS833" s="85"/>
      <c r="GT833" s="85"/>
      <c r="GU833" s="85"/>
      <c r="GV833" s="85"/>
      <c r="GW833" s="85"/>
      <c r="GX833" s="85"/>
      <c r="GY833" s="85"/>
      <c r="GZ833" s="85"/>
      <c r="HA833" s="85"/>
      <c r="HB833" s="85"/>
      <c r="HC833" s="85"/>
      <c r="HD833" s="85"/>
      <c r="HE833" s="85"/>
      <c r="HF833" s="85"/>
      <c r="HG833" s="85"/>
      <c r="HH833" s="85"/>
      <c r="HI833" s="85"/>
      <c r="HJ833" s="85"/>
      <c r="HK833" s="85"/>
      <c r="HL833" s="85"/>
      <c r="HM833" s="85"/>
      <c r="HN833" s="85"/>
      <c r="HO833" s="85"/>
      <c r="HP833" s="85"/>
      <c r="HQ833" s="85"/>
      <c r="HR833" s="85"/>
      <c r="HS833" s="85"/>
      <c r="HT833" s="85"/>
      <c r="HU833" s="85"/>
      <c r="HV833" s="85"/>
      <c r="HW833" s="85"/>
      <c r="HX833" s="85"/>
      <c r="HY833" s="85"/>
      <c r="HZ833" s="85"/>
      <c r="IA833" s="85"/>
      <c r="IB833" s="85"/>
      <c r="IC833" s="85"/>
      <c r="ID833" s="85"/>
      <c r="IE833" s="85"/>
      <c r="IF833" s="85"/>
      <c r="IG833" s="85"/>
      <c r="IH833" s="85"/>
      <c r="II833" s="85"/>
      <c r="IJ833" s="85"/>
      <c r="IK833" s="85"/>
      <c r="IL833" s="85"/>
      <c r="IM833" s="85"/>
      <c r="IN833" s="85"/>
      <c r="IO833" s="85"/>
      <c r="IP833" s="85"/>
      <c r="IQ833" s="85"/>
      <c r="IR833" s="85"/>
      <c r="IS833" s="85"/>
      <c r="IT833" s="85"/>
      <c r="IU833" s="85"/>
      <c r="IV833" s="85"/>
      <c r="IW833" s="85"/>
      <c r="IX833" s="85"/>
      <c r="IY833" s="85"/>
      <c r="IZ833" s="85"/>
      <c r="JA833" s="85"/>
      <c r="JB833" s="85"/>
      <c r="JC833" s="85"/>
      <c r="JD833" s="85"/>
      <c r="JE833" s="85"/>
      <c r="JF833" s="85"/>
      <c r="JG833" s="85"/>
      <c r="JH833" s="85"/>
      <c r="JI833" s="85"/>
      <c r="JJ833" s="85"/>
      <c r="JK833" s="85"/>
      <c r="JL833" s="85"/>
      <c r="JM833" s="85"/>
      <c r="JN833" s="85"/>
      <c r="JO833" s="85"/>
      <c r="JP833" s="85"/>
      <c r="JQ833" s="85"/>
      <c r="JR833" s="85"/>
      <c r="JS833" s="85"/>
      <c r="JT833" s="85"/>
      <c r="JU833" s="85"/>
      <c r="JV833" s="85"/>
      <c r="JW833" s="85"/>
      <c r="JX833" s="85"/>
      <c r="JY833" s="85"/>
      <c r="JZ833" s="85"/>
      <c r="KA833" s="85"/>
      <c r="KB833" s="85"/>
      <c r="KC833" s="85"/>
      <c r="KD833" s="85"/>
      <c r="KE833" s="85"/>
      <c r="KF833" s="85"/>
      <c r="KG833" s="85"/>
      <c r="KH833" s="85"/>
      <c r="KI833" s="85"/>
      <c r="KJ833" s="85"/>
      <c r="KK833" s="85"/>
      <c r="KL833" s="85"/>
      <c r="KM833" s="85"/>
      <c r="KN833" s="85"/>
      <c r="KO833" s="85"/>
      <c r="KP833" s="85"/>
      <c r="KQ833" s="85"/>
      <c r="KR833" s="85"/>
      <c r="KS833" s="85"/>
      <c r="KT833" s="85"/>
      <c r="KU833" s="85"/>
      <c r="KV833" s="85"/>
      <c r="KW833" s="85"/>
      <c r="KX833" s="85"/>
      <c r="KY833" s="85"/>
      <c r="KZ833" s="85"/>
      <c r="LA833" s="85"/>
      <c r="LB833" s="85"/>
      <c r="LC833" s="85"/>
      <c r="LD833" s="85"/>
      <c r="LE833" s="85"/>
      <c r="LF833" s="85"/>
      <c r="LG833" s="85"/>
      <c r="LH833" s="85"/>
      <c r="LI833" s="85"/>
      <c r="LJ833" s="85"/>
      <c r="LK833" s="85"/>
      <c r="LL833" s="85"/>
      <c r="LM833" s="85"/>
      <c r="LN833" s="85"/>
      <c r="LO833" s="85"/>
      <c r="LP833" s="85"/>
      <c r="LQ833" s="85"/>
      <c r="LR833" s="85"/>
      <c r="LS833" s="85"/>
      <c r="LT833" s="85"/>
      <c r="LU833" s="85"/>
      <c r="LV833" s="85"/>
      <c r="LW833" s="85"/>
      <c r="LX833" s="85"/>
      <c r="LY833" s="85"/>
      <c r="LZ833" s="85"/>
      <c r="MA833" s="85"/>
      <c r="MB833" s="85"/>
      <c r="MC833" s="85"/>
      <c r="MD833" s="85"/>
      <c r="ME833" s="85"/>
      <c r="MF833" s="85"/>
      <c r="MG833" s="85"/>
      <c r="MH833" s="85"/>
      <c r="MI833" s="85"/>
      <c r="MJ833" s="85"/>
      <c r="MK833" s="85"/>
      <c r="ML833" s="85"/>
      <c r="MM833" s="85"/>
      <c r="MN833" s="85"/>
      <c r="MO833" s="85"/>
      <c r="MP833" s="85"/>
      <c r="MQ833" s="85"/>
      <c r="MR833" s="85"/>
      <c r="MS833" s="85"/>
      <c r="MT833" s="85"/>
      <c r="MU833" s="85"/>
      <c r="MV833" s="85"/>
      <c r="MW833" s="85"/>
      <c r="MX833" s="85"/>
      <c r="MY833" s="85"/>
      <c r="MZ833" s="85"/>
      <c r="NA833" s="85"/>
      <c r="NB833" s="85"/>
      <c r="NC833" s="85"/>
      <c r="ND833" s="85"/>
      <c r="NE833" s="85"/>
      <c r="NF833" s="85"/>
      <c r="NG833" s="85"/>
      <c r="NH833" s="85"/>
      <c r="NI833" s="85"/>
      <c r="NJ833" s="85"/>
      <c r="NK833" s="85"/>
      <c r="NL833" s="85"/>
      <c r="NM833" s="85"/>
      <c r="NN833" s="85"/>
      <c r="NO833" s="85"/>
      <c r="NP833" s="85"/>
      <c r="NQ833" s="85"/>
      <c r="NR833" s="85"/>
      <c r="NS833" s="85"/>
      <c r="NT833" s="85"/>
      <c r="NU833" s="85"/>
      <c r="NV833" s="85"/>
      <c r="NW833" s="85"/>
      <c r="NX833" s="85"/>
      <c r="NY833" s="85"/>
      <c r="NZ833" s="85"/>
      <c r="OA833" s="85"/>
      <c r="OB833" s="85"/>
      <c r="OC833" s="85"/>
      <c r="OD833" s="85"/>
      <c r="OE833" s="85"/>
      <c r="OF833" s="85"/>
      <c r="OG833" s="85"/>
      <c r="OH833" s="85"/>
      <c r="OI833" s="85"/>
      <c r="OJ833" s="85"/>
      <c r="OK833" s="85"/>
      <c r="OL833" s="85"/>
      <c r="OM833" s="85"/>
      <c r="ON833" s="85"/>
      <c r="OO833" s="85"/>
      <c r="OP833" s="85"/>
      <c r="OQ833" s="85"/>
      <c r="OR833" s="85"/>
      <c r="OS833" s="85"/>
      <c r="OT833" s="85"/>
      <c r="OU833" s="85"/>
      <c r="OV833" s="85"/>
      <c r="OW833" s="85"/>
      <c r="OX833" s="85"/>
      <c r="OY833" s="85"/>
      <c r="OZ833" s="85"/>
      <c r="PA833" s="85"/>
      <c r="PB833" s="85"/>
      <c r="PC833" s="85"/>
      <c r="PD833" s="85"/>
      <c r="PE833" s="85"/>
      <c r="PF833" s="85"/>
      <c r="PG833" s="85"/>
      <c r="PH833" s="85"/>
      <c r="PI833" s="85"/>
      <c r="PJ833" s="85"/>
      <c r="PK833" s="85"/>
      <c r="PL833" s="85"/>
      <c r="PM833" s="85"/>
      <c r="PN833" s="85"/>
      <c r="PO833" s="85"/>
      <c r="PP833" s="85"/>
      <c r="PQ833" s="85"/>
      <c r="PR833" s="85"/>
      <c r="PS833" s="85"/>
      <c r="PT833" s="85"/>
      <c r="PU833" s="85"/>
      <c r="PV833" s="85"/>
      <c r="PW833" s="85"/>
      <c r="PX833" s="85"/>
      <c r="PY833" s="85"/>
      <c r="PZ833" s="85"/>
      <c r="QA833" s="85"/>
      <c r="QB833" s="85"/>
      <c r="QC833" s="85"/>
      <c r="QD833" s="85"/>
      <c r="QE833" s="85"/>
      <c r="QF833" s="85"/>
      <c r="QG833" s="85"/>
      <c r="QH833" s="85"/>
      <c r="QI833" s="85"/>
      <c r="QJ833" s="85"/>
      <c r="QK833" s="85"/>
      <c r="QL833" s="85"/>
      <c r="QM833" s="85"/>
      <c r="QN833" s="85"/>
      <c r="QO833" s="85"/>
      <c r="QP833" s="85"/>
      <c r="QQ833" s="85"/>
      <c r="QR833" s="85"/>
      <c r="QS833" s="85"/>
      <c r="QT833" s="85"/>
      <c r="QU833" s="85"/>
      <c r="QV833" s="85"/>
      <c r="QW833" s="85"/>
      <c r="QX833" s="85"/>
      <c r="QY833" s="85"/>
      <c r="QZ833" s="85"/>
      <c r="RA833" s="85"/>
      <c r="RB833" s="85"/>
      <c r="RC833" s="85"/>
      <c r="RD833" s="85"/>
      <c r="RE833" s="85"/>
      <c r="RF833" s="85"/>
      <c r="RG833" s="85"/>
      <c r="RH833" s="85"/>
      <c r="RI833" s="85"/>
      <c r="RJ833" s="85"/>
      <c r="RK833" s="85"/>
      <c r="RL833" s="85"/>
      <c r="RM833" s="85"/>
      <c r="RN833" s="85"/>
      <c r="RO833" s="85"/>
      <c r="RP833" s="85"/>
      <c r="RQ833" s="85"/>
      <c r="RR833" s="85"/>
      <c r="RS833" s="85"/>
      <c r="RT833" s="85"/>
      <c r="RU833" s="85"/>
      <c r="RV833" s="85"/>
      <c r="RW833" s="85"/>
      <c r="RX833" s="85"/>
      <c r="RY833" s="85"/>
      <c r="RZ833" s="85"/>
      <c r="SA833" s="85"/>
      <c r="SB833" s="85"/>
      <c r="SC833" s="85"/>
      <c r="SD833" s="85"/>
      <c r="SE833" s="85"/>
      <c r="SF833" s="85"/>
      <c r="SG833" s="85"/>
      <c r="SH833" s="85"/>
      <c r="SI833" s="85"/>
      <c r="SJ833" s="85"/>
      <c r="SK833" s="85"/>
      <c r="SL833" s="85"/>
      <c r="SM833" s="85"/>
      <c r="SN833" s="85"/>
      <c r="SO833" s="85"/>
      <c r="SP833" s="85"/>
      <c r="SQ833" s="85"/>
      <c r="SR833" s="85"/>
      <c r="SS833" s="85"/>
      <c r="ST833" s="85"/>
      <c r="SU833" s="85"/>
      <c r="SV833" s="85"/>
      <c r="SW833" s="85"/>
      <c r="SX833" s="85"/>
      <c r="SY833" s="85"/>
      <c r="SZ833" s="85"/>
      <c r="TA833" s="85"/>
      <c r="TB833" s="85"/>
      <c r="TC833" s="85"/>
      <c r="TD833" s="85"/>
      <c r="TE833" s="85"/>
      <c r="TF833" s="85"/>
      <c r="TG833" s="85"/>
      <c r="TH833" s="85"/>
      <c r="TI833" s="85"/>
      <c r="TJ833" s="85"/>
      <c r="TK833" s="85"/>
      <c r="TL833" s="85"/>
    </row>
    <row r="834" spans="1:532" s="85" customFormat="1" ht="26">
      <c r="A834" s="122" t="s">
        <v>407</v>
      </c>
      <c r="B834" s="175" t="s">
        <v>89</v>
      </c>
      <c r="C834" s="124"/>
      <c r="D834" s="173">
        <f>+'[2]Extra 01'!C760</f>
        <v>1105751491.27</v>
      </c>
      <c r="E834" s="173">
        <f>+D834</f>
        <v>1105751491.27</v>
      </c>
      <c r="F834" s="174"/>
      <c r="G834" s="174"/>
      <c r="H834" s="98"/>
      <c r="I834" s="140">
        <f t="shared" ref="I834:N834" si="33">SUM(I835)</f>
        <v>1105751491.27</v>
      </c>
      <c r="J834" s="140">
        <f t="shared" si="33"/>
        <v>1105751491.27</v>
      </c>
      <c r="K834" s="140">
        <f t="shared" si="33"/>
        <v>0</v>
      </c>
      <c r="L834" s="140">
        <f t="shared" si="33"/>
        <v>0</v>
      </c>
      <c r="M834" s="140">
        <f t="shared" si="33"/>
        <v>0</v>
      </c>
      <c r="N834" s="140">
        <f t="shared" si="33"/>
        <v>0</v>
      </c>
    </row>
    <row r="835" spans="1:532" s="85" customFormat="1" ht="12.75" customHeight="1">
      <c r="A835" s="122"/>
      <c r="B835" s="240"/>
      <c r="C835" s="124"/>
      <c r="D835" s="124"/>
      <c r="E835" s="124"/>
      <c r="F835" s="174" t="s">
        <v>171</v>
      </c>
      <c r="G835" s="97" t="s">
        <v>185</v>
      </c>
      <c r="H835" s="98" t="s">
        <v>82</v>
      </c>
      <c r="I835" s="125">
        <v>1105751491.27</v>
      </c>
      <c r="J835" s="125">
        <f>+I835</f>
        <v>1105751491.27</v>
      </c>
      <c r="K835" s="125"/>
      <c r="L835" s="125"/>
      <c r="M835" s="125"/>
      <c r="N835" s="141">
        <f>-I835+'[2]Extra 01'!H761</f>
        <v>0</v>
      </c>
    </row>
    <row r="836" spans="1:532" s="135" customFormat="1" ht="12.75" customHeight="1">
      <c r="A836" s="111"/>
      <c r="B836" s="243"/>
      <c r="C836" s="112"/>
      <c r="D836" s="112"/>
      <c r="E836" s="112"/>
      <c r="F836" s="242"/>
      <c r="G836" s="113"/>
      <c r="H836" s="114"/>
      <c r="I836" s="115"/>
      <c r="J836" s="115"/>
      <c r="K836" s="115"/>
      <c r="L836" s="115"/>
      <c r="M836" s="115"/>
      <c r="N836" s="116"/>
      <c r="O836" s="85"/>
      <c r="P836" s="85"/>
      <c r="Q836" s="85"/>
      <c r="R836" s="85"/>
      <c r="S836" s="85"/>
      <c r="T836" s="85"/>
      <c r="U836" s="85"/>
      <c r="V836" s="85"/>
      <c r="W836" s="85"/>
      <c r="X836" s="85"/>
      <c r="Y836" s="85"/>
      <c r="Z836" s="85"/>
      <c r="AA836" s="85"/>
      <c r="AB836" s="85"/>
      <c r="AC836" s="85"/>
      <c r="AD836" s="85"/>
      <c r="AE836" s="85"/>
      <c r="AF836" s="85"/>
      <c r="AG836" s="85"/>
      <c r="AH836" s="85"/>
      <c r="AI836" s="85"/>
      <c r="AJ836" s="85"/>
      <c r="AK836" s="85"/>
      <c r="AL836" s="85"/>
      <c r="AM836" s="85"/>
      <c r="AN836" s="85"/>
      <c r="AO836" s="85"/>
      <c r="AP836" s="85"/>
      <c r="AQ836" s="85"/>
      <c r="AR836" s="85"/>
      <c r="AS836" s="85"/>
      <c r="AT836" s="85"/>
      <c r="AU836" s="85"/>
      <c r="AV836" s="85"/>
      <c r="AW836" s="85"/>
      <c r="AX836" s="85"/>
      <c r="AY836" s="85"/>
      <c r="AZ836" s="85"/>
      <c r="BA836" s="85"/>
      <c r="BB836" s="85"/>
      <c r="BC836" s="85"/>
      <c r="BD836" s="85"/>
      <c r="BE836" s="85"/>
      <c r="BF836" s="85"/>
      <c r="BG836" s="85"/>
      <c r="BH836" s="85"/>
      <c r="BI836" s="85"/>
      <c r="BJ836" s="85"/>
      <c r="BK836" s="85"/>
      <c r="BL836" s="85"/>
      <c r="BM836" s="85"/>
      <c r="BN836" s="85"/>
      <c r="BO836" s="85"/>
      <c r="BP836" s="85"/>
      <c r="BQ836" s="85"/>
      <c r="BR836" s="85"/>
      <c r="BS836" s="85"/>
      <c r="BT836" s="85"/>
      <c r="BU836" s="85"/>
      <c r="BV836" s="85"/>
      <c r="BW836" s="85"/>
      <c r="BX836" s="85"/>
      <c r="BY836" s="85"/>
      <c r="BZ836" s="85"/>
      <c r="CA836" s="85"/>
      <c r="CB836" s="85"/>
      <c r="CC836" s="85"/>
      <c r="CD836" s="85"/>
      <c r="CE836" s="85"/>
      <c r="CF836" s="85"/>
      <c r="CG836" s="85"/>
      <c r="CH836" s="85"/>
      <c r="CI836" s="85"/>
      <c r="CJ836" s="85"/>
      <c r="CK836" s="85"/>
      <c r="CL836" s="85"/>
      <c r="CM836" s="85"/>
      <c r="CN836" s="85"/>
      <c r="CO836" s="85"/>
      <c r="CP836" s="85"/>
      <c r="CQ836" s="85"/>
      <c r="CR836" s="85"/>
      <c r="CS836" s="85"/>
      <c r="CT836" s="85"/>
      <c r="CU836" s="85"/>
      <c r="CV836" s="85"/>
      <c r="CW836" s="85"/>
      <c r="CX836" s="85"/>
      <c r="CY836" s="85"/>
      <c r="CZ836" s="85"/>
      <c r="DA836" s="85"/>
      <c r="DB836" s="85"/>
      <c r="DC836" s="85"/>
      <c r="DD836" s="85"/>
      <c r="DE836" s="85"/>
      <c r="DF836" s="85"/>
      <c r="DG836" s="85"/>
      <c r="DH836" s="85"/>
      <c r="DI836" s="85"/>
      <c r="DJ836" s="85"/>
      <c r="DK836" s="85"/>
      <c r="DL836" s="85"/>
      <c r="DM836" s="85"/>
      <c r="DN836" s="85"/>
      <c r="DO836" s="85"/>
      <c r="DP836" s="85"/>
      <c r="DQ836" s="85"/>
      <c r="DR836" s="85"/>
      <c r="DS836" s="85"/>
      <c r="DT836" s="85"/>
      <c r="DU836" s="85"/>
      <c r="DV836" s="85"/>
      <c r="DW836" s="85"/>
      <c r="DX836" s="85"/>
      <c r="DY836" s="85"/>
      <c r="DZ836" s="85"/>
      <c r="EA836" s="85"/>
      <c r="EB836" s="85"/>
      <c r="EC836" s="85"/>
      <c r="ED836" s="85"/>
      <c r="EE836" s="85"/>
      <c r="EF836" s="85"/>
      <c r="EG836" s="85"/>
      <c r="EH836" s="85"/>
      <c r="EI836" s="85"/>
      <c r="EJ836" s="85"/>
      <c r="EK836" s="85"/>
      <c r="EL836" s="85"/>
      <c r="EM836" s="85"/>
      <c r="EN836" s="85"/>
      <c r="EO836" s="85"/>
      <c r="EP836" s="85"/>
      <c r="EQ836" s="85"/>
      <c r="ER836" s="85"/>
      <c r="ES836" s="85"/>
      <c r="ET836" s="85"/>
      <c r="EU836" s="85"/>
      <c r="EV836" s="85"/>
      <c r="EW836" s="85"/>
      <c r="EX836" s="85"/>
      <c r="EY836" s="85"/>
      <c r="EZ836" s="85"/>
      <c r="FA836" s="85"/>
      <c r="FB836" s="85"/>
      <c r="FC836" s="85"/>
      <c r="FD836" s="85"/>
      <c r="FE836" s="85"/>
      <c r="FF836" s="85"/>
      <c r="FG836" s="85"/>
      <c r="FH836" s="85"/>
      <c r="FI836" s="85"/>
      <c r="FJ836" s="85"/>
      <c r="FK836" s="85"/>
      <c r="FL836" s="85"/>
      <c r="FM836" s="85"/>
      <c r="FN836" s="85"/>
      <c r="FO836" s="85"/>
      <c r="FP836" s="85"/>
      <c r="FQ836" s="85"/>
      <c r="FR836" s="85"/>
      <c r="FS836" s="85"/>
      <c r="FT836" s="85"/>
      <c r="FU836" s="85"/>
      <c r="FV836" s="85"/>
      <c r="FW836" s="85"/>
      <c r="FX836" s="85"/>
      <c r="FY836" s="85"/>
      <c r="FZ836" s="85"/>
      <c r="GA836" s="85"/>
      <c r="GB836" s="85"/>
      <c r="GC836" s="85"/>
      <c r="GD836" s="85"/>
      <c r="GE836" s="85"/>
      <c r="GF836" s="85"/>
      <c r="GG836" s="85"/>
      <c r="GH836" s="85"/>
      <c r="GI836" s="85"/>
      <c r="GJ836" s="85"/>
      <c r="GK836" s="85"/>
      <c r="GL836" s="85"/>
      <c r="GM836" s="85"/>
      <c r="GN836" s="85"/>
      <c r="GO836" s="85"/>
      <c r="GP836" s="85"/>
      <c r="GQ836" s="85"/>
      <c r="GR836" s="85"/>
      <c r="GS836" s="85"/>
      <c r="GT836" s="85"/>
      <c r="GU836" s="85"/>
      <c r="GV836" s="85"/>
      <c r="GW836" s="85"/>
      <c r="GX836" s="85"/>
      <c r="GY836" s="85"/>
      <c r="GZ836" s="85"/>
      <c r="HA836" s="85"/>
      <c r="HB836" s="85"/>
      <c r="HC836" s="85"/>
      <c r="HD836" s="85"/>
      <c r="HE836" s="85"/>
      <c r="HF836" s="85"/>
      <c r="HG836" s="85"/>
      <c r="HH836" s="85"/>
      <c r="HI836" s="85"/>
      <c r="HJ836" s="85"/>
      <c r="HK836" s="85"/>
      <c r="HL836" s="85"/>
      <c r="HM836" s="85"/>
      <c r="HN836" s="85"/>
      <c r="HO836" s="85"/>
      <c r="HP836" s="85"/>
      <c r="HQ836" s="85"/>
      <c r="HR836" s="85"/>
      <c r="HS836" s="85"/>
      <c r="HT836" s="85"/>
      <c r="HU836" s="85"/>
      <c r="HV836" s="85"/>
      <c r="HW836" s="85"/>
      <c r="HX836" s="85"/>
      <c r="HY836" s="85"/>
      <c r="HZ836" s="85"/>
      <c r="IA836" s="85"/>
      <c r="IB836" s="85"/>
      <c r="IC836" s="85"/>
      <c r="ID836" s="85"/>
      <c r="IE836" s="85"/>
      <c r="IF836" s="85"/>
      <c r="IG836" s="85"/>
      <c r="IH836" s="85"/>
      <c r="II836" s="85"/>
      <c r="IJ836" s="85"/>
      <c r="IK836" s="85"/>
      <c r="IL836" s="85"/>
      <c r="IM836" s="85"/>
      <c r="IN836" s="85"/>
      <c r="IO836" s="85"/>
      <c r="IP836" s="85"/>
      <c r="IQ836" s="85"/>
      <c r="IR836" s="85"/>
      <c r="IS836" s="85"/>
      <c r="IT836" s="85"/>
      <c r="IU836" s="85"/>
      <c r="IV836" s="85"/>
      <c r="IW836" s="85"/>
      <c r="IX836" s="85"/>
      <c r="IY836" s="85"/>
      <c r="IZ836" s="85"/>
      <c r="JA836" s="85"/>
      <c r="JB836" s="85"/>
      <c r="JC836" s="85"/>
      <c r="JD836" s="85"/>
      <c r="JE836" s="85"/>
      <c r="JF836" s="85"/>
      <c r="JG836" s="85"/>
      <c r="JH836" s="85"/>
      <c r="JI836" s="85"/>
      <c r="JJ836" s="85"/>
      <c r="JK836" s="85"/>
      <c r="JL836" s="85"/>
      <c r="JM836" s="85"/>
      <c r="JN836" s="85"/>
      <c r="JO836" s="85"/>
      <c r="JP836" s="85"/>
      <c r="JQ836" s="85"/>
      <c r="JR836" s="85"/>
      <c r="JS836" s="85"/>
      <c r="JT836" s="85"/>
      <c r="JU836" s="85"/>
      <c r="JV836" s="85"/>
      <c r="JW836" s="85"/>
      <c r="JX836" s="85"/>
      <c r="JY836" s="85"/>
      <c r="JZ836" s="85"/>
      <c r="KA836" s="85"/>
      <c r="KB836" s="85"/>
      <c r="KC836" s="85"/>
      <c r="KD836" s="85"/>
      <c r="KE836" s="85"/>
      <c r="KF836" s="85"/>
      <c r="KG836" s="85"/>
      <c r="KH836" s="85"/>
      <c r="KI836" s="85"/>
      <c r="KJ836" s="85"/>
      <c r="KK836" s="85"/>
      <c r="KL836" s="85"/>
      <c r="KM836" s="85"/>
      <c r="KN836" s="85"/>
      <c r="KO836" s="85"/>
      <c r="KP836" s="85"/>
      <c r="KQ836" s="85"/>
      <c r="KR836" s="85"/>
      <c r="KS836" s="85"/>
      <c r="KT836" s="85"/>
      <c r="KU836" s="85"/>
      <c r="KV836" s="85"/>
      <c r="KW836" s="85"/>
      <c r="KX836" s="85"/>
      <c r="KY836" s="85"/>
      <c r="KZ836" s="85"/>
      <c r="LA836" s="85"/>
      <c r="LB836" s="85"/>
      <c r="LC836" s="85"/>
      <c r="LD836" s="85"/>
      <c r="LE836" s="85"/>
      <c r="LF836" s="85"/>
      <c r="LG836" s="85"/>
      <c r="LH836" s="85"/>
      <c r="LI836" s="85"/>
      <c r="LJ836" s="85"/>
      <c r="LK836" s="85"/>
      <c r="LL836" s="85"/>
      <c r="LM836" s="85"/>
      <c r="LN836" s="85"/>
      <c r="LO836" s="85"/>
      <c r="LP836" s="85"/>
      <c r="LQ836" s="85"/>
      <c r="LR836" s="85"/>
      <c r="LS836" s="85"/>
      <c r="LT836" s="85"/>
      <c r="LU836" s="85"/>
      <c r="LV836" s="85"/>
      <c r="LW836" s="85"/>
      <c r="LX836" s="85"/>
      <c r="LY836" s="85"/>
      <c r="LZ836" s="85"/>
      <c r="MA836" s="85"/>
      <c r="MB836" s="85"/>
      <c r="MC836" s="85"/>
      <c r="MD836" s="85"/>
      <c r="ME836" s="85"/>
      <c r="MF836" s="85"/>
      <c r="MG836" s="85"/>
      <c r="MH836" s="85"/>
      <c r="MI836" s="85"/>
      <c r="MJ836" s="85"/>
      <c r="MK836" s="85"/>
      <c r="ML836" s="85"/>
      <c r="MM836" s="85"/>
      <c r="MN836" s="85"/>
      <c r="MO836" s="85"/>
      <c r="MP836" s="85"/>
      <c r="MQ836" s="85"/>
      <c r="MR836" s="85"/>
      <c r="MS836" s="85"/>
      <c r="MT836" s="85"/>
      <c r="MU836" s="85"/>
      <c r="MV836" s="85"/>
      <c r="MW836" s="85"/>
      <c r="MX836" s="85"/>
      <c r="MY836" s="85"/>
      <c r="MZ836" s="85"/>
      <c r="NA836" s="85"/>
      <c r="NB836" s="85"/>
      <c r="NC836" s="85"/>
      <c r="ND836" s="85"/>
      <c r="NE836" s="85"/>
      <c r="NF836" s="85"/>
      <c r="NG836" s="85"/>
      <c r="NH836" s="85"/>
      <c r="NI836" s="85"/>
      <c r="NJ836" s="85"/>
      <c r="NK836" s="85"/>
      <c r="NL836" s="85"/>
      <c r="NM836" s="85"/>
      <c r="NN836" s="85"/>
      <c r="NO836" s="85"/>
      <c r="NP836" s="85"/>
      <c r="NQ836" s="85"/>
      <c r="NR836" s="85"/>
      <c r="NS836" s="85"/>
      <c r="NT836" s="85"/>
      <c r="NU836" s="85"/>
      <c r="NV836" s="85"/>
      <c r="NW836" s="85"/>
      <c r="NX836" s="85"/>
      <c r="NY836" s="85"/>
      <c r="NZ836" s="85"/>
      <c r="OA836" s="85"/>
      <c r="OB836" s="85"/>
      <c r="OC836" s="85"/>
      <c r="OD836" s="85"/>
      <c r="OE836" s="85"/>
      <c r="OF836" s="85"/>
      <c r="OG836" s="85"/>
      <c r="OH836" s="85"/>
      <c r="OI836" s="85"/>
      <c r="OJ836" s="85"/>
      <c r="OK836" s="85"/>
      <c r="OL836" s="85"/>
      <c r="OM836" s="85"/>
      <c r="ON836" s="85"/>
      <c r="OO836" s="85"/>
      <c r="OP836" s="85"/>
      <c r="OQ836" s="85"/>
      <c r="OR836" s="85"/>
      <c r="OS836" s="85"/>
      <c r="OT836" s="85"/>
      <c r="OU836" s="85"/>
      <c r="OV836" s="85"/>
      <c r="OW836" s="85"/>
      <c r="OX836" s="85"/>
      <c r="OY836" s="85"/>
      <c r="OZ836" s="85"/>
      <c r="PA836" s="85"/>
      <c r="PB836" s="85"/>
      <c r="PC836" s="85"/>
      <c r="PD836" s="85"/>
      <c r="PE836" s="85"/>
      <c r="PF836" s="85"/>
      <c r="PG836" s="85"/>
      <c r="PH836" s="85"/>
      <c r="PI836" s="85"/>
      <c r="PJ836" s="85"/>
      <c r="PK836" s="85"/>
      <c r="PL836" s="85"/>
      <c r="PM836" s="85"/>
      <c r="PN836" s="85"/>
      <c r="PO836" s="85"/>
      <c r="PP836" s="85"/>
      <c r="PQ836" s="85"/>
      <c r="PR836" s="85"/>
      <c r="PS836" s="85"/>
      <c r="PT836" s="85"/>
      <c r="PU836" s="85"/>
      <c r="PV836" s="85"/>
      <c r="PW836" s="85"/>
      <c r="PX836" s="85"/>
      <c r="PY836" s="85"/>
      <c r="PZ836" s="85"/>
      <c r="QA836" s="85"/>
      <c r="QB836" s="85"/>
      <c r="QC836" s="85"/>
      <c r="QD836" s="85"/>
      <c r="QE836" s="85"/>
      <c r="QF836" s="85"/>
      <c r="QG836" s="85"/>
      <c r="QH836" s="85"/>
      <c r="QI836" s="85"/>
      <c r="QJ836" s="85"/>
      <c r="QK836" s="85"/>
      <c r="QL836" s="85"/>
      <c r="QM836" s="85"/>
      <c r="QN836" s="85"/>
      <c r="QO836" s="85"/>
      <c r="QP836" s="85"/>
      <c r="QQ836" s="85"/>
      <c r="QR836" s="85"/>
      <c r="QS836" s="85"/>
      <c r="QT836" s="85"/>
      <c r="QU836" s="85"/>
      <c r="QV836" s="85"/>
      <c r="QW836" s="85"/>
      <c r="QX836" s="85"/>
      <c r="QY836" s="85"/>
      <c r="QZ836" s="85"/>
      <c r="RA836" s="85"/>
      <c r="RB836" s="85"/>
      <c r="RC836" s="85"/>
      <c r="RD836" s="85"/>
      <c r="RE836" s="85"/>
      <c r="RF836" s="85"/>
      <c r="RG836" s="85"/>
      <c r="RH836" s="85"/>
      <c r="RI836" s="85"/>
      <c r="RJ836" s="85"/>
      <c r="RK836" s="85"/>
      <c r="RL836" s="85"/>
      <c r="RM836" s="85"/>
      <c r="RN836" s="85"/>
      <c r="RO836" s="85"/>
      <c r="RP836" s="85"/>
      <c r="RQ836" s="85"/>
      <c r="RR836" s="85"/>
      <c r="RS836" s="85"/>
      <c r="RT836" s="85"/>
      <c r="RU836" s="85"/>
      <c r="RV836" s="85"/>
      <c r="RW836" s="85"/>
      <c r="RX836" s="85"/>
      <c r="RY836" s="85"/>
      <c r="RZ836" s="85"/>
      <c r="SA836" s="85"/>
      <c r="SB836" s="85"/>
      <c r="SC836" s="85"/>
      <c r="SD836" s="85"/>
      <c r="SE836" s="85"/>
      <c r="SF836" s="85"/>
      <c r="SG836" s="85"/>
      <c r="SH836" s="85"/>
      <c r="SI836" s="85"/>
      <c r="SJ836" s="85"/>
      <c r="SK836" s="85"/>
      <c r="SL836" s="85"/>
      <c r="SM836" s="85"/>
      <c r="SN836" s="85"/>
      <c r="SO836" s="85"/>
      <c r="SP836" s="85"/>
      <c r="SQ836" s="85"/>
      <c r="SR836" s="85"/>
      <c r="SS836" s="85"/>
      <c r="ST836" s="85"/>
      <c r="SU836" s="85"/>
      <c r="SV836" s="85"/>
      <c r="SW836" s="85"/>
      <c r="SX836" s="85"/>
      <c r="SY836" s="85"/>
      <c r="SZ836" s="85"/>
      <c r="TA836" s="85"/>
      <c r="TB836" s="85"/>
      <c r="TC836" s="85"/>
      <c r="TD836" s="85"/>
      <c r="TE836" s="85"/>
      <c r="TF836" s="85"/>
      <c r="TG836" s="85"/>
      <c r="TH836" s="85"/>
      <c r="TI836" s="85"/>
      <c r="TJ836" s="85"/>
      <c r="TK836" s="85"/>
      <c r="TL836" s="85"/>
    </row>
    <row r="837" spans="1:532" s="85" customFormat="1" ht="12.75" customHeight="1">
      <c r="A837" s="122" t="s">
        <v>408</v>
      </c>
      <c r="B837" s="175" t="s">
        <v>409</v>
      </c>
      <c r="C837" s="124"/>
      <c r="D837" s="124">
        <f>+'[2]Extra 01'!C764</f>
        <v>27575149.079999998</v>
      </c>
      <c r="E837" s="173">
        <f>+D837</f>
        <v>27575149.079999998</v>
      </c>
      <c r="F837" s="174"/>
      <c r="G837" s="174"/>
      <c r="H837" s="98"/>
      <c r="I837" s="140">
        <f t="shared" ref="I837:N837" si="34">SUM(I838)</f>
        <v>27575149.079999998</v>
      </c>
      <c r="J837" s="140">
        <f t="shared" si="34"/>
        <v>27575149.079999998</v>
      </c>
      <c r="K837" s="140">
        <f t="shared" si="34"/>
        <v>0</v>
      </c>
      <c r="L837" s="140">
        <f t="shared" si="34"/>
        <v>0</v>
      </c>
      <c r="M837" s="140">
        <f t="shared" si="34"/>
        <v>0</v>
      </c>
      <c r="N837" s="140">
        <f t="shared" si="34"/>
        <v>0</v>
      </c>
    </row>
    <row r="838" spans="1:532" s="85" customFormat="1" ht="12.75" customHeight="1">
      <c r="A838" s="122"/>
      <c r="B838" s="240"/>
      <c r="C838" s="124"/>
      <c r="D838" s="124"/>
      <c r="E838" s="124"/>
      <c r="F838" s="174" t="s">
        <v>171</v>
      </c>
      <c r="G838" s="97" t="s">
        <v>410</v>
      </c>
      <c r="H838" s="98" t="s">
        <v>82</v>
      </c>
      <c r="I838" s="124">
        <v>27575149.079999998</v>
      </c>
      <c r="J838" s="125">
        <f>+I838</f>
        <v>27575149.079999998</v>
      </c>
      <c r="K838" s="125"/>
      <c r="L838" s="125"/>
      <c r="M838" s="125"/>
      <c r="N838" s="141">
        <f>-I838+'[2]Extra 01'!H765</f>
        <v>0</v>
      </c>
    </row>
    <row r="839" spans="1:532" s="135" customFormat="1" ht="12.75" customHeight="1">
      <c r="A839" s="111"/>
      <c r="B839" s="243"/>
      <c r="C839" s="112"/>
      <c r="D839" s="112"/>
      <c r="E839" s="112"/>
      <c r="F839" s="242"/>
      <c r="G839" s="113"/>
      <c r="H839" s="114"/>
      <c r="I839" s="115"/>
      <c r="J839" s="115"/>
      <c r="K839" s="115"/>
      <c r="L839" s="115"/>
      <c r="M839" s="115"/>
      <c r="N839" s="116"/>
      <c r="O839" s="85"/>
      <c r="P839" s="85"/>
      <c r="Q839" s="85"/>
      <c r="R839" s="85"/>
      <c r="S839" s="85"/>
      <c r="T839" s="85"/>
      <c r="U839" s="85"/>
      <c r="V839" s="85"/>
      <c r="W839" s="85"/>
      <c r="X839" s="85"/>
      <c r="Y839" s="85"/>
      <c r="Z839" s="85"/>
      <c r="AA839" s="85"/>
      <c r="AB839" s="85"/>
      <c r="AC839" s="85"/>
      <c r="AD839" s="85"/>
      <c r="AE839" s="85"/>
      <c r="AF839" s="85"/>
      <c r="AG839" s="85"/>
      <c r="AH839" s="85"/>
      <c r="AI839" s="85"/>
      <c r="AJ839" s="85"/>
      <c r="AK839" s="85"/>
      <c r="AL839" s="85"/>
      <c r="AM839" s="85"/>
      <c r="AN839" s="85"/>
      <c r="AO839" s="85"/>
      <c r="AP839" s="85"/>
      <c r="AQ839" s="85"/>
      <c r="AR839" s="85"/>
      <c r="AS839" s="85"/>
      <c r="AT839" s="85"/>
      <c r="AU839" s="85"/>
      <c r="AV839" s="85"/>
      <c r="AW839" s="85"/>
      <c r="AX839" s="85"/>
      <c r="AY839" s="85"/>
      <c r="AZ839" s="85"/>
      <c r="BA839" s="85"/>
      <c r="BB839" s="85"/>
      <c r="BC839" s="85"/>
      <c r="BD839" s="85"/>
      <c r="BE839" s="85"/>
      <c r="BF839" s="85"/>
      <c r="BG839" s="85"/>
      <c r="BH839" s="85"/>
      <c r="BI839" s="85"/>
      <c r="BJ839" s="85"/>
      <c r="BK839" s="85"/>
      <c r="BL839" s="85"/>
      <c r="BM839" s="85"/>
      <c r="BN839" s="85"/>
      <c r="BO839" s="85"/>
      <c r="BP839" s="85"/>
      <c r="BQ839" s="85"/>
      <c r="BR839" s="85"/>
      <c r="BS839" s="85"/>
      <c r="BT839" s="85"/>
      <c r="BU839" s="85"/>
      <c r="BV839" s="85"/>
      <c r="BW839" s="85"/>
      <c r="BX839" s="85"/>
      <c r="BY839" s="85"/>
      <c r="BZ839" s="85"/>
      <c r="CA839" s="85"/>
      <c r="CB839" s="85"/>
      <c r="CC839" s="85"/>
      <c r="CD839" s="85"/>
      <c r="CE839" s="85"/>
      <c r="CF839" s="85"/>
      <c r="CG839" s="85"/>
      <c r="CH839" s="85"/>
      <c r="CI839" s="85"/>
      <c r="CJ839" s="85"/>
      <c r="CK839" s="85"/>
      <c r="CL839" s="85"/>
      <c r="CM839" s="85"/>
      <c r="CN839" s="85"/>
      <c r="CO839" s="85"/>
      <c r="CP839" s="85"/>
      <c r="CQ839" s="85"/>
      <c r="CR839" s="85"/>
      <c r="CS839" s="85"/>
      <c r="CT839" s="85"/>
      <c r="CU839" s="85"/>
      <c r="CV839" s="85"/>
      <c r="CW839" s="85"/>
      <c r="CX839" s="85"/>
      <c r="CY839" s="85"/>
      <c r="CZ839" s="85"/>
      <c r="DA839" s="85"/>
      <c r="DB839" s="85"/>
      <c r="DC839" s="85"/>
      <c r="DD839" s="85"/>
      <c r="DE839" s="85"/>
      <c r="DF839" s="85"/>
      <c r="DG839" s="85"/>
      <c r="DH839" s="85"/>
      <c r="DI839" s="85"/>
      <c r="DJ839" s="85"/>
      <c r="DK839" s="85"/>
      <c r="DL839" s="85"/>
      <c r="DM839" s="85"/>
      <c r="DN839" s="85"/>
      <c r="DO839" s="85"/>
      <c r="DP839" s="85"/>
      <c r="DQ839" s="85"/>
      <c r="DR839" s="85"/>
      <c r="DS839" s="85"/>
      <c r="DT839" s="85"/>
      <c r="DU839" s="85"/>
      <c r="DV839" s="85"/>
      <c r="DW839" s="85"/>
      <c r="DX839" s="85"/>
      <c r="DY839" s="85"/>
      <c r="DZ839" s="85"/>
      <c r="EA839" s="85"/>
      <c r="EB839" s="85"/>
      <c r="EC839" s="85"/>
      <c r="ED839" s="85"/>
      <c r="EE839" s="85"/>
      <c r="EF839" s="85"/>
      <c r="EG839" s="85"/>
      <c r="EH839" s="85"/>
      <c r="EI839" s="85"/>
      <c r="EJ839" s="85"/>
      <c r="EK839" s="85"/>
      <c r="EL839" s="85"/>
      <c r="EM839" s="85"/>
      <c r="EN839" s="85"/>
      <c r="EO839" s="85"/>
      <c r="EP839" s="85"/>
      <c r="EQ839" s="85"/>
      <c r="ER839" s="85"/>
      <c r="ES839" s="85"/>
      <c r="ET839" s="85"/>
      <c r="EU839" s="85"/>
      <c r="EV839" s="85"/>
      <c r="EW839" s="85"/>
      <c r="EX839" s="85"/>
      <c r="EY839" s="85"/>
      <c r="EZ839" s="85"/>
      <c r="FA839" s="85"/>
      <c r="FB839" s="85"/>
      <c r="FC839" s="85"/>
      <c r="FD839" s="85"/>
      <c r="FE839" s="85"/>
      <c r="FF839" s="85"/>
      <c r="FG839" s="85"/>
      <c r="FH839" s="85"/>
      <c r="FI839" s="85"/>
      <c r="FJ839" s="85"/>
      <c r="FK839" s="85"/>
      <c r="FL839" s="85"/>
      <c r="FM839" s="85"/>
      <c r="FN839" s="85"/>
      <c r="FO839" s="85"/>
      <c r="FP839" s="85"/>
      <c r="FQ839" s="85"/>
      <c r="FR839" s="85"/>
      <c r="FS839" s="85"/>
      <c r="FT839" s="85"/>
      <c r="FU839" s="85"/>
      <c r="FV839" s="85"/>
      <c r="FW839" s="85"/>
      <c r="FX839" s="85"/>
      <c r="FY839" s="85"/>
      <c r="FZ839" s="85"/>
      <c r="GA839" s="85"/>
      <c r="GB839" s="85"/>
      <c r="GC839" s="85"/>
      <c r="GD839" s="85"/>
      <c r="GE839" s="85"/>
      <c r="GF839" s="85"/>
      <c r="GG839" s="85"/>
      <c r="GH839" s="85"/>
      <c r="GI839" s="85"/>
      <c r="GJ839" s="85"/>
      <c r="GK839" s="85"/>
      <c r="GL839" s="85"/>
      <c r="GM839" s="85"/>
      <c r="GN839" s="85"/>
      <c r="GO839" s="85"/>
      <c r="GP839" s="85"/>
      <c r="GQ839" s="85"/>
      <c r="GR839" s="85"/>
      <c r="GS839" s="85"/>
      <c r="GT839" s="85"/>
      <c r="GU839" s="85"/>
      <c r="GV839" s="85"/>
      <c r="GW839" s="85"/>
      <c r="GX839" s="85"/>
      <c r="GY839" s="85"/>
      <c r="GZ839" s="85"/>
      <c r="HA839" s="85"/>
      <c r="HB839" s="85"/>
      <c r="HC839" s="85"/>
      <c r="HD839" s="85"/>
      <c r="HE839" s="85"/>
      <c r="HF839" s="85"/>
      <c r="HG839" s="85"/>
      <c r="HH839" s="85"/>
      <c r="HI839" s="85"/>
      <c r="HJ839" s="85"/>
      <c r="HK839" s="85"/>
      <c r="HL839" s="85"/>
      <c r="HM839" s="85"/>
      <c r="HN839" s="85"/>
      <c r="HO839" s="85"/>
      <c r="HP839" s="85"/>
      <c r="HQ839" s="85"/>
      <c r="HR839" s="85"/>
      <c r="HS839" s="85"/>
      <c r="HT839" s="85"/>
      <c r="HU839" s="85"/>
      <c r="HV839" s="85"/>
      <c r="HW839" s="85"/>
      <c r="HX839" s="85"/>
      <c r="HY839" s="85"/>
      <c r="HZ839" s="85"/>
      <c r="IA839" s="85"/>
      <c r="IB839" s="85"/>
      <c r="IC839" s="85"/>
      <c r="ID839" s="85"/>
      <c r="IE839" s="85"/>
      <c r="IF839" s="85"/>
      <c r="IG839" s="85"/>
      <c r="IH839" s="85"/>
      <c r="II839" s="85"/>
      <c r="IJ839" s="85"/>
      <c r="IK839" s="85"/>
      <c r="IL839" s="85"/>
      <c r="IM839" s="85"/>
      <c r="IN839" s="85"/>
      <c r="IO839" s="85"/>
      <c r="IP839" s="85"/>
      <c r="IQ839" s="85"/>
      <c r="IR839" s="85"/>
      <c r="IS839" s="85"/>
      <c r="IT839" s="85"/>
      <c r="IU839" s="85"/>
      <c r="IV839" s="85"/>
      <c r="IW839" s="85"/>
      <c r="IX839" s="85"/>
      <c r="IY839" s="85"/>
      <c r="IZ839" s="85"/>
      <c r="JA839" s="85"/>
      <c r="JB839" s="85"/>
      <c r="JC839" s="85"/>
      <c r="JD839" s="85"/>
      <c r="JE839" s="85"/>
      <c r="JF839" s="85"/>
      <c r="JG839" s="85"/>
      <c r="JH839" s="85"/>
      <c r="JI839" s="85"/>
      <c r="JJ839" s="85"/>
      <c r="JK839" s="85"/>
      <c r="JL839" s="85"/>
      <c r="JM839" s="85"/>
      <c r="JN839" s="85"/>
      <c r="JO839" s="85"/>
      <c r="JP839" s="85"/>
      <c r="JQ839" s="85"/>
      <c r="JR839" s="85"/>
      <c r="JS839" s="85"/>
      <c r="JT839" s="85"/>
      <c r="JU839" s="85"/>
      <c r="JV839" s="85"/>
      <c r="JW839" s="85"/>
      <c r="JX839" s="85"/>
      <c r="JY839" s="85"/>
      <c r="JZ839" s="85"/>
      <c r="KA839" s="85"/>
      <c r="KB839" s="85"/>
      <c r="KC839" s="85"/>
      <c r="KD839" s="85"/>
      <c r="KE839" s="85"/>
      <c r="KF839" s="85"/>
      <c r="KG839" s="85"/>
      <c r="KH839" s="85"/>
      <c r="KI839" s="85"/>
      <c r="KJ839" s="85"/>
      <c r="KK839" s="85"/>
      <c r="KL839" s="85"/>
      <c r="KM839" s="85"/>
      <c r="KN839" s="85"/>
      <c r="KO839" s="85"/>
      <c r="KP839" s="85"/>
      <c r="KQ839" s="85"/>
      <c r="KR839" s="85"/>
      <c r="KS839" s="85"/>
      <c r="KT839" s="85"/>
      <c r="KU839" s="85"/>
      <c r="KV839" s="85"/>
      <c r="KW839" s="85"/>
      <c r="KX839" s="85"/>
      <c r="KY839" s="85"/>
      <c r="KZ839" s="85"/>
      <c r="LA839" s="85"/>
      <c r="LB839" s="85"/>
      <c r="LC839" s="85"/>
      <c r="LD839" s="85"/>
      <c r="LE839" s="85"/>
      <c r="LF839" s="85"/>
      <c r="LG839" s="85"/>
      <c r="LH839" s="85"/>
      <c r="LI839" s="85"/>
      <c r="LJ839" s="85"/>
      <c r="LK839" s="85"/>
      <c r="LL839" s="85"/>
      <c r="LM839" s="85"/>
      <c r="LN839" s="85"/>
      <c r="LO839" s="85"/>
      <c r="LP839" s="85"/>
      <c r="LQ839" s="85"/>
      <c r="LR839" s="85"/>
      <c r="LS839" s="85"/>
      <c r="LT839" s="85"/>
      <c r="LU839" s="85"/>
      <c r="LV839" s="85"/>
      <c r="LW839" s="85"/>
      <c r="LX839" s="85"/>
      <c r="LY839" s="85"/>
      <c r="LZ839" s="85"/>
      <c r="MA839" s="85"/>
      <c r="MB839" s="85"/>
      <c r="MC839" s="85"/>
      <c r="MD839" s="85"/>
      <c r="ME839" s="85"/>
      <c r="MF839" s="85"/>
      <c r="MG839" s="85"/>
      <c r="MH839" s="85"/>
      <c r="MI839" s="85"/>
      <c r="MJ839" s="85"/>
      <c r="MK839" s="85"/>
      <c r="ML839" s="85"/>
      <c r="MM839" s="85"/>
      <c r="MN839" s="85"/>
      <c r="MO839" s="85"/>
      <c r="MP839" s="85"/>
      <c r="MQ839" s="85"/>
      <c r="MR839" s="85"/>
      <c r="MS839" s="85"/>
      <c r="MT839" s="85"/>
      <c r="MU839" s="85"/>
      <c r="MV839" s="85"/>
      <c r="MW839" s="85"/>
      <c r="MX839" s="85"/>
      <c r="MY839" s="85"/>
      <c r="MZ839" s="85"/>
      <c r="NA839" s="85"/>
      <c r="NB839" s="85"/>
      <c r="NC839" s="85"/>
      <c r="ND839" s="85"/>
      <c r="NE839" s="85"/>
      <c r="NF839" s="85"/>
      <c r="NG839" s="85"/>
      <c r="NH839" s="85"/>
      <c r="NI839" s="85"/>
      <c r="NJ839" s="85"/>
      <c r="NK839" s="85"/>
      <c r="NL839" s="85"/>
      <c r="NM839" s="85"/>
      <c r="NN839" s="85"/>
      <c r="NO839" s="85"/>
      <c r="NP839" s="85"/>
      <c r="NQ839" s="85"/>
      <c r="NR839" s="85"/>
      <c r="NS839" s="85"/>
      <c r="NT839" s="85"/>
      <c r="NU839" s="85"/>
      <c r="NV839" s="85"/>
      <c r="NW839" s="85"/>
      <c r="NX839" s="85"/>
      <c r="NY839" s="85"/>
      <c r="NZ839" s="85"/>
      <c r="OA839" s="85"/>
      <c r="OB839" s="85"/>
      <c r="OC839" s="85"/>
      <c r="OD839" s="85"/>
      <c r="OE839" s="85"/>
      <c r="OF839" s="85"/>
      <c r="OG839" s="85"/>
      <c r="OH839" s="85"/>
      <c r="OI839" s="85"/>
      <c r="OJ839" s="85"/>
      <c r="OK839" s="85"/>
      <c r="OL839" s="85"/>
      <c r="OM839" s="85"/>
      <c r="ON839" s="85"/>
      <c r="OO839" s="85"/>
      <c r="OP839" s="85"/>
      <c r="OQ839" s="85"/>
      <c r="OR839" s="85"/>
      <c r="OS839" s="85"/>
      <c r="OT839" s="85"/>
      <c r="OU839" s="85"/>
      <c r="OV839" s="85"/>
      <c r="OW839" s="85"/>
      <c r="OX839" s="85"/>
      <c r="OY839" s="85"/>
      <c r="OZ839" s="85"/>
      <c r="PA839" s="85"/>
      <c r="PB839" s="85"/>
      <c r="PC839" s="85"/>
      <c r="PD839" s="85"/>
      <c r="PE839" s="85"/>
      <c r="PF839" s="85"/>
      <c r="PG839" s="85"/>
      <c r="PH839" s="85"/>
      <c r="PI839" s="85"/>
      <c r="PJ839" s="85"/>
      <c r="PK839" s="85"/>
      <c r="PL839" s="85"/>
      <c r="PM839" s="85"/>
      <c r="PN839" s="85"/>
      <c r="PO839" s="85"/>
      <c r="PP839" s="85"/>
      <c r="PQ839" s="85"/>
      <c r="PR839" s="85"/>
      <c r="PS839" s="85"/>
      <c r="PT839" s="85"/>
      <c r="PU839" s="85"/>
      <c r="PV839" s="85"/>
      <c r="PW839" s="85"/>
      <c r="PX839" s="85"/>
      <c r="PY839" s="85"/>
      <c r="PZ839" s="85"/>
      <c r="QA839" s="85"/>
      <c r="QB839" s="85"/>
      <c r="QC839" s="85"/>
      <c r="QD839" s="85"/>
      <c r="QE839" s="85"/>
      <c r="QF839" s="85"/>
      <c r="QG839" s="85"/>
      <c r="QH839" s="85"/>
      <c r="QI839" s="85"/>
      <c r="QJ839" s="85"/>
      <c r="QK839" s="85"/>
      <c r="QL839" s="85"/>
      <c r="QM839" s="85"/>
      <c r="QN839" s="85"/>
      <c r="QO839" s="85"/>
      <c r="QP839" s="85"/>
      <c r="QQ839" s="85"/>
      <c r="QR839" s="85"/>
      <c r="QS839" s="85"/>
      <c r="QT839" s="85"/>
      <c r="QU839" s="85"/>
      <c r="QV839" s="85"/>
      <c r="QW839" s="85"/>
      <c r="QX839" s="85"/>
      <c r="QY839" s="85"/>
      <c r="QZ839" s="85"/>
      <c r="RA839" s="85"/>
      <c r="RB839" s="85"/>
      <c r="RC839" s="85"/>
      <c r="RD839" s="85"/>
      <c r="RE839" s="85"/>
      <c r="RF839" s="85"/>
      <c r="RG839" s="85"/>
      <c r="RH839" s="85"/>
      <c r="RI839" s="85"/>
      <c r="RJ839" s="85"/>
      <c r="RK839" s="85"/>
      <c r="RL839" s="85"/>
      <c r="RM839" s="85"/>
      <c r="RN839" s="85"/>
      <c r="RO839" s="85"/>
      <c r="RP839" s="85"/>
      <c r="RQ839" s="85"/>
      <c r="RR839" s="85"/>
      <c r="RS839" s="85"/>
      <c r="RT839" s="85"/>
      <c r="RU839" s="85"/>
      <c r="RV839" s="85"/>
      <c r="RW839" s="85"/>
      <c r="RX839" s="85"/>
      <c r="RY839" s="85"/>
      <c r="RZ839" s="85"/>
      <c r="SA839" s="85"/>
      <c r="SB839" s="85"/>
      <c r="SC839" s="85"/>
      <c r="SD839" s="85"/>
      <c r="SE839" s="85"/>
      <c r="SF839" s="85"/>
      <c r="SG839" s="85"/>
      <c r="SH839" s="85"/>
      <c r="SI839" s="85"/>
      <c r="SJ839" s="85"/>
      <c r="SK839" s="85"/>
      <c r="SL839" s="85"/>
      <c r="SM839" s="85"/>
      <c r="SN839" s="85"/>
      <c r="SO839" s="85"/>
      <c r="SP839" s="85"/>
      <c r="SQ839" s="85"/>
      <c r="SR839" s="85"/>
      <c r="SS839" s="85"/>
      <c r="ST839" s="85"/>
      <c r="SU839" s="85"/>
      <c r="SV839" s="85"/>
      <c r="SW839" s="85"/>
      <c r="SX839" s="85"/>
      <c r="SY839" s="85"/>
      <c r="SZ839" s="85"/>
      <c r="TA839" s="85"/>
      <c r="TB839" s="85"/>
      <c r="TC839" s="85"/>
      <c r="TD839" s="85"/>
      <c r="TE839" s="85"/>
      <c r="TF839" s="85"/>
      <c r="TG839" s="85"/>
      <c r="TH839" s="85"/>
      <c r="TI839" s="85"/>
      <c r="TJ839" s="85"/>
      <c r="TK839" s="85"/>
      <c r="TL839" s="85"/>
    </row>
    <row r="840" spans="1:532" s="85" customFormat="1" ht="12.75" customHeight="1">
      <c r="A840" s="122" t="s">
        <v>411</v>
      </c>
      <c r="B840" s="175" t="s">
        <v>412</v>
      </c>
      <c r="C840" s="124"/>
      <c r="D840" s="124">
        <f>+'[2]EXTRA 2'!C679</f>
        <v>7935402.6400000006</v>
      </c>
      <c r="E840" s="173">
        <v>39847016.310000002</v>
      </c>
      <c r="F840" s="174"/>
      <c r="G840" s="174"/>
      <c r="H840" s="98"/>
      <c r="I840" s="140">
        <f>SUM(I841)</f>
        <v>7935402.6399999997</v>
      </c>
      <c r="J840" s="140">
        <f>SUM(J841)</f>
        <v>0</v>
      </c>
      <c r="K840" s="140">
        <f>SUM(K841)</f>
        <v>7935402.6399999997</v>
      </c>
      <c r="L840" s="140">
        <f>SUM(L841)</f>
        <v>0</v>
      </c>
      <c r="M840" s="140">
        <f>SUM(M841)</f>
        <v>0</v>
      </c>
      <c r="N840" s="140">
        <f>SUM(N841:N842)</f>
        <v>31911613.670000002</v>
      </c>
    </row>
    <row r="841" spans="1:532" s="85" customFormat="1" ht="12.75" customHeight="1">
      <c r="A841" s="122"/>
      <c r="B841" s="240"/>
      <c r="C841" s="124"/>
      <c r="D841" s="124"/>
      <c r="E841" s="124"/>
      <c r="F841" s="174" t="s">
        <v>568</v>
      </c>
      <c r="G841" s="174" t="s">
        <v>414</v>
      </c>
      <c r="H841" s="98" t="s">
        <v>81</v>
      </c>
      <c r="I841" s="125">
        <v>7935402.6399999997</v>
      </c>
      <c r="J841" s="125"/>
      <c r="K841" s="125">
        <f>+I841</f>
        <v>7935402.6399999997</v>
      </c>
      <c r="L841" s="125"/>
      <c r="M841" s="125"/>
      <c r="N841" s="141">
        <f>+'[2]EXTRA 2'!H681-'3_Detalle Origen y Aplicación'!I841</f>
        <v>0</v>
      </c>
    </row>
    <row r="842" spans="1:532" s="85" customFormat="1" ht="12.75" customHeight="1">
      <c r="A842" s="122"/>
      <c r="B842" s="240"/>
      <c r="C842" s="124"/>
      <c r="D842" s="124"/>
      <c r="E842" s="124"/>
      <c r="F842" s="174" t="s">
        <v>415</v>
      </c>
      <c r="G842" s="174"/>
      <c r="H842" s="98"/>
      <c r="I842" s="125"/>
      <c r="J842" s="125"/>
      <c r="K842" s="125"/>
      <c r="L842" s="125"/>
      <c r="M842" s="125"/>
      <c r="N842" s="126">
        <f>+E840-D840</f>
        <v>31911613.670000002</v>
      </c>
    </row>
    <row r="843" spans="1:532" s="135" customFormat="1" ht="12.75" customHeight="1">
      <c r="A843" s="111"/>
      <c r="B843" s="243"/>
      <c r="C843" s="112"/>
      <c r="D843" s="112"/>
      <c r="E843" s="112"/>
      <c r="F843" s="242"/>
      <c r="G843" s="113"/>
      <c r="H843" s="114"/>
      <c r="I843" s="115"/>
      <c r="J843" s="115"/>
      <c r="K843" s="115"/>
      <c r="L843" s="115"/>
      <c r="M843" s="115"/>
      <c r="N843" s="116"/>
      <c r="O843" s="85"/>
      <c r="P843" s="85"/>
      <c r="Q843" s="85"/>
      <c r="R843" s="85"/>
      <c r="S843" s="85"/>
      <c r="T843" s="85"/>
      <c r="U843" s="85"/>
      <c r="V843" s="85"/>
      <c r="W843" s="85"/>
      <c r="X843" s="85"/>
      <c r="Y843" s="85"/>
      <c r="Z843" s="85"/>
      <c r="AA843" s="85"/>
      <c r="AB843" s="85"/>
      <c r="AC843" s="85"/>
      <c r="AD843" s="85"/>
      <c r="AE843" s="85"/>
      <c r="AF843" s="85"/>
      <c r="AG843" s="85"/>
      <c r="AH843" s="85"/>
      <c r="AI843" s="85"/>
      <c r="AJ843" s="85"/>
      <c r="AK843" s="85"/>
      <c r="AL843" s="85"/>
      <c r="AM843" s="85"/>
      <c r="AN843" s="85"/>
      <c r="AO843" s="85"/>
      <c r="AP843" s="85"/>
      <c r="AQ843" s="85"/>
      <c r="AR843" s="85"/>
      <c r="AS843" s="85"/>
      <c r="AT843" s="85"/>
      <c r="AU843" s="85"/>
      <c r="AV843" s="85"/>
      <c r="AW843" s="85"/>
      <c r="AX843" s="85"/>
      <c r="AY843" s="85"/>
      <c r="AZ843" s="85"/>
      <c r="BA843" s="85"/>
      <c r="BB843" s="85"/>
      <c r="BC843" s="85"/>
      <c r="BD843" s="85"/>
      <c r="BE843" s="85"/>
      <c r="BF843" s="85"/>
      <c r="BG843" s="85"/>
      <c r="BH843" s="85"/>
      <c r="BI843" s="85"/>
      <c r="BJ843" s="85"/>
      <c r="BK843" s="85"/>
      <c r="BL843" s="85"/>
      <c r="BM843" s="85"/>
      <c r="BN843" s="85"/>
      <c r="BO843" s="85"/>
      <c r="BP843" s="85"/>
      <c r="BQ843" s="85"/>
      <c r="BR843" s="85"/>
      <c r="BS843" s="85"/>
      <c r="BT843" s="85"/>
      <c r="BU843" s="85"/>
      <c r="BV843" s="85"/>
      <c r="BW843" s="85"/>
      <c r="BX843" s="85"/>
      <c r="BY843" s="85"/>
      <c r="BZ843" s="85"/>
      <c r="CA843" s="85"/>
      <c r="CB843" s="85"/>
      <c r="CC843" s="85"/>
      <c r="CD843" s="85"/>
      <c r="CE843" s="85"/>
      <c r="CF843" s="85"/>
      <c r="CG843" s="85"/>
      <c r="CH843" s="85"/>
      <c r="CI843" s="85"/>
      <c r="CJ843" s="85"/>
      <c r="CK843" s="85"/>
      <c r="CL843" s="85"/>
      <c r="CM843" s="85"/>
      <c r="CN843" s="85"/>
      <c r="CO843" s="85"/>
      <c r="CP843" s="85"/>
      <c r="CQ843" s="85"/>
      <c r="CR843" s="85"/>
      <c r="CS843" s="85"/>
      <c r="CT843" s="85"/>
      <c r="CU843" s="85"/>
      <c r="CV843" s="85"/>
      <c r="CW843" s="85"/>
      <c r="CX843" s="85"/>
      <c r="CY843" s="85"/>
      <c r="CZ843" s="85"/>
      <c r="DA843" s="85"/>
      <c r="DB843" s="85"/>
      <c r="DC843" s="85"/>
      <c r="DD843" s="85"/>
      <c r="DE843" s="85"/>
      <c r="DF843" s="85"/>
      <c r="DG843" s="85"/>
      <c r="DH843" s="85"/>
      <c r="DI843" s="85"/>
      <c r="DJ843" s="85"/>
      <c r="DK843" s="85"/>
      <c r="DL843" s="85"/>
      <c r="DM843" s="85"/>
      <c r="DN843" s="85"/>
      <c r="DO843" s="85"/>
      <c r="DP843" s="85"/>
      <c r="DQ843" s="85"/>
      <c r="DR843" s="85"/>
      <c r="DS843" s="85"/>
      <c r="DT843" s="85"/>
      <c r="DU843" s="85"/>
      <c r="DV843" s="85"/>
      <c r="DW843" s="85"/>
      <c r="DX843" s="85"/>
      <c r="DY843" s="85"/>
      <c r="DZ843" s="85"/>
      <c r="EA843" s="85"/>
      <c r="EB843" s="85"/>
      <c r="EC843" s="85"/>
      <c r="ED843" s="85"/>
      <c r="EE843" s="85"/>
      <c r="EF843" s="85"/>
      <c r="EG843" s="85"/>
      <c r="EH843" s="85"/>
      <c r="EI843" s="85"/>
      <c r="EJ843" s="85"/>
      <c r="EK843" s="85"/>
      <c r="EL843" s="85"/>
      <c r="EM843" s="85"/>
      <c r="EN843" s="85"/>
      <c r="EO843" s="85"/>
      <c r="EP843" s="85"/>
      <c r="EQ843" s="85"/>
      <c r="ER843" s="85"/>
      <c r="ES843" s="85"/>
      <c r="ET843" s="85"/>
      <c r="EU843" s="85"/>
      <c r="EV843" s="85"/>
      <c r="EW843" s="85"/>
      <c r="EX843" s="85"/>
      <c r="EY843" s="85"/>
      <c r="EZ843" s="85"/>
      <c r="FA843" s="85"/>
      <c r="FB843" s="85"/>
      <c r="FC843" s="85"/>
      <c r="FD843" s="85"/>
      <c r="FE843" s="85"/>
      <c r="FF843" s="85"/>
      <c r="FG843" s="85"/>
      <c r="FH843" s="85"/>
      <c r="FI843" s="85"/>
      <c r="FJ843" s="85"/>
      <c r="FK843" s="85"/>
      <c r="FL843" s="85"/>
      <c r="FM843" s="85"/>
      <c r="FN843" s="85"/>
      <c r="FO843" s="85"/>
      <c r="FP843" s="85"/>
      <c r="FQ843" s="85"/>
      <c r="FR843" s="85"/>
      <c r="FS843" s="85"/>
      <c r="FT843" s="85"/>
      <c r="FU843" s="85"/>
      <c r="FV843" s="85"/>
      <c r="FW843" s="85"/>
      <c r="FX843" s="85"/>
      <c r="FY843" s="85"/>
      <c r="FZ843" s="85"/>
      <c r="GA843" s="85"/>
      <c r="GB843" s="85"/>
      <c r="GC843" s="85"/>
      <c r="GD843" s="85"/>
      <c r="GE843" s="85"/>
      <c r="GF843" s="85"/>
      <c r="GG843" s="85"/>
      <c r="GH843" s="85"/>
      <c r="GI843" s="85"/>
      <c r="GJ843" s="85"/>
      <c r="GK843" s="85"/>
      <c r="GL843" s="85"/>
      <c r="GM843" s="85"/>
      <c r="GN843" s="85"/>
      <c r="GO843" s="85"/>
      <c r="GP843" s="85"/>
      <c r="GQ843" s="85"/>
      <c r="GR843" s="85"/>
      <c r="GS843" s="85"/>
      <c r="GT843" s="85"/>
      <c r="GU843" s="85"/>
      <c r="GV843" s="85"/>
      <c r="GW843" s="85"/>
      <c r="GX843" s="85"/>
      <c r="GY843" s="85"/>
      <c r="GZ843" s="85"/>
      <c r="HA843" s="85"/>
      <c r="HB843" s="85"/>
      <c r="HC843" s="85"/>
      <c r="HD843" s="85"/>
      <c r="HE843" s="85"/>
      <c r="HF843" s="85"/>
      <c r="HG843" s="85"/>
      <c r="HH843" s="85"/>
      <c r="HI843" s="85"/>
      <c r="HJ843" s="85"/>
      <c r="HK843" s="85"/>
      <c r="HL843" s="85"/>
      <c r="HM843" s="85"/>
      <c r="HN843" s="85"/>
      <c r="HO843" s="85"/>
      <c r="HP843" s="85"/>
      <c r="HQ843" s="85"/>
      <c r="HR843" s="85"/>
      <c r="HS843" s="85"/>
      <c r="HT843" s="85"/>
      <c r="HU843" s="85"/>
      <c r="HV843" s="85"/>
      <c r="HW843" s="85"/>
      <c r="HX843" s="85"/>
      <c r="HY843" s="85"/>
      <c r="HZ843" s="85"/>
      <c r="IA843" s="85"/>
      <c r="IB843" s="85"/>
      <c r="IC843" s="85"/>
      <c r="ID843" s="85"/>
      <c r="IE843" s="85"/>
      <c r="IF843" s="85"/>
      <c r="IG843" s="85"/>
      <c r="IH843" s="85"/>
      <c r="II843" s="85"/>
      <c r="IJ843" s="85"/>
      <c r="IK843" s="85"/>
      <c r="IL843" s="85"/>
      <c r="IM843" s="85"/>
      <c r="IN843" s="85"/>
      <c r="IO843" s="85"/>
      <c r="IP843" s="85"/>
      <c r="IQ843" s="85"/>
      <c r="IR843" s="85"/>
      <c r="IS843" s="85"/>
      <c r="IT843" s="85"/>
      <c r="IU843" s="85"/>
      <c r="IV843" s="85"/>
      <c r="IW843" s="85"/>
      <c r="IX843" s="85"/>
      <c r="IY843" s="85"/>
      <c r="IZ843" s="85"/>
      <c r="JA843" s="85"/>
      <c r="JB843" s="85"/>
      <c r="JC843" s="85"/>
      <c r="JD843" s="85"/>
      <c r="JE843" s="85"/>
      <c r="JF843" s="85"/>
      <c r="JG843" s="85"/>
      <c r="JH843" s="85"/>
      <c r="JI843" s="85"/>
      <c r="JJ843" s="85"/>
      <c r="JK843" s="85"/>
      <c r="JL843" s="85"/>
      <c r="JM843" s="85"/>
      <c r="JN843" s="85"/>
      <c r="JO843" s="85"/>
      <c r="JP843" s="85"/>
      <c r="JQ843" s="85"/>
      <c r="JR843" s="85"/>
      <c r="JS843" s="85"/>
      <c r="JT843" s="85"/>
      <c r="JU843" s="85"/>
      <c r="JV843" s="85"/>
      <c r="JW843" s="85"/>
      <c r="JX843" s="85"/>
      <c r="JY843" s="85"/>
      <c r="JZ843" s="85"/>
      <c r="KA843" s="85"/>
      <c r="KB843" s="85"/>
      <c r="KC843" s="85"/>
      <c r="KD843" s="85"/>
      <c r="KE843" s="85"/>
      <c r="KF843" s="85"/>
      <c r="KG843" s="85"/>
      <c r="KH843" s="85"/>
      <c r="KI843" s="85"/>
      <c r="KJ843" s="85"/>
      <c r="KK843" s="85"/>
      <c r="KL843" s="85"/>
      <c r="KM843" s="85"/>
      <c r="KN843" s="85"/>
      <c r="KO843" s="85"/>
      <c r="KP843" s="85"/>
      <c r="KQ843" s="85"/>
      <c r="KR843" s="85"/>
      <c r="KS843" s="85"/>
      <c r="KT843" s="85"/>
      <c r="KU843" s="85"/>
      <c r="KV843" s="85"/>
      <c r="KW843" s="85"/>
      <c r="KX843" s="85"/>
      <c r="KY843" s="85"/>
      <c r="KZ843" s="85"/>
      <c r="LA843" s="85"/>
      <c r="LB843" s="85"/>
      <c r="LC843" s="85"/>
      <c r="LD843" s="85"/>
      <c r="LE843" s="85"/>
      <c r="LF843" s="85"/>
      <c r="LG843" s="85"/>
      <c r="LH843" s="85"/>
      <c r="LI843" s="85"/>
      <c r="LJ843" s="85"/>
      <c r="LK843" s="85"/>
      <c r="LL843" s="85"/>
      <c r="LM843" s="85"/>
      <c r="LN843" s="85"/>
      <c r="LO843" s="85"/>
      <c r="LP843" s="85"/>
      <c r="LQ843" s="85"/>
      <c r="LR843" s="85"/>
      <c r="LS843" s="85"/>
      <c r="LT843" s="85"/>
      <c r="LU843" s="85"/>
      <c r="LV843" s="85"/>
      <c r="LW843" s="85"/>
      <c r="LX843" s="85"/>
      <c r="LY843" s="85"/>
      <c r="LZ843" s="85"/>
      <c r="MA843" s="85"/>
      <c r="MB843" s="85"/>
      <c r="MC843" s="85"/>
      <c r="MD843" s="85"/>
      <c r="ME843" s="85"/>
      <c r="MF843" s="85"/>
      <c r="MG843" s="85"/>
      <c r="MH843" s="85"/>
      <c r="MI843" s="85"/>
      <c r="MJ843" s="85"/>
      <c r="MK843" s="85"/>
      <c r="ML843" s="85"/>
      <c r="MM843" s="85"/>
      <c r="MN843" s="85"/>
      <c r="MO843" s="85"/>
      <c r="MP843" s="85"/>
      <c r="MQ843" s="85"/>
      <c r="MR843" s="85"/>
      <c r="MS843" s="85"/>
      <c r="MT843" s="85"/>
      <c r="MU843" s="85"/>
      <c r="MV843" s="85"/>
      <c r="MW843" s="85"/>
      <c r="MX843" s="85"/>
      <c r="MY843" s="85"/>
      <c r="MZ843" s="85"/>
      <c r="NA843" s="85"/>
      <c r="NB843" s="85"/>
      <c r="NC843" s="85"/>
      <c r="ND843" s="85"/>
      <c r="NE843" s="85"/>
      <c r="NF843" s="85"/>
      <c r="NG843" s="85"/>
      <c r="NH843" s="85"/>
      <c r="NI843" s="85"/>
      <c r="NJ843" s="85"/>
      <c r="NK843" s="85"/>
      <c r="NL843" s="85"/>
      <c r="NM843" s="85"/>
      <c r="NN843" s="85"/>
      <c r="NO843" s="85"/>
      <c r="NP843" s="85"/>
      <c r="NQ843" s="85"/>
      <c r="NR843" s="85"/>
      <c r="NS843" s="85"/>
      <c r="NT843" s="85"/>
      <c r="NU843" s="85"/>
      <c r="NV843" s="85"/>
      <c r="NW843" s="85"/>
      <c r="NX843" s="85"/>
      <c r="NY843" s="85"/>
      <c r="NZ843" s="85"/>
      <c r="OA843" s="85"/>
      <c r="OB843" s="85"/>
      <c r="OC843" s="85"/>
      <c r="OD843" s="85"/>
      <c r="OE843" s="85"/>
      <c r="OF843" s="85"/>
      <c r="OG843" s="85"/>
      <c r="OH843" s="85"/>
      <c r="OI843" s="85"/>
      <c r="OJ843" s="85"/>
      <c r="OK843" s="85"/>
      <c r="OL843" s="85"/>
      <c r="OM843" s="85"/>
      <c r="ON843" s="85"/>
      <c r="OO843" s="85"/>
      <c r="OP843" s="85"/>
      <c r="OQ843" s="85"/>
      <c r="OR843" s="85"/>
      <c r="OS843" s="85"/>
      <c r="OT843" s="85"/>
      <c r="OU843" s="85"/>
      <c r="OV843" s="85"/>
      <c r="OW843" s="85"/>
      <c r="OX843" s="85"/>
      <c r="OY843" s="85"/>
      <c r="OZ843" s="85"/>
      <c r="PA843" s="85"/>
      <c r="PB843" s="85"/>
      <c r="PC843" s="85"/>
      <c r="PD843" s="85"/>
      <c r="PE843" s="85"/>
      <c r="PF843" s="85"/>
      <c r="PG843" s="85"/>
      <c r="PH843" s="85"/>
      <c r="PI843" s="85"/>
      <c r="PJ843" s="85"/>
      <c r="PK843" s="85"/>
      <c r="PL843" s="85"/>
      <c r="PM843" s="85"/>
      <c r="PN843" s="85"/>
      <c r="PO843" s="85"/>
      <c r="PP843" s="85"/>
      <c r="PQ843" s="85"/>
      <c r="PR843" s="85"/>
      <c r="PS843" s="85"/>
      <c r="PT843" s="85"/>
      <c r="PU843" s="85"/>
      <c r="PV843" s="85"/>
      <c r="PW843" s="85"/>
      <c r="PX843" s="85"/>
      <c r="PY843" s="85"/>
      <c r="PZ843" s="85"/>
      <c r="QA843" s="85"/>
      <c r="QB843" s="85"/>
      <c r="QC843" s="85"/>
      <c r="QD843" s="85"/>
      <c r="QE843" s="85"/>
      <c r="QF843" s="85"/>
      <c r="QG843" s="85"/>
      <c r="QH843" s="85"/>
      <c r="QI843" s="85"/>
      <c r="QJ843" s="85"/>
      <c r="QK843" s="85"/>
      <c r="QL843" s="85"/>
      <c r="QM843" s="85"/>
      <c r="QN843" s="85"/>
      <c r="QO843" s="85"/>
      <c r="QP843" s="85"/>
      <c r="QQ843" s="85"/>
      <c r="QR843" s="85"/>
      <c r="QS843" s="85"/>
      <c r="QT843" s="85"/>
      <c r="QU843" s="85"/>
      <c r="QV843" s="85"/>
      <c r="QW843" s="85"/>
      <c r="QX843" s="85"/>
      <c r="QY843" s="85"/>
      <c r="QZ843" s="85"/>
      <c r="RA843" s="85"/>
      <c r="RB843" s="85"/>
      <c r="RC843" s="85"/>
      <c r="RD843" s="85"/>
      <c r="RE843" s="85"/>
      <c r="RF843" s="85"/>
      <c r="RG843" s="85"/>
      <c r="RH843" s="85"/>
      <c r="RI843" s="85"/>
      <c r="RJ843" s="85"/>
      <c r="RK843" s="85"/>
      <c r="RL843" s="85"/>
      <c r="RM843" s="85"/>
      <c r="RN843" s="85"/>
      <c r="RO843" s="85"/>
      <c r="RP843" s="85"/>
      <c r="RQ843" s="85"/>
      <c r="RR843" s="85"/>
      <c r="RS843" s="85"/>
      <c r="RT843" s="85"/>
      <c r="RU843" s="85"/>
      <c r="RV843" s="85"/>
      <c r="RW843" s="85"/>
      <c r="RX843" s="85"/>
      <c r="RY843" s="85"/>
      <c r="RZ843" s="85"/>
      <c r="SA843" s="85"/>
      <c r="SB843" s="85"/>
      <c r="SC843" s="85"/>
      <c r="SD843" s="85"/>
      <c r="SE843" s="85"/>
      <c r="SF843" s="85"/>
      <c r="SG843" s="85"/>
      <c r="SH843" s="85"/>
      <c r="SI843" s="85"/>
      <c r="SJ843" s="85"/>
      <c r="SK843" s="85"/>
      <c r="SL843" s="85"/>
      <c r="SM843" s="85"/>
      <c r="SN843" s="85"/>
      <c r="SO843" s="85"/>
      <c r="SP843" s="85"/>
      <c r="SQ843" s="85"/>
      <c r="SR843" s="85"/>
      <c r="SS843" s="85"/>
      <c r="ST843" s="85"/>
      <c r="SU843" s="85"/>
      <c r="SV843" s="85"/>
      <c r="SW843" s="85"/>
      <c r="SX843" s="85"/>
      <c r="SY843" s="85"/>
      <c r="SZ843" s="85"/>
      <c r="TA843" s="85"/>
      <c r="TB843" s="85"/>
      <c r="TC843" s="85"/>
      <c r="TD843" s="85"/>
      <c r="TE843" s="85"/>
      <c r="TF843" s="85"/>
      <c r="TG843" s="85"/>
      <c r="TH843" s="85"/>
      <c r="TI843" s="85"/>
      <c r="TJ843" s="85"/>
      <c r="TK843" s="85"/>
      <c r="TL843" s="85"/>
    </row>
    <row r="844" spans="1:532" s="85" customFormat="1" ht="12.75" customHeight="1">
      <c r="A844" s="122" t="s">
        <v>416</v>
      </c>
      <c r="B844" s="175" t="s">
        <v>92</v>
      </c>
      <c r="C844" s="124"/>
      <c r="D844" s="173">
        <f>+'[2]Extra 01'!C774</f>
        <v>158949415.75</v>
      </c>
      <c r="E844" s="173">
        <f>+D844</f>
        <v>158949415.75</v>
      </c>
      <c r="F844" s="174"/>
      <c r="G844" s="174"/>
      <c r="H844" s="98"/>
      <c r="I844" s="140">
        <f t="shared" ref="I844:N844" si="35">SUM(I845)</f>
        <v>158949415.75</v>
      </c>
      <c r="J844" s="140">
        <f t="shared" si="35"/>
        <v>158949415.75</v>
      </c>
      <c r="K844" s="140">
        <f t="shared" si="35"/>
        <v>0</v>
      </c>
      <c r="L844" s="140">
        <f t="shared" si="35"/>
        <v>0</v>
      </c>
      <c r="M844" s="140">
        <f t="shared" si="35"/>
        <v>0</v>
      </c>
      <c r="N844" s="140">
        <f t="shared" si="35"/>
        <v>0</v>
      </c>
    </row>
    <row r="845" spans="1:532" s="85" customFormat="1" ht="12.75" customHeight="1">
      <c r="A845" s="122"/>
      <c r="B845" s="240"/>
      <c r="C845" s="124"/>
      <c r="D845" s="124"/>
      <c r="E845" s="124"/>
      <c r="F845" s="174" t="s">
        <v>171</v>
      </c>
      <c r="G845" s="97" t="s">
        <v>189</v>
      </c>
      <c r="H845" s="98" t="s">
        <v>82</v>
      </c>
      <c r="I845" s="173">
        <v>158949415.75</v>
      </c>
      <c r="J845" s="125">
        <f>+I845</f>
        <v>158949415.75</v>
      </c>
      <c r="K845" s="125"/>
      <c r="L845" s="125"/>
      <c r="M845" s="125"/>
      <c r="N845" s="141">
        <f>-I845+'[2]Extra 01'!H776</f>
        <v>0</v>
      </c>
    </row>
    <row r="846" spans="1:532" s="135" customFormat="1" ht="12.75" customHeight="1">
      <c r="A846" s="111"/>
      <c r="B846" s="243"/>
      <c r="C846" s="112"/>
      <c r="D846" s="112"/>
      <c r="E846" s="112"/>
      <c r="F846" s="242"/>
      <c r="G846" s="113"/>
      <c r="H846" s="114"/>
      <c r="I846" s="115"/>
      <c r="J846" s="115"/>
      <c r="K846" s="115"/>
      <c r="L846" s="115"/>
      <c r="M846" s="115"/>
      <c r="N846" s="116"/>
      <c r="O846" s="85"/>
      <c r="P846" s="85"/>
      <c r="Q846" s="85"/>
      <c r="R846" s="85"/>
      <c r="S846" s="85"/>
      <c r="T846" s="85"/>
      <c r="U846" s="85"/>
      <c r="V846" s="85"/>
      <c r="W846" s="85"/>
      <c r="X846" s="85"/>
      <c r="Y846" s="85"/>
      <c r="Z846" s="85"/>
      <c r="AA846" s="85"/>
      <c r="AB846" s="85"/>
      <c r="AC846" s="85"/>
      <c r="AD846" s="85"/>
      <c r="AE846" s="85"/>
      <c r="AF846" s="85"/>
      <c r="AG846" s="85"/>
      <c r="AH846" s="85"/>
      <c r="AI846" s="85"/>
      <c r="AJ846" s="85"/>
      <c r="AK846" s="85"/>
      <c r="AL846" s="85"/>
      <c r="AM846" s="85"/>
      <c r="AN846" s="85"/>
      <c r="AO846" s="85"/>
      <c r="AP846" s="85"/>
      <c r="AQ846" s="85"/>
      <c r="AR846" s="85"/>
      <c r="AS846" s="85"/>
      <c r="AT846" s="85"/>
      <c r="AU846" s="85"/>
      <c r="AV846" s="85"/>
      <c r="AW846" s="85"/>
      <c r="AX846" s="85"/>
      <c r="AY846" s="85"/>
      <c r="AZ846" s="85"/>
      <c r="BA846" s="85"/>
      <c r="BB846" s="85"/>
      <c r="BC846" s="85"/>
      <c r="BD846" s="85"/>
      <c r="BE846" s="85"/>
      <c r="BF846" s="85"/>
      <c r="BG846" s="85"/>
      <c r="BH846" s="85"/>
      <c r="BI846" s="85"/>
      <c r="BJ846" s="85"/>
      <c r="BK846" s="85"/>
      <c r="BL846" s="85"/>
      <c r="BM846" s="85"/>
      <c r="BN846" s="85"/>
      <c r="BO846" s="85"/>
      <c r="BP846" s="85"/>
      <c r="BQ846" s="85"/>
      <c r="BR846" s="85"/>
      <c r="BS846" s="85"/>
      <c r="BT846" s="85"/>
      <c r="BU846" s="85"/>
      <c r="BV846" s="85"/>
      <c r="BW846" s="85"/>
      <c r="BX846" s="85"/>
      <c r="BY846" s="85"/>
      <c r="BZ846" s="85"/>
      <c r="CA846" s="85"/>
      <c r="CB846" s="85"/>
      <c r="CC846" s="85"/>
      <c r="CD846" s="85"/>
      <c r="CE846" s="85"/>
      <c r="CF846" s="85"/>
      <c r="CG846" s="85"/>
      <c r="CH846" s="85"/>
      <c r="CI846" s="85"/>
      <c r="CJ846" s="85"/>
      <c r="CK846" s="85"/>
      <c r="CL846" s="85"/>
      <c r="CM846" s="85"/>
      <c r="CN846" s="85"/>
      <c r="CO846" s="85"/>
      <c r="CP846" s="85"/>
      <c r="CQ846" s="85"/>
      <c r="CR846" s="85"/>
      <c r="CS846" s="85"/>
      <c r="CT846" s="85"/>
      <c r="CU846" s="85"/>
      <c r="CV846" s="85"/>
      <c r="CW846" s="85"/>
      <c r="CX846" s="85"/>
      <c r="CY846" s="85"/>
      <c r="CZ846" s="85"/>
      <c r="DA846" s="85"/>
      <c r="DB846" s="85"/>
      <c r="DC846" s="85"/>
      <c r="DD846" s="85"/>
      <c r="DE846" s="85"/>
      <c r="DF846" s="85"/>
      <c r="DG846" s="85"/>
      <c r="DH846" s="85"/>
      <c r="DI846" s="85"/>
      <c r="DJ846" s="85"/>
      <c r="DK846" s="85"/>
      <c r="DL846" s="85"/>
      <c r="DM846" s="85"/>
      <c r="DN846" s="85"/>
      <c r="DO846" s="85"/>
      <c r="DP846" s="85"/>
      <c r="DQ846" s="85"/>
      <c r="DR846" s="85"/>
      <c r="DS846" s="85"/>
      <c r="DT846" s="85"/>
      <c r="DU846" s="85"/>
      <c r="DV846" s="85"/>
      <c r="DW846" s="85"/>
      <c r="DX846" s="85"/>
      <c r="DY846" s="85"/>
      <c r="DZ846" s="85"/>
      <c r="EA846" s="85"/>
      <c r="EB846" s="85"/>
      <c r="EC846" s="85"/>
      <c r="ED846" s="85"/>
      <c r="EE846" s="85"/>
      <c r="EF846" s="85"/>
      <c r="EG846" s="85"/>
      <c r="EH846" s="85"/>
      <c r="EI846" s="85"/>
      <c r="EJ846" s="85"/>
      <c r="EK846" s="85"/>
      <c r="EL846" s="85"/>
      <c r="EM846" s="85"/>
      <c r="EN846" s="85"/>
      <c r="EO846" s="85"/>
      <c r="EP846" s="85"/>
      <c r="EQ846" s="85"/>
      <c r="ER846" s="85"/>
      <c r="ES846" s="85"/>
      <c r="ET846" s="85"/>
      <c r="EU846" s="85"/>
      <c r="EV846" s="85"/>
      <c r="EW846" s="85"/>
      <c r="EX846" s="85"/>
      <c r="EY846" s="85"/>
      <c r="EZ846" s="85"/>
      <c r="FA846" s="85"/>
      <c r="FB846" s="85"/>
      <c r="FC846" s="85"/>
      <c r="FD846" s="85"/>
      <c r="FE846" s="85"/>
      <c r="FF846" s="85"/>
      <c r="FG846" s="85"/>
      <c r="FH846" s="85"/>
      <c r="FI846" s="85"/>
      <c r="FJ846" s="85"/>
      <c r="FK846" s="85"/>
      <c r="FL846" s="85"/>
      <c r="FM846" s="85"/>
      <c r="FN846" s="85"/>
      <c r="FO846" s="85"/>
      <c r="FP846" s="85"/>
      <c r="FQ846" s="85"/>
      <c r="FR846" s="85"/>
      <c r="FS846" s="85"/>
      <c r="FT846" s="85"/>
      <c r="FU846" s="85"/>
      <c r="FV846" s="85"/>
      <c r="FW846" s="85"/>
      <c r="FX846" s="85"/>
      <c r="FY846" s="85"/>
      <c r="FZ846" s="85"/>
      <c r="GA846" s="85"/>
      <c r="GB846" s="85"/>
      <c r="GC846" s="85"/>
      <c r="GD846" s="85"/>
      <c r="GE846" s="85"/>
      <c r="GF846" s="85"/>
      <c r="GG846" s="85"/>
      <c r="GH846" s="85"/>
      <c r="GI846" s="85"/>
      <c r="GJ846" s="85"/>
      <c r="GK846" s="85"/>
      <c r="GL846" s="85"/>
      <c r="GM846" s="85"/>
      <c r="GN846" s="85"/>
      <c r="GO846" s="85"/>
      <c r="GP846" s="85"/>
      <c r="GQ846" s="85"/>
      <c r="GR846" s="85"/>
      <c r="GS846" s="85"/>
      <c r="GT846" s="85"/>
      <c r="GU846" s="85"/>
      <c r="GV846" s="85"/>
      <c r="GW846" s="85"/>
      <c r="GX846" s="85"/>
      <c r="GY846" s="85"/>
      <c r="GZ846" s="85"/>
      <c r="HA846" s="85"/>
      <c r="HB846" s="85"/>
      <c r="HC846" s="85"/>
      <c r="HD846" s="85"/>
      <c r="HE846" s="85"/>
      <c r="HF846" s="85"/>
      <c r="HG846" s="85"/>
      <c r="HH846" s="85"/>
      <c r="HI846" s="85"/>
      <c r="HJ846" s="85"/>
      <c r="HK846" s="85"/>
      <c r="HL846" s="85"/>
      <c r="HM846" s="85"/>
      <c r="HN846" s="85"/>
      <c r="HO846" s="85"/>
      <c r="HP846" s="85"/>
      <c r="HQ846" s="85"/>
      <c r="HR846" s="85"/>
      <c r="HS846" s="85"/>
      <c r="HT846" s="85"/>
      <c r="HU846" s="85"/>
      <c r="HV846" s="85"/>
      <c r="HW846" s="85"/>
      <c r="HX846" s="85"/>
      <c r="HY846" s="85"/>
      <c r="HZ846" s="85"/>
      <c r="IA846" s="85"/>
      <c r="IB846" s="85"/>
      <c r="IC846" s="85"/>
      <c r="ID846" s="85"/>
      <c r="IE846" s="85"/>
      <c r="IF846" s="85"/>
      <c r="IG846" s="85"/>
      <c r="IH846" s="85"/>
      <c r="II846" s="85"/>
      <c r="IJ846" s="85"/>
      <c r="IK846" s="85"/>
      <c r="IL846" s="85"/>
      <c r="IM846" s="85"/>
      <c r="IN846" s="85"/>
      <c r="IO846" s="85"/>
      <c r="IP846" s="85"/>
      <c r="IQ846" s="85"/>
      <c r="IR846" s="85"/>
      <c r="IS846" s="85"/>
      <c r="IT846" s="85"/>
      <c r="IU846" s="85"/>
      <c r="IV846" s="85"/>
      <c r="IW846" s="85"/>
      <c r="IX846" s="85"/>
      <c r="IY846" s="85"/>
      <c r="IZ846" s="85"/>
      <c r="JA846" s="85"/>
      <c r="JB846" s="85"/>
      <c r="JC846" s="85"/>
      <c r="JD846" s="85"/>
      <c r="JE846" s="85"/>
      <c r="JF846" s="85"/>
      <c r="JG846" s="85"/>
      <c r="JH846" s="85"/>
      <c r="JI846" s="85"/>
      <c r="JJ846" s="85"/>
      <c r="JK846" s="85"/>
      <c r="JL846" s="85"/>
      <c r="JM846" s="85"/>
      <c r="JN846" s="85"/>
      <c r="JO846" s="85"/>
      <c r="JP846" s="85"/>
      <c r="JQ846" s="85"/>
      <c r="JR846" s="85"/>
      <c r="JS846" s="85"/>
      <c r="JT846" s="85"/>
      <c r="JU846" s="85"/>
      <c r="JV846" s="85"/>
      <c r="JW846" s="85"/>
      <c r="JX846" s="85"/>
      <c r="JY846" s="85"/>
      <c r="JZ846" s="85"/>
      <c r="KA846" s="85"/>
      <c r="KB846" s="85"/>
      <c r="KC846" s="85"/>
      <c r="KD846" s="85"/>
      <c r="KE846" s="85"/>
      <c r="KF846" s="85"/>
      <c r="KG846" s="85"/>
      <c r="KH846" s="85"/>
      <c r="KI846" s="85"/>
      <c r="KJ846" s="85"/>
      <c r="KK846" s="85"/>
      <c r="KL846" s="85"/>
      <c r="KM846" s="85"/>
      <c r="KN846" s="85"/>
      <c r="KO846" s="85"/>
      <c r="KP846" s="85"/>
      <c r="KQ846" s="85"/>
      <c r="KR846" s="85"/>
      <c r="KS846" s="85"/>
      <c r="KT846" s="85"/>
      <c r="KU846" s="85"/>
      <c r="KV846" s="85"/>
      <c r="KW846" s="85"/>
      <c r="KX846" s="85"/>
      <c r="KY846" s="85"/>
      <c r="KZ846" s="85"/>
      <c r="LA846" s="85"/>
      <c r="LB846" s="85"/>
      <c r="LC846" s="85"/>
      <c r="LD846" s="85"/>
      <c r="LE846" s="85"/>
      <c r="LF846" s="85"/>
      <c r="LG846" s="85"/>
      <c r="LH846" s="85"/>
      <c r="LI846" s="85"/>
      <c r="LJ846" s="85"/>
      <c r="LK846" s="85"/>
      <c r="LL846" s="85"/>
      <c r="LM846" s="85"/>
      <c r="LN846" s="85"/>
      <c r="LO846" s="85"/>
      <c r="LP846" s="85"/>
      <c r="LQ846" s="85"/>
      <c r="LR846" s="85"/>
      <c r="LS846" s="85"/>
      <c r="LT846" s="85"/>
      <c r="LU846" s="85"/>
      <c r="LV846" s="85"/>
      <c r="LW846" s="85"/>
      <c r="LX846" s="85"/>
      <c r="LY846" s="85"/>
      <c r="LZ846" s="85"/>
      <c r="MA846" s="85"/>
      <c r="MB846" s="85"/>
      <c r="MC846" s="85"/>
      <c r="MD846" s="85"/>
      <c r="ME846" s="85"/>
      <c r="MF846" s="85"/>
      <c r="MG846" s="85"/>
      <c r="MH846" s="85"/>
      <c r="MI846" s="85"/>
      <c r="MJ846" s="85"/>
      <c r="MK846" s="85"/>
      <c r="ML846" s="85"/>
      <c r="MM846" s="85"/>
      <c r="MN846" s="85"/>
      <c r="MO846" s="85"/>
      <c r="MP846" s="85"/>
      <c r="MQ846" s="85"/>
      <c r="MR846" s="85"/>
      <c r="MS846" s="85"/>
      <c r="MT846" s="85"/>
      <c r="MU846" s="85"/>
      <c r="MV846" s="85"/>
      <c r="MW846" s="85"/>
      <c r="MX846" s="85"/>
      <c r="MY846" s="85"/>
      <c r="MZ846" s="85"/>
      <c r="NA846" s="85"/>
      <c r="NB846" s="85"/>
      <c r="NC846" s="85"/>
      <c r="ND846" s="85"/>
      <c r="NE846" s="85"/>
      <c r="NF846" s="85"/>
      <c r="NG846" s="85"/>
      <c r="NH846" s="85"/>
      <c r="NI846" s="85"/>
      <c r="NJ846" s="85"/>
      <c r="NK846" s="85"/>
      <c r="NL846" s="85"/>
      <c r="NM846" s="85"/>
      <c r="NN846" s="85"/>
      <c r="NO846" s="85"/>
      <c r="NP846" s="85"/>
      <c r="NQ846" s="85"/>
      <c r="NR846" s="85"/>
      <c r="NS846" s="85"/>
      <c r="NT846" s="85"/>
      <c r="NU846" s="85"/>
      <c r="NV846" s="85"/>
      <c r="NW846" s="85"/>
      <c r="NX846" s="85"/>
      <c r="NY846" s="85"/>
      <c r="NZ846" s="85"/>
      <c r="OA846" s="85"/>
      <c r="OB846" s="85"/>
      <c r="OC846" s="85"/>
      <c r="OD846" s="85"/>
      <c r="OE846" s="85"/>
      <c r="OF846" s="85"/>
      <c r="OG846" s="85"/>
      <c r="OH846" s="85"/>
      <c r="OI846" s="85"/>
      <c r="OJ846" s="85"/>
      <c r="OK846" s="85"/>
      <c r="OL846" s="85"/>
      <c r="OM846" s="85"/>
      <c r="ON846" s="85"/>
      <c r="OO846" s="85"/>
      <c r="OP846" s="85"/>
      <c r="OQ846" s="85"/>
      <c r="OR846" s="85"/>
      <c r="OS846" s="85"/>
      <c r="OT846" s="85"/>
      <c r="OU846" s="85"/>
      <c r="OV846" s="85"/>
      <c r="OW846" s="85"/>
      <c r="OX846" s="85"/>
      <c r="OY846" s="85"/>
      <c r="OZ846" s="85"/>
      <c r="PA846" s="85"/>
      <c r="PB846" s="85"/>
      <c r="PC846" s="85"/>
      <c r="PD846" s="85"/>
      <c r="PE846" s="85"/>
      <c r="PF846" s="85"/>
      <c r="PG846" s="85"/>
      <c r="PH846" s="85"/>
      <c r="PI846" s="85"/>
      <c r="PJ846" s="85"/>
      <c r="PK846" s="85"/>
      <c r="PL846" s="85"/>
      <c r="PM846" s="85"/>
      <c r="PN846" s="85"/>
      <c r="PO846" s="85"/>
      <c r="PP846" s="85"/>
      <c r="PQ846" s="85"/>
      <c r="PR846" s="85"/>
      <c r="PS846" s="85"/>
      <c r="PT846" s="85"/>
      <c r="PU846" s="85"/>
      <c r="PV846" s="85"/>
      <c r="PW846" s="85"/>
      <c r="PX846" s="85"/>
      <c r="PY846" s="85"/>
      <c r="PZ846" s="85"/>
      <c r="QA846" s="85"/>
      <c r="QB846" s="85"/>
      <c r="QC846" s="85"/>
      <c r="QD846" s="85"/>
      <c r="QE846" s="85"/>
      <c r="QF846" s="85"/>
      <c r="QG846" s="85"/>
      <c r="QH846" s="85"/>
      <c r="QI846" s="85"/>
      <c r="QJ846" s="85"/>
      <c r="QK846" s="85"/>
      <c r="QL846" s="85"/>
      <c r="QM846" s="85"/>
      <c r="QN846" s="85"/>
      <c r="QO846" s="85"/>
      <c r="QP846" s="85"/>
      <c r="QQ846" s="85"/>
      <c r="QR846" s="85"/>
      <c r="QS846" s="85"/>
      <c r="QT846" s="85"/>
      <c r="QU846" s="85"/>
      <c r="QV846" s="85"/>
      <c r="QW846" s="85"/>
      <c r="QX846" s="85"/>
      <c r="QY846" s="85"/>
      <c r="QZ846" s="85"/>
      <c r="RA846" s="85"/>
      <c r="RB846" s="85"/>
      <c r="RC846" s="85"/>
      <c r="RD846" s="85"/>
      <c r="RE846" s="85"/>
      <c r="RF846" s="85"/>
      <c r="RG846" s="85"/>
      <c r="RH846" s="85"/>
      <c r="RI846" s="85"/>
      <c r="RJ846" s="85"/>
      <c r="RK846" s="85"/>
      <c r="RL846" s="85"/>
      <c r="RM846" s="85"/>
      <c r="RN846" s="85"/>
      <c r="RO846" s="85"/>
      <c r="RP846" s="85"/>
      <c r="RQ846" s="85"/>
      <c r="RR846" s="85"/>
      <c r="RS846" s="85"/>
      <c r="RT846" s="85"/>
      <c r="RU846" s="85"/>
      <c r="RV846" s="85"/>
      <c r="RW846" s="85"/>
      <c r="RX846" s="85"/>
      <c r="RY846" s="85"/>
      <c r="RZ846" s="85"/>
      <c r="SA846" s="85"/>
      <c r="SB846" s="85"/>
      <c r="SC846" s="85"/>
      <c r="SD846" s="85"/>
      <c r="SE846" s="85"/>
      <c r="SF846" s="85"/>
      <c r="SG846" s="85"/>
      <c r="SH846" s="85"/>
      <c r="SI846" s="85"/>
      <c r="SJ846" s="85"/>
      <c r="SK846" s="85"/>
      <c r="SL846" s="85"/>
      <c r="SM846" s="85"/>
      <c r="SN846" s="85"/>
      <c r="SO846" s="85"/>
      <c r="SP846" s="85"/>
      <c r="SQ846" s="85"/>
      <c r="SR846" s="85"/>
      <c r="SS846" s="85"/>
      <c r="ST846" s="85"/>
      <c r="SU846" s="85"/>
      <c r="SV846" s="85"/>
      <c r="SW846" s="85"/>
      <c r="SX846" s="85"/>
      <c r="SY846" s="85"/>
      <c r="SZ846" s="85"/>
      <c r="TA846" s="85"/>
      <c r="TB846" s="85"/>
      <c r="TC846" s="85"/>
      <c r="TD846" s="85"/>
      <c r="TE846" s="85"/>
      <c r="TF846" s="85"/>
      <c r="TG846" s="85"/>
      <c r="TH846" s="85"/>
      <c r="TI846" s="85"/>
      <c r="TJ846" s="85"/>
      <c r="TK846" s="85"/>
      <c r="TL846" s="85"/>
    </row>
    <row r="847" spans="1:532" s="85" customFormat="1" ht="12.75" customHeight="1">
      <c r="A847" s="122" t="s">
        <v>417</v>
      </c>
      <c r="B847" s="175" t="s">
        <v>567</v>
      </c>
      <c r="C847" s="124"/>
      <c r="D847" s="173">
        <v>0</v>
      </c>
      <c r="E847" s="173">
        <f>+D847</f>
        <v>0</v>
      </c>
      <c r="F847" s="174"/>
      <c r="G847" s="174"/>
      <c r="H847" s="98"/>
      <c r="I847" s="140">
        <f t="shared" ref="I847:N847" si="36">SUM(I848)</f>
        <v>0</v>
      </c>
      <c r="J847" s="140">
        <f t="shared" si="36"/>
        <v>0</v>
      </c>
      <c r="K847" s="140">
        <f t="shared" si="36"/>
        <v>0</v>
      </c>
      <c r="L847" s="140">
        <f t="shared" si="36"/>
        <v>0</v>
      </c>
      <c r="M847" s="140">
        <f t="shared" si="36"/>
        <v>0</v>
      </c>
      <c r="N847" s="140">
        <f t="shared" si="36"/>
        <v>0</v>
      </c>
    </row>
    <row r="848" spans="1:532" s="85" customFormat="1" ht="12.75" customHeight="1">
      <c r="A848" s="122"/>
      <c r="B848" s="240"/>
      <c r="C848" s="124"/>
      <c r="D848" s="124"/>
      <c r="E848" s="124"/>
      <c r="F848" s="174" t="s">
        <v>171</v>
      </c>
      <c r="G848" s="174" t="s">
        <v>567</v>
      </c>
      <c r="H848" s="98" t="s">
        <v>82</v>
      </c>
      <c r="I848" s="173"/>
      <c r="J848" s="125">
        <f>+I848</f>
        <v>0</v>
      </c>
      <c r="K848" s="125"/>
      <c r="L848" s="125"/>
      <c r="M848" s="125"/>
      <c r="N848" s="173"/>
    </row>
    <row r="849" spans="1:532" s="135" customFormat="1" ht="12.75" customHeight="1">
      <c r="A849" s="111"/>
      <c r="B849" s="243"/>
      <c r="C849" s="112"/>
      <c r="D849" s="112"/>
      <c r="E849" s="112"/>
      <c r="F849" s="242"/>
      <c r="G849" s="113"/>
      <c r="H849" s="114"/>
      <c r="I849" s="115"/>
      <c r="J849" s="115"/>
      <c r="K849" s="115"/>
      <c r="L849" s="115"/>
      <c r="M849" s="115"/>
      <c r="N849" s="116"/>
      <c r="O849" s="85"/>
      <c r="P849" s="85"/>
      <c r="Q849" s="85"/>
      <c r="R849" s="85"/>
      <c r="S849" s="85"/>
      <c r="T849" s="85"/>
      <c r="U849" s="85"/>
      <c r="V849" s="85"/>
      <c r="W849" s="85"/>
      <c r="X849" s="85"/>
      <c r="Y849" s="85"/>
      <c r="Z849" s="85"/>
      <c r="AA849" s="85"/>
      <c r="AB849" s="85"/>
      <c r="AC849" s="85"/>
      <c r="AD849" s="85"/>
      <c r="AE849" s="85"/>
      <c r="AF849" s="85"/>
      <c r="AG849" s="85"/>
      <c r="AH849" s="85"/>
      <c r="AI849" s="85"/>
      <c r="AJ849" s="85"/>
      <c r="AK849" s="85"/>
      <c r="AL849" s="85"/>
      <c r="AM849" s="85"/>
      <c r="AN849" s="85"/>
      <c r="AO849" s="85"/>
      <c r="AP849" s="85"/>
      <c r="AQ849" s="85"/>
      <c r="AR849" s="85"/>
      <c r="AS849" s="85"/>
      <c r="AT849" s="85"/>
      <c r="AU849" s="85"/>
      <c r="AV849" s="85"/>
      <c r="AW849" s="85"/>
      <c r="AX849" s="85"/>
      <c r="AY849" s="85"/>
      <c r="AZ849" s="85"/>
      <c r="BA849" s="85"/>
      <c r="BB849" s="85"/>
      <c r="BC849" s="85"/>
      <c r="BD849" s="85"/>
      <c r="BE849" s="85"/>
      <c r="BF849" s="85"/>
      <c r="BG849" s="85"/>
      <c r="BH849" s="85"/>
      <c r="BI849" s="85"/>
      <c r="BJ849" s="85"/>
      <c r="BK849" s="85"/>
      <c r="BL849" s="85"/>
      <c r="BM849" s="85"/>
      <c r="BN849" s="85"/>
      <c r="BO849" s="85"/>
      <c r="BP849" s="85"/>
      <c r="BQ849" s="85"/>
      <c r="BR849" s="85"/>
      <c r="BS849" s="85"/>
      <c r="BT849" s="85"/>
      <c r="BU849" s="85"/>
      <c r="BV849" s="85"/>
      <c r="BW849" s="85"/>
      <c r="BX849" s="85"/>
      <c r="BY849" s="85"/>
      <c r="BZ849" s="85"/>
      <c r="CA849" s="85"/>
      <c r="CB849" s="85"/>
      <c r="CC849" s="85"/>
      <c r="CD849" s="85"/>
      <c r="CE849" s="85"/>
      <c r="CF849" s="85"/>
      <c r="CG849" s="85"/>
      <c r="CH849" s="85"/>
      <c r="CI849" s="85"/>
      <c r="CJ849" s="85"/>
      <c r="CK849" s="85"/>
      <c r="CL849" s="85"/>
      <c r="CM849" s="85"/>
      <c r="CN849" s="85"/>
      <c r="CO849" s="85"/>
      <c r="CP849" s="85"/>
      <c r="CQ849" s="85"/>
      <c r="CR849" s="85"/>
      <c r="CS849" s="85"/>
      <c r="CT849" s="85"/>
      <c r="CU849" s="85"/>
      <c r="CV849" s="85"/>
      <c r="CW849" s="85"/>
      <c r="CX849" s="85"/>
      <c r="CY849" s="85"/>
      <c r="CZ849" s="85"/>
      <c r="DA849" s="85"/>
      <c r="DB849" s="85"/>
      <c r="DC849" s="85"/>
      <c r="DD849" s="85"/>
      <c r="DE849" s="85"/>
      <c r="DF849" s="85"/>
      <c r="DG849" s="85"/>
      <c r="DH849" s="85"/>
      <c r="DI849" s="85"/>
      <c r="DJ849" s="85"/>
      <c r="DK849" s="85"/>
      <c r="DL849" s="85"/>
      <c r="DM849" s="85"/>
      <c r="DN849" s="85"/>
      <c r="DO849" s="85"/>
      <c r="DP849" s="85"/>
      <c r="DQ849" s="85"/>
      <c r="DR849" s="85"/>
      <c r="DS849" s="85"/>
      <c r="DT849" s="85"/>
      <c r="DU849" s="85"/>
      <c r="DV849" s="85"/>
      <c r="DW849" s="85"/>
      <c r="DX849" s="85"/>
      <c r="DY849" s="85"/>
      <c r="DZ849" s="85"/>
      <c r="EA849" s="85"/>
      <c r="EB849" s="85"/>
      <c r="EC849" s="85"/>
      <c r="ED849" s="85"/>
      <c r="EE849" s="85"/>
      <c r="EF849" s="85"/>
      <c r="EG849" s="85"/>
      <c r="EH849" s="85"/>
      <c r="EI849" s="85"/>
      <c r="EJ849" s="85"/>
      <c r="EK849" s="85"/>
      <c r="EL849" s="85"/>
      <c r="EM849" s="85"/>
      <c r="EN849" s="85"/>
      <c r="EO849" s="85"/>
      <c r="EP849" s="85"/>
      <c r="EQ849" s="85"/>
      <c r="ER849" s="85"/>
      <c r="ES849" s="85"/>
      <c r="ET849" s="85"/>
      <c r="EU849" s="85"/>
      <c r="EV849" s="85"/>
      <c r="EW849" s="85"/>
      <c r="EX849" s="85"/>
      <c r="EY849" s="85"/>
      <c r="EZ849" s="85"/>
      <c r="FA849" s="85"/>
      <c r="FB849" s="85"/>
      <c r="FC849" s="85"/>
      <c r="FD849" s="85"/>
      <c r="FE849" s="85"/>
      <c r="FF849" s="85"/>
      <c r="FG849" s="85"/>
      <c r="FH849" s="85"/>
      <c r="FI849" s="85"/>
      <c r="FJ849" s="85"/>
      <c r="FK849" s="85"/>
      <c r="FL849" s="85"/>
      <c r="FM849" s="85"/>
      <c r="FN849" s="85"/>
      <c r="FO849" s="85"/>
      <c r="FP849" s="85"/>
      <c r="FQ849" s="85"/>
      <c r="FR849" s="85"/>
      <c r="FS849" s="85"/>
      <c r="FT849" s="85"/>
      <c r="FU849" s="85"/>
      <c r="FV849" s="85"/>
      <c r="FW849" s="85"/>
      <c r="FX849" s="85"/>
      <c r="FY849" s="85"/>
      <c r="FZ849" s="85"/>
      <c r="GA849" s="85"/>
      <c r="GB849" s="85"/>
      <c r="GC849" s="85"/>
      <c r="GD849" s="85"/>
      <c r="GE849" s="85"/>
      <c r="GF849" s="85"/>
      <c r="GG849" s="85"/>
      <c r="GH849" s="85"/>
      <c r="GI849" s="85"/>
      <c r="GJ849" s="85"/>
      <c r="GK849" s="85"/>
      <c r="GL849" s="85"/>
      <c r="GM849" s="85"/>
      <c r="GN849" s="85"/>
      <c r="GO849" s="85"/>
      <c r="GP849" s="85"/>
      <c r="GQ849" s="85"/>
      <c r="GR849" s="85"/>
      <c r="GS849" s="85"/>
      <c r="GT849" s="85"/>
      <c r="GU849" s="85"/>
      <c r="GV849" s="85"/>
      <c r="GW849" s="85"/>
      <c r="GX849" s="85"/>
      <c r="GY849" s="85"/>
      <c r="GZ849" s="85"/>
      <c r="HA849" s="85"/>
      <c r="HB849" s="85"/>
      <c r="HC849" s="85"/>
      <c r="HD849" s="85"/>
      <c r="HE849" s="85"/>
      <c r="HF849" s="85"/>
      <c r="HG849" s="85"/>
      <c r="HH849" s="85"/>
      <c r="HI849" s="85"/>
      <c r="HJ849" s="85"/>
      <c r="HK849" s="85"/>
      <c r="HL849" s="85"/>
      <c r="HM849" s="85"/>
      <c r="HN849" s="85"/>
      <c r="HO849" s="85"/>
      <c r="HP849" s="85"/>
      <c r="HQ849" s="85"/>
      <c r="HR849" s="85"/>
      <c r="HS849" s="85"/>
      <c r="HT849" s="85"/>
      <c r="HU849" s="85"/>
      <c r="HV849" s="85"/>
      <c r="HW849" s="85"/>
      <c r="HX849" s="85"/>
      <c r="HY849" s="85"/>
      <c r="HZ849" s="85"/>
      <c r="IA849" s="85"/>
      <c r="IB849" s="85"/>
      <c r="IC849" s="85"/>
      <c r="ID849" s="85"/>
      <c r="IE849" s="85"/>
      <c r="IF849" s="85"/>
      <c r="IG849" s="85"/>
      <c r="IH849" s="85"/>
      <c r="II849" s="85"/>
      <c r="IJ849" s="85"/>
      <c r="IK849" s="85"/>
      <c r="IL849" s="85"/>
      <c r="IM849" s="85"/>
      <c r="IN849" s="85"/>
      <c r="IO849" s="85"/>
      <c r="IP849" s="85"/>
      <c r="IQ849" s="85"/>
      <c r="IR849" s="85"/>
      <c r="IS849" s="85"/>
      <c r="IT849" s="85"/>
      <c r="IU849" s="85"/>
      <c r="IV849" s="85"/>
      <c r="IW849" s="85"/>
      <c r="IX849" s="85"/>
      <c r="IY849" s="85"/>
      <c r="IZ849" s="85"/>
      <c r="JA849" s="85"/>
      <c r="JB849" s="85"/>
      <c r="JC849" s="85"/>
      <c r="JD849" s="85"/>
      <c r="JE849" s="85"/>
      <c r="JF849" s="85"/>
      <c r="JG849" s="85"/>
      <c r="JH849" s="85"/>
      <c r="JI849" s="85"/>
      <c r="JJ849" s="85"/>
      <c r="JK849" s="85"/>
      <c r="JL849" s="85"/>
      <c r="JM849" s="85"/>
      <c r="JN849" s="85"/>
      <c r="JO849" s="85"/>
      <c r="JP849" s="85"/>
      <c r="JQ849" s="85"/>
      <c r="JR849" s="85"/>
      <c r="JS849" s="85"/>
      <c r="JT849" s="85"/>
      <c r="JU849" s="85"/>
      <c r="JV849" s="85"/>
      <c r="JW849" s="85"/>
      <c r="JX849" s="85"/>
      <c r="JY849" s="85"/>
      <c r="JZ849" s="85"/>
      <c r="KA849" s="85"/>
      <c r="KB849" s="85"/>
      <c r="KC849" s="85"/>
      <c r="KD849" s="85"/>
      <c r="KE849" s="85"/>
      <c r="KF849" s="85"/>
      <c r="KG849" s="85"/>
      <c r="KH849" s="85"/>
      <c r="KI849" s="85"/>
      <c r="KJ849" s="85"/>
      <c r="KK849" s="85"/>
      <c r="KL849" s="85"/>
      <c r="KM849" s="85"/>
      <c r="KN849" s="85"/>
      <c r="KO849" s="85"/>
      <c r="KP849" s="85"/>
      <c r="KQ849" s="85"/>
      <c r="KR849" s="85"/>
      <c r="KS849" s="85"/>
      <c r="KT849" s="85"/>
      <c r="KU849" s="85"/>
      <c r="KV849" s="85"/>
      <c r="KW849" s="85"/>
      <c r="KX849" s="85"/>
      <c r="KY849" s="85"/>
      <c r="KZ849" s="85"/>
      <c r="LA849" s="85"/>
      <c r="LB849" s="85"/>
      <c r="LC849" s="85"/>
      <c r="LD849" s="85"/>
      <c r="LE849" s="85"/>
      <c r="LF849" s="85"/>
      <c r="LG849" s="85"/>
      <c r="LH849" s="85"/>
      <c r="LI849" s="85"/>
      <c r="LJ849" s="85"/>
      <c r="LK849" s="85"/>
      <c r="LL849" s="85"/>
      <c r="LM849" s="85"/>
      <c r="LN849" s="85"/>
      <c r="LO849" s="85"/>
      <c r="LP849" s="85"/>
      <c r="LQ849" s="85"/>
      <c r="LR849" s="85"/>
      <c r="LS849" s="85"/>
      <c r="LT849" s="85"/>
      <c r="LU849" s="85"/>
      <c r="LV849" s="85"/>
      <c r="LW849" s="85"/>
      <c r="LX849" s="85"/>
      <c r="LY849" s="85"/>
      <c r="LZ849" s="85"/>
      <c r="MA849" s="85"/>
      <c r="MB849" s="85"/>
      <c r="MC849" s="85"/>
      <c r="MD849" s="85"/>
      <c r="ME849" s="85"/>
      <c r="MF849" s="85"/>
      <c r="MG849" s="85"/>
      <c r="MH849" s="85"/>
      <c r="MI849" s="85"/>
      <c r="MJ849" s="85"/>
      <c r="MK849" s="85"/>
      <c r="ML849" s="85"/>
      <c r="MM849" s="85"/>
      <c r="MN849" s="85"/>
      <c r="MO849" s="85"/>
      <c r="MP849" s="85"/>
      <c r="MQ849" s="85"/>
      <c r="MR849" s="85"/>
      <c r="MS849" s="85"/>
      <c r="MT849" s="85"/>
      <c r="MU849" s="85"/>
      <c r="MV849" s="85"/>
      <c r="MW849" s="85"/>
      <c r="MX849" s="85"/>
      <c r="MY849" s="85"/>
      <c r="MZ849" s="85"/>
      <c r="NA849" s="85"/>
      <c r="NB849" s="85"/>
      <c r="NC849" s="85"/>
      <c r="ND849" s="85"/>
      <c r="NE849" s="85"/>
      <c r="NF849" s="85"/>
      <c r="NG849" s="85"/>
      <c r="NH849" s="85"/>
      <c r="NI849" s="85"/>
      <c r="NJ849" s="85"/>
      <c r="NK849" s="85"/>
      <c r="NL849" s="85"/>
      <c r="NM849" s="85"/>
      <c r="NN849" s="85"/>
      <c r="NO849" s="85"/>
      <c r="NP849" s="85"/>
      <c r="NQ849" s="85"/>
      <c r="NR849" s="85"/>
      <c r="NS849" s="85"/>
      <c r="NT849" s="85"/>
      <c r="NU849" s="85"/>
      <c r="NV849" s="85"/>
      <c r="NW849" s="85"/>
      <c r="NX849" s="85"/>
      <c r="NY849" s="85"/>
      <c r="NZ849" s="85"/>
      <c r="OA849" s="85"/>
      <c r="OB849" s="85"/>
      <c r="OC849" s="85"/>
      <c r="OD849" s="85"/>
      <c r="OE849" s="85"/>
      <c r="OF849" s="85"/>
      <c r="OG849" s="85"/>
      <c r="OH849" s="85"/>
      <c r="OI849" s="85"/>
      <c r="OJ849" s="85"/>
      <c r="OK849" s="85"/>
      <c r="OL849" s="85"/>
      <c r="OM849" s="85"/>
      <c r="ON849" s="85"/>
      <c r="OO849" s="85"/>
      <c r="OP849" s="85"/>
      <c r="OQ849" s="85"/>
      <c r="OR849" s="85"/>
      <c r="OS849" s="85"/>
      <c r="OT849" s="85"/>
      <c r="OU849" s="85"/>
      <c r="OV849" s="85"/>
      <c r="OW849" s="85"/>
      <c r="OX849" s="85"/>
      <c r="OY849" s="85"/>
      <c r="OZ849" s="85"/>
      <c r="PA849" s="85"/>
      <c r="PB849" s="85"/>
      <c r="PC849" s="85"/>
      <c r="PD849" s="85"/>
      <c r="PE849" s="85"/>
      <c r="PF849" s="85"/>
      <c r="PG849" s="85"/>
      <c r="PH849" s="85"/>
      <c r="PI849" s="85"/>
      <c r="PJ849" s="85"/>
      <c r="PK849" s="85"/>
      <c r="PL849" s="85"/>
      <c r="PM849" s="85"/>
      <c r="PN849" s="85"/>
      <c r="PO849" s="85"/>
      <c r="PP849" s="85"/>
      <c r="PQ849" s="85"/>
      <c r="PR849" s="85"/>
      <c r="PS849" s="85"/>
      <c r="PT849" s="85"/>
      <c r="PU849" s="85"/>
      <c r="PV849" s="85"/>
      <c r="PW849" s="85"/>
      <c r="PX849" s="85"/>
      <c r="PY849" s="85"/>
      <c r="PZ849" s="85"/>
      <c r="QA849" s="85"/>
      <c r="QB849" s="85"/>
      <c r="QC849" s="85"/>
      <c r="QD849" s="85"/>
      <c r="QE849" s="85"/>
      <c r="QF849" s="85"/>
      <c r="QG849" s="85"/>
      <c r="QH849" s="85"/>
      <c r="QI849" s="85"/>
      <c r="QJ849" s="85"/>
      <c r="QK849" s="85"/>
      <c r="QL849" s="85"/>
      <c r="QM849" s="85"/>
      <c r="QN849" s="85"/>
      <c r="QO849" s="85"/>
      <c r="QP849" s="85"/>
      <c r="QQ849" s="85"/>
      <c r="QR849" s="85"/>
      <c r="QS849" s="85"/>
      <c r="QT849" s="85"/>
      <c r="QU849" s="85"/>
      <c r="QV849" s="85"/>
      <c r="QW849" s="85"/>
      <c r="QX849" s="85"/>
      <c r="QY849" s="85"/>
      <c r="QZ849" s="85"/>
      <c r="RA849" s="85"/>
      <c r="RB849" s="85"/>
      <c r="RC849" s="85"/>
      <c r="RD849" s="85"/>
      <c r="RE849" s="85"/>
      <c r="RF849" s="85"/>
      <c r="RG849" s="85"/>
      <c r="RH849" s="85"/>
      <c r="RI849" s="85"/>
      <c r="RJ849" s="85"/>
      <c r="RK849" s="85"/>
      <c r="RL849" s="85"/>
      <c r="RM849" s="85"/>
      <c r="RN849" s="85"/>
      <c r="RO849" s="85"/>
      <c r="RP849" s="85"/>
      <c r="RQ849" s="85"/>
      <c r="RR849" s="85"/>
      <c r="RS849" s="85"/>
      <c r="RT849" s="85"/>
      <c r="RU849" s="85"/>
      <c r="RV849" s="85"/>
      <c r="RW849" s="85"/>
      <c r="RX849" s="85"/>
      <c r="RY849" s="85"/>
      <c r="RZ849" s="85"/>
      <c r="SA849" s="85"/>
      <c r="SB849" s="85"/>
      <c r="SC849" s="85"/>
      <c r="SD849" s="85"/>
      <c r="SE849" s="85"/>
      <c r="SF849" s="85"/>
      <c r="SG849" s="85"/>
      <c r="SH849" s="85"/>
      <c r="SI849" s="85"/>
      <c r="SJ849" s="85"/>
      <c r="SK849" s="85"/>
      <c r="SL849" s="85"/>
      <c r="SM849" s="85"/>
      <c r="SN849" s="85"/>
      <c r="SO849" s="85"/>
      <c r="SP849" s="85"/>
      <c r="SQ849" s="85"/>
      <c r="SR849" s="85"/>
      <c r="SS849" s="85"/>
      <c r="ST849" s="85"/>
      <c r="SU849" s="85"/>
      <c r="SV849" s="85"/>
      <c r="SW849" s="85"/>
      <c r="SX849" s="85"/>
      <c r="SY849" s="85"/>
      <c r="SZ849" s="85"/>
      <c r="TA849" s="85"/>
      <c r="TB849" s="85"/>
      <c r="TC849" s="85"/>
      <c r="TD849" s="85"/>
      <c r="TE849" s="85"/>
      <c r="TF849" s="85"/>
      <c r="TG849" s="85"/>
      <c r="TH849" s="85"/>
      <c r="TI849" s="85"/>
      <c r="TJ849" s="85"/>
      <c r="TK849" s="85"/>
      <c r="TL849" s="85"/>
    </row>
    <row r="850" spans="1:532" s="85" customFormat="1" ht="12.75" customHeight="1">
      <c r="A850" s="122" t="s">
        <v>418</v>
      </c>
      <c r="B850" s="255" t="s">
        <v>113</v>
      </c>
      <c r="C850" s="124"/>
      <c r="D850" s="173">
        <f>+'[2]Extra 01'!C856</f>
        <v>552874733.38346696</v>
      </c>
      <c r="E850" s="173">
        <v>552874733.38</v>
      </c>
      <c r="F850" s="174"/>
      <c r="G850" s="174"/>
      <c r="H850" s="98"/>
      <c r="I850" s="140">
        <f>SUM(I851)</f>
        <v>240000000</v>
      </c>
      <c r="J850" s="140">
        <f>SUM(J851)</f>
        <v>240000000</v>
      </c>
      <c r="K850" s="140">
        <f>SUM(K851)</f>
        <v>0</v>
      </c>
      <c r="L850" s="140">
        <f>SUM(L851)</f>
        <v>0</v>
      </c>
      <c r="M850" s="140">
        <f>SUM(M851)</f>
        <v>0</v>
      </c>
      <c r="N850" s="140">
        <f>SUM(N851:N852)</f>
        <v>312874733.38</v>
      </c>
    </row>
    <row r="851" spans="1:532" s="85" customFormat="1" ht="12.75" customHeight="1">
      <c r="A851" s="122"/>
      <c r="B851" s="240"/>
      <c r="C851" s="124"/>
      <c r="D851" s="124"/>
      <c r="E851" s="124"/>
      <c r="F851" s="174" t="s">
        <v>217</v>
      </c>
      <c r="G851" s="98" t="s">
        <v>546</v>
      </c>
      <c r="H851" s="98" t="s">
        <v>78</v>
      </c>
      <c r="I851" s="173">
        <v>240000000</v>
      </c>
      <c r="J851" s="125">
        <f>+I851</f>
        <v>240000000</v>
      </c>
      <c r="K851" s="125"/>
      <c r="L851" s="125"/>
      <c r="M851" s="125"/>
      <c r="N851" s="251">
        <f>-I851+'[2]Extra 01'!H858</f>
        <v>160000000</v>
      </c>
    </row>
    <row r="852" spans="1:532" s="85" customFormat="1" ht="12.75" customHeight="1">
      <c r="A852" s="122"/>
      <c r="B852" s="240"/>
      <c r="C852" s="124"/>
      <c r="D852" s="124"/>
      <c r="E852" s="124"/>
      <c r="F852" s="174"/>
      <c r="G852" s="174"/>
      <c r="H852" s="98" t="s">
        <v>81</v>
      </c>
      <c r="I852" s="173"/>
      <c r="J852" s="125">
        <f>+I852</f>
        <v>0</v>
      </c>
      <c r="K852" s="125"/>
      <c r="L852" s="125"/>
      <c r="M852" s="125"/>
      <c r="N852" s="251">
        <f>-I852+'[2]Extra 01'!H859</f>
        <v>152874733.38</v>
      </c>
    </row>
    <row r="853" spans="1:532" s="135" customFormat="1" ht="12.75" customHeight="1">
      <c r="A853" s="111"/>
      <c r="B853" s="243"/>
      <c r="C853" s="112"/>
      <c r="D853" s="112"/>
      <c r="E853" s="112"/>
      <c r="F853" s="242"/>
      <c r="G853" s="113"/>
      <c r="H853" s="114"/>
      <c r="I853" s="115"/>
      <c r="J853" s="115"/>
      <c r="K853" s="115"/>
      <c r="L853" s="115"/>
      <c r="M853" s="115"/>
      <c r="N853" s="116"/>
      <c r="O853" s="85"/>
      <c r="P853" s="85"/>
      <c r="Q853" s="85"/>
      <c r="R853" s="85"/>
      <c r="S853" s="85"/>
      <c r="T853" s="85"/>
      <c r="U853" s="85"/>
      <c r="V853" s="85"/>
      <c r="W853" s="85"/>
      <c r="X853" s="85"/>
      <c r="Y853" s="85"/>
      <c r="Z853" s="85"/>
      <c r="AA853" s="85"/>
      <c r="AB853" s="85"/>
      <c r="AC853" s="85"/>
      <c r="AD853" s="85"/>
      <c r="AE853" s="85"/>
      <c r="AF853" s="85"/>
      <c r="AG853" s="85"/>
      <c r="AH853" s="85"/>
      <c r="AI853" s="85"/>
      <c r="AJ853" s="85"/>
      <c r="AK853" s="85"/>
      <c r="AL853" s="85"/>
      <c r="AM853" s="85"/>
      <c r="AN853" s="85"/>
      <c r="AO853" s="85"/>
      <c r="AP853" s="85"/>
      <c r="AQ853" s="85"/>
      <c r="AR853" s="85"/>
      <c r="AS853" s="85"/>
      <c r="AT853" s="85"/>
      <c r="AU853" s="85"/>
      <c r="AV853" s="85"/>
      <c r="AW853" s="85"/>
      <c r="AX853" s="85"/>
      <c r="AY853" s="85"/>
      <c r="AZ853" s="85"/>
      <c r="BA853" s="85"/>
      <c r="BB853" s="85"/>
      <c r="BC853" s="85"/>
      <c r="BD853" s="85"/>
      <c r="BE853" s="85"/>
      <c r="BF853" s="85"/>
      <c r="BG853" s="85"/>
      <c r="BH853" s="85"/>
      <c r="BI853" s="85"/>
      <c r="BJ853" s="85"/>
      <c r="BK853" s="85"/>
      <c r="BL853" s="85"/>
      <c r="BM853" s="85"/>
      <c r="BN853" s="85"/>
      <c r="BO853" s="85"/>
      <c r="BP853" s="85"/>
      <c r="BQ853" s="85"/>
      <c r="BR853" s="85"/>
      <c r="BS853" s="85"/>
      <c r="BT853" s="85"/>
      <c r="BU853" s="85"/>
      <c r="BV853" s="85"/>
      <c r="BW853" s="85"/>
      <c r="BX853" s="85"/>
      <c r="BY853" s="85"/>
      <c r="BZ853" s="85"/>
      <c r="CA853" s="85"/>
      <c r="CB853" s="85"/>
      <c r="CC853" s="85"/>
      <c r="CD853" s="85"/>
      <c r="CE853" s="85"/>
      <c r="CF853" s="85"/>
      <c r="CG853" s="85"/>
      <c r="CH853" s="85"/>
      <c r="CI853" s="85"/>
      <c r="CJ853" s="85"/>
      <c r="CK853" s="85"/>
      <c r="CL853" s="85"/>
      <c r="CM853" s="85"/>
      <c r="CN853" s="85"/>
      <c r="CO853" s="85"/>
      <c r="CP853" s="85"/>
      <c r="CQ853" s="85"/>
      <c r="CR853" s="85"/>
      <c r="CS853" s="85"/>
      <c r="CT853" s="85"/>
      <c r="CU853" s="85"/>
      <c r="CV853" s="85"/>
      <c r="CW853" s="85"/>
      <c r="CX853" s="85"/>
      <c r="CY853" s="85"/>
      <c r="CZ853" s="85"/>
      <c r="DA853" s="85"/>
      <c r="DB853" s="85"/>
      <c r="DC853" s="85"/>
      <c r="DD853" s="85"/>
      <c r="DE853" s="85"/>
      <c r="DF853" s="85"/>
      <c r="DG853" s="85"/>
      <c r="DH853" s="85"/>
      <c r="DI853" s="85"/>
      <c r="DJ853" s="85"/>
      <c r="DK853" s="85"/>
      <c r="DL853" s="85"/>
      <c r="DM853" s="85"/>
      <c r="DN853" s="85"/>
      <c r="DO853" s="85"/>
      <c r="DP853" s="85"/>
      <c r="DQ853" s="85"/>
      <c r="DR853" s="85"/>
      <c r="DS853" s="85"/>
      <c r="DT853" s="85"/>
      <c r="DU853" s="85"/>
      <c r="DV853" s="85"/>
      <c r="DW853" s="85"/>
      <c r="DX853" s="85"/>
      <c r="DY853" s="85"/>
      <c r="DZ853" s="85"/>
      <c r="EA853" s="85"/>
      <c r="EB853" s="85"/>
      <c r="EC853" s="85"/>
      <c r="ED853" s="85"/>
      <c r="EE853" s="85"/>
      <c r="EF853" s="85"/>
      <c r="EG853" s="85"/>
      <c r="EH853" s="85"/>
      <c r="EI853" s="85"/>
      <c r="EJ853" s="85"/>
      <c r="EK853" s="85"/>
      <c r="EL853" s="85"/>
      <c r="EM853" s="85"/>
      <c r="EN853" s="85"/>
      <c r="EO853" s="85"/>
      <c r="EP853" s="85"/>
      <c r="EQ853" s="85"/>
      <c r="ER853" s="85"/>
      <c r="ES853" s="85"/>
      <c r="ET853" s="85"/>
      <c r="EU853" s="85"/>
      <c r="EV853" s="85"/>
      <c r="EW853" s="85"/>
      <c r="EX853" s="85"/>
      <c r="EY853" s="85"/>
      <c r="EZ853" s="85"/>
      <c r="FA853" s="85"/>
      <c r="FB853" s="85"/>
      <c r="FC853" s="85"/>
      <c r="FD853" s="85"/>
      <c r="FE853" s="85"/>
      <c r="FF853" s="85"/>
      <c r="FG853" s="85"/>
      <c r="FH853" s="85"/>
      <c r="FI853" s="85"/>
      <c r="FJ853" s="85"/>
      <c r="FK853" s="85"/>
      <c r="FL853" s="85"/>
      <c r="FM853" s="85"/>
      <c r="FN853" s="85"/>
      <c r="FO853" s="85"/>
      <c r="FP853" s="85"/>
      <c r="FQ853" s="85"/>
      <c r="FR853" s="85"/>
      <c r="FS853" s="85"/>
      <c r="FT853" s="85"/>
      <c r="FU853" s="85"/>
      <c r="FV853" s="85"/>
      <c r="FW853" s="85"/>
      <c r="FX853" s="85"/>
      <c r="FY853" s="85"/>
      <c r="FZ853" s="85"/>
      <c r="GA853" s="85"/>
      <c r="GB853" s="85"/>
      <c r="GC853" s="85"/>
      <c r="GD853" s="85"/>
      <c r="GE853" s="85"/>
      <c r="GF853" s="85"/>
      <c r="GG853" s="85"/>
      <c r="GH853" s="85"/>
      <c r="GI853" s="85"/>
      <c r="GJ853" s="85"/>
      <c r="GK853" s="85"/>
      <c r="GL853" s="85"/>
      <c r="GM853" s="85"/>
      <c r="GN853" s="85"/>
      <c r="GO853" s="85"/>
      <c r="GP853" s="85"/>
      <c r="GQ853" s="85"/>
      <c r="GR853" s="85"/>
      <c r="GS853" s="85"/>
      <c r="GT853" s="85"/>
      <c r="GU853" s="85"/>
      <c r="GV853" s="85"/>
      <c r="GW853" s="85"/>
      <c r="GX853" s="85"/>
      <c r="GY853" s="85"/>
      <c r="GZ853" s="85"/>
      <c r="HA853" s="85"/>
      <c r="HB853" s="85"/>
      <c r="HC853" s="85"/>
      <c r="HD853" s="85"/>
      <c r="HE853" s="85"/>
      <c r="HF853" s="85"/>
      <c r="HG853" s="85"/>
      <c r="HH853" s="85"/>
      <c r="HI853" s="85"/>
      <c r="HJ853" s="85"/>
      <c r="HK853" s="85"/>
      <c r="HL853" s="85"/>
      <c r="HM853" s="85"/>
      <c r="HN853" s="85"/>
      <c r="HO853" s="85"/>
      <c r="HP853" s="85"/>
      <c r="HQ853" s="85"/>
      <c r="HR853" s="85"/>
      <c r="HS853" s="85"/>
      <c r="HT853" s="85"/>
      <c r="HU853" s="85"/>
      <c r="HV853" s="85"/>
      <c r="HW853" s="85"/>
      <c r="HX853" s="85"/>
      <c r="HY853" s="85"/>
      <c r="HZ853" s="85"/>
      <c r="IA853" s="85"/>
      <c r="IB853" s="85"/>
      <c r="IC853" s="85"/>
      <c r="ID853" s="85"/>
      <c r="IE853" s="85"/>
      <c r="IF853" s="85"/>
      <c r="IG853" s="85"/>
      <c r="IH853" s="85"/>
      <c r="II853" s="85"/>
      <c r="IJ853" s="85"/>
      <c r="IK853" s="85"/>
      <c r="IL853" s="85"/>
      <c r="IM853" s="85"/>
      <c r="IN853" s="85"/>
      <c r="IO853" s="85"/>
      <c r="IP853" s="85"/>
      <c r="IQ853" s="85"/>
      <c r="IR853" s="85"/>
      <c r="IS853" s="85"/>
      <c r="IT853" s="85"/>
      <c r="IU853" s="85"/>
      <c r="IV853" s="85"/>
      <c r="IW853" s="85"/>
      <c r="IX853" s="85"/>
      <c r="IY853" s="85"/>
      <c r="IZ853" s="85"/>
      <c r="JA853" s="85"/>
      <c r="JB853" s="85"/>
      <c r="JC853" s="85"/>
      <c r="JD853" s="85"/>
      <c r="JE853" s="85"/>
      <c r="JF853" s="85"/>
      <c r="JG853" s="85"/>
      <c r="JH853" s="85"/>
      <c r="JI853" s="85"/>
      <c r="JJ853" s="85"/>
      <c r="JK853" s="85"/>
      <c r="JL853" s="85"/>
      <c r="JM853" s="85"/>
      <c r="JN853" s="85"/>
      <c r="JO853" s="85"/>
      <c r="JP853" s="85"/>
      <c r="JQ853" s="85"/>
      <c r="JR853" s="85"/>
      <c r="JS853" s="85"/>
      <c r="JT853" s="85"/>
      <c r="JU853" s="85"/>
      <c r="JV853" s="85"/>
      <c r="JW853" s="85"/>
      <c r="JX853" s="85"/>
      <c r="JY853" s="85"/>
      <c r="JZ853" s="85"/>
      <c r="KA853" s="85"/>
      <c r="KB853" s="85"/>
      <c r="KC853" s="85"/>
      <c r="KD853" s="85"/>
      <c r="KE853" s="85"/>
      <c r="KF853" s="85"/>
      <c r="KG853" s="85"/>
      <c r="KH853" s="85"/>
      <c r="KI853" s="85"/>
      <c r="KJ853" s="85"/>
      <c r="KK853" s="85"/>
      <c r="KL853" s="85"/>
      <c r="KM853" s="85"/>
      <c r="KN853" s="85"/>
      <c r="KO853" s="85"/>
      <c r="KP853" s="85"/>
      <c r="KQ853" s="85"/>
      <c r="KR853" s="85"/>
      <c r="KS853" s="85"/>
      <c r="KT853" s="85"/>
      <c r="KU853" s="85"/>
      <c r="KV853" s="85"/>
      <c r="KW853" s="85"/>
      <c r="KX853" s="85"/>
      <c r="KY853" s="85"/>
      <c r="KZ853" s="85"/>
      <c r="LA853" s="85"/>
      <c r="LB853" s="85"/>
      <c r="LC853" s="85"/>
      <c r="LD853" s="85"/>
      <c r="LE853" s="85"/>
      <c r="LF853" s="85"/>
      <c r="LG853" s="85"/>
      <c r="LH853" s="85"/>
      <c r="LI853" s="85"/>
      <c r="LJ853" s="85"/>
      <c r="LK853" s="85"/>
      <c r="LL853" s="85"/>
      <c r="LM853" s="85"/>
      <c r="LN853" s="85"/>
      <c r="LO853" s="85"/>
      <c r="LP853" s="85"/>
      <c r="LQ853" s="85"/>
      <c r="LR853" s="85"/>
      <c r="LS853" s="85"/>
      <c r="LT853" s="85"/>
      <c r="LU853" s="85"/>
      <c r="LV853" s="85"/>
      <c r="LW853" s="85"/>
      <c r="LX853" s="85"/>
      <c r="LY853" s="85"/>
      <c r="LZ853" s="85"/>
      <c r="MA853" s="85"/>
      <c r="MB853" s="85"/>
      <c r="MC853" s="85"/>
      <c r="MD853" s="85"/>
      <c r="ME853" s="85"/>
      <c r="MF853" s="85"/>
      <c r="MG853" s="85"/>
      <c r="MH853" s="85"/>
      <c r="MI853" s="85"/>
      <c r="MJ853" s="85"/>
      <c r="MK853" s="85"/>
      <c r="ML853" s="85"/>
      <c r="MM853" s="85"/>
      <c r="MN853" s="85"/>
      <c r="MO853" s="85"/>
      <c r="MP853" s="85"/>
      <c r="MQ853" s="85"/>
      <c r="MR853" s="85"/>
      <c r="MS853" s="85"/>
      <c r="MT853" s="85"/>
      <c r="MU853" s="85"/>
      <c r="MV853" s="85"/>
      <c r="MW853" s="85"/>
      <c r="MX853" s="85"/>
      <c r="MY853" s="85"/>
      <c r="MZ853" s="85"/>
      <c r="NA853" s="85"/>
      <c r="NB853" s="85"/>
      <c r="NC853" s="85"/>
      <c r="ND853" s="85"/>
      <c r="NE853" s="85"/>
      <c r="NF853" s="85"/>
      <c r="NG853" s="85"/>
      <c r="NH853" s="85"/>
      <c r="NI853" s="85"/>
      <c r="NJ853" s="85"/>
      <c r="NK853" s="85"/>
      <c r="NL853" s="85"/>
      <c r="NM853" s="85"/>
      <c r="NN853" s="85"/>
      <c r="NO853" s="85"/>
      <c r="NP853" s="85"/>
      <c r="NQ853" s="85"/>
      <c r="NR853" s="85"/>
      <c r="NS853" s="85"/>
      <c r="NT853" s="85"/>
      <c r="NU853" s="85"/>
      <c r="NV853" s="85"/>
      <c r="NW853" s="85"/>
      <c r="NX853" s="85"/>
      <c r="NY853" s="85"/>
      <c r="NZ853" s="85"/>
      <c r="OA853" s="85"/>
      <c r="OB853" s="85"/>
      <c r="OC853" s="85"/>
      <c r="OD853" s="85"/>
      <c r="OE853" s="85"/>
      <c r="OF853" s="85"/>
      <c r="OG853" s="85"/>
      <c r="OH853" s="85"/>
      <c r="OI853" s="85"/>
      <c r="OJ853" s="85"/>
      <c r="OK853" s="85"/>
      <c r="OL853" s="85"/>
      <c r="OM853" s="85"/>
      <c r="ON853" s="85"/>
      <c r="OO853" s="85"/>
      <c r="OP853" s="85"/>
      <c r="OQ853" s="85"/>
      <c r="OR853" s="85"/>
      <c r="OS853" s="85"/>
      <c r="OT853" s="85"/>
      <c r="OU853" s="85"/>
      <c r="OV853" s="85"/>
      <c r="OW853" s="85"/>
      <c r="OX853" s="85"/>
      <c r="OY853" s="85"/>
      <c r="OZ853" s="85"/>
      <c r="PA853" s="85"/>
      <c r="PB853" s="85"/>
      <c r="PC853" s="85"/>
      <c r="PD853" s="85"/>
      <c r="PE853" s="85"/>
      <c r="PF853" s="85"/>
      <c r="PG853" s="85"/>
      <c r="PH853" s="85"/>
      <c r="PI853" s="85"/>
      <c r="PJ853" s="85"/>
      <c r="PK853" s="85"/>
      <c r="PL853" s="85"/>
      <c r="PM853" s="85"/>
      <c r="PN853" s="85"/>
      <c r="PO853" s="85"/>
      <c r="PP853" s="85"/>
      <c r="PQ853" s="85"/>
      <c r="PR853" s="85"/>
      <c r="PS853" s="85"/>
      <c r="PT853" s="85"/>
      <c r="PU853" s="85"/>
      <c r="PV853" s="85"/>
      <c r="PW853" s="85"/>
      <c r="PX853" s="85"/>
      <c r="PY853" s="85"/>
      <c r="PZ853" s="85"/>
      <c r="QA853" s="85"/>
      <c r="QB853" s="85"/>
      <c r="QC853" s="85"/>
      <c r="QD853" s="85"/>
      <c r="QE853" s="85"/>
      <c r="QF853" s="85"/>
      <c r="QG853" s="85"/>
      <c r="QH853" s="85"/>
      <c r="QI853" s="85"/>
      <c r="QJ853" s="85"/>
      <c r="QK853" s="85"/>
      <c r="QL853" s="85"/>
      <c r="QM853" s="85"/>
      <c r="QN853" s="85"/>
      <c r="QO853" s="85"/>
      <c r="QP853" s="85"/>
      <c r="QQ853" s="85"/>
      <c r="QR853" s="85"/>
      <c r="QS853" s="85"/>
      <c r="QT853" s="85"/>
      <c r="QU853" s="85"/>
      <c r="QV853" s="85"/>
      <c r="QW853" s="85"/>
      <c r="QX853" s="85"/>
      <c r="QY853" s="85"/>
      <c r="QZ853" s="85"/>
      <c r="RA853" s="85"/>
      <c r="RB853" s="85"/>
      <c r="RC853" s="85"/>
      <c r="RD853" s="85"/>
      <c r="RE853" s="85"/>
      <c r="RF853" s="85"/>
      <c r="RG853" s="85"/>
      <c r="RH853" s="85"/>
      <c r="RI853" s="85"/>
      <c r="RJ853" s="85"/>
      <c r="RK853" s="85"/>
      <c r="RL853" s="85"/>
      <c r="RM853" s="85"/>
      <c r="RN853" s="85"/>
      <c r="RO853" s="85"/>
      <c r="RP853" s="85"/>
      <c r="RQ853" s="85"/>
      <c r="RR853" s="85"/>
      <c r="RS853" s="85"/>
      <c r="RT853" s="85"/>
      <c r="RU853" s="85"/>
      <c r="RV853" s="85"/>
      <c r="RW853" s="85"/>
      <c r="RX853" s="85"/>
      <c r="RY853" s="85"/>
      <c r="RZ853" s="85"/>
      <c r="SA853" s="85"/>
      <c r="SB853" s="85"/>
      <c r="SC853" s="85"/>
      <c r="SD853" s="85"/>
      <c r="SE853" s="85"/>
      <c r="SF853" s="85"/>
      <c r="SG853" s="85"/>
      <c r="SH853" s="85"/>
      <c r="SI853" s="85"/>
      <c r="SJ853" s="85"/>
      <c r="SK853" s="85"/>
      <c r="SL853" s="85"/>
      <c r="SM853" s="85"/>
      <c r="SN853" s="85"/>
      <c r="SO853" s="85"/>
      <c r="SP853" s="85"/>
      <c r="SQ853" s="85"/>
      <c r="SR853" s="85"/>
      <c r="SS853" s="85"/>
      <c r="ST853" s="85"/>
      <c r="SU853" s="85"/>
      <c r="SV853" s="85"/>
      <c r="SW853" s="85"/>
      <c r="SX853" s="85"/>
      <c r="SY853" s="85"/>
      <c r="SZ853" s="85"/>
      <c r="TA853" s="85"/>
      <c r="TB853" s="85"/>
      <c r="TC853" s="85"/>
      <c r="TD853" s="85"/>
      <c r="TE853" s="85"/>
      <c r="TF853" s="85"/>
      <c r="TG853" s="85"/>
      <c r="TH853" s="85"/>
      <c r="TI853" s="85"/>
      <c r="TJ853" s="85"/>
      <c r="TK853" s="85"/>
      <c r="TL853" s="85"/>
    </row>
    <row r="854" spans="1:532" s="85" customFormat="1" ht="12.75" customHeight="1">
      <c r="A854" s="176" t="s">
        <v>419</v>
      </c>
      <c r="B854" s="177" t="s">
        <v>94</v>
      </c>
      <c r="C854" s="124"/>
      <c r="D854" s="125">
        <f>+'[2]Extra 01'!C791</f>
        <v>4343219.7</v>
      </c>
      <c r="E854" s="173">
        <f>+D854</f>
        <v>4343219.7</v>
      </c>
      <c r="F854" s="174"/>
      <c r="G854" s="174"/>
      <c r="H854" s="98"/>
      <c r="I854" s="140">
        <f t="shared" ref="I854:N854" si="37">SUM(I855)</f>
        <v>4343219.7</v>
      </c>
      <c r="J854" s="140">
        <f t="shared" si="37"/>
        <v>4343219.7</v>
      </c>
      <c r="K854" s="140">
        <f t="shared" si="37"/>
        <v>0</v>
      </c>
      <c r="L854" s="140">
        <f t="shared" si="37"/>
        <v>0</v>
      </c>
      <c r="M854" s="140">
        <f t="shared" si="37"/>
        <v>0</v>
      </c>
      <c r="N854" s="140">
        <f t="shared" si="37"/>
        <v>0</v>
      </c>
    </row>
    <row r="855" spans="1:532" s="85" customFormat="1" ht="12.75" customHeight="1">
      <c r="A855" s="122"/>
      <c r="B855" s="240"/>
      <c r="C855" s="124"/>
      <c r="D855" s="124"/>
      <c r="E855" s="124"/>
      <c r="F855" s="174" t="s">
        <v>171</v>
      </c>
      <c r="G855" s="97" t="s">
        <v>270</v>
      </c>
      <c r="H855" s="98" t="s">
        <v>82</v>
      </c>
      <c r="I855" s="125">
        <v>4343219.7</v>
      </c>
      <c r="J855" s="125">
        <f>+I855</f>
        <v>4343219.7</v>
      </c>
      <c r="K855" s="125"/>
      <c r="L855" s="125"/>
      <c r="M855" s="125"/>
      <c r="N855" s="141">
        <f>-I855+'[2]Extra 01'!H792</f>
        <v>0</v>
      </c>
    </row>
    <row r="856" spans="1:532" s="135" customFormat="1" ht="12.75" customHeight="1">
      <c r="A856" s="111"/>
      <c r="B856" s="243"/>
      <c r="C856" s="112"/>
      <c r="D856" s="112"/>
      <c r="E856" s="112"/>
      <c r="F856" s="242"/>
      <c r="G856" s="113"/>
      <c r="H856" s="114"/>
      <c r="I856" s="115"/>
      <c r="J856" s="115"/>
      <c r="K856" s="115"/>
      <c r="L856" s="115"/>
      <c r="M856" s="115"/>
      <c r="N856" s="116"/>
      <c r="O856" s="85"/>
      <c r="P856" s="85"/>
      <c r="Q856" s="85"/>
      <c r="R856" s="85"/>
      <c r="S856" s="85"/>
      <c r="T856" s="85"/>
      <c r="U856" s="85"/>
      <c r="V856" s="85"/>
      <c r="W856" s="85"/>
      <c r="X856" s="85"/>
      <c r="Y856" s="85"/>
      <c r="Z856" s="85"/>
      <c r="AA856" s="85"/>
      <c r="AB856" s="85"/>
      <c r="AC856" s="85"/>
      <c r="AD856" s="85"/>
      <c r="AE856" s="85"/>
      <c r="AF856" s="85"/>
      <c r="AG856" s="85"/>
      <c r="AH856" s="85"/>
      <c r="AI856" s="85"/>
      <c r="AJ856" s="85"/>
      <c r="AK856" s="85"/>
      <c r="AL856" s="85"/>
      <c r="AM856" s="85"/>
      <c r="AN856" s="85"/>
      <c r="AO856" s="85"/>
      <c r="AP856" s="85"/>
      <c r="AQ856" s="85"/>
      <c r="AR856" s="85"/>
      <c r="AS856" s="85"/>
      <c r="AT856" s="85"/>
      <c r="AU856" s="85"/>
      <c r="AV856" s="85"/>
      <c r="AW856" s="85"/>
      <c r="AX856" s="85"/>
      <c r="AY856" s="85"/>
      <c r="AZ856" s="85"/>
      <c r="BA856" s="85"/>
      <c r="BB856" s="85"/>
      <c r="BC856" s="85"/>
      <c r="BD856" s="85"/>
      <c r="BE856" s="85"/>
      <c r="BF856" s="85"/>
      <c r="BG856" s="85"/>
      <c r="BH856" s="85"/>
      <c r="BI856" s="85"/>
      <c r="BJ856" s="85"/>
      <c r="BK856" s="85"/>
      <c r="BL856" s="85"/>
      <c r="BM856" s="85"/>
      <c r="BN856" s="85"/>
      <c r="BO856" s="85"/>
      <c r="BP856" s="85"/>
      <c r="BQ856" s="85"/>
      <c r="BR856" s="85"/>
      <c r="BS856" s="85"/>
      <c r="BT856" s="85"/>
      <c r="BU856" s="85"/>
      <c r="BV856" s="85"/>
      <c r="BW856" s="85"/>
      <c r="BX856" s="85"/>
      <c r="BY856" s="85"/>
      <c r="BZ856" s="85"/>
      <c r="CA856" s="85"/>
      <c r="CB856" s="85"/>
      <c r="CC856" s="85"/>
      <c r="CD856" s="85"/>
      <c r="CE856" s="85"/>
      <c r="CF856" s="85"/>
      <c r="CG856" s="85"/>
      <c r="CH856" s="85"/>
      <c r="CI856" s="85"/>
      <c r="CJ856" s="85"/>
      <c r="CK856" s="85"/>
      <c r="CL856" s="85"/>
      <c r="CM856" s="85"/>
      <c r="CN856" s="85"/>
      <c r="CO856" s="85"/>
      <c r="CP856" s="85"/>
      <c r="CQ856" s="85"/>
      <c r="CR856" s="85"/>
      <c r="CS856" s="85"/>
      <c r="CT856" s="85"/>
      <c r="CU856" s="85"/>
      <c r="CV856" s="85"/>
      <c r="CW856" s="85"/>
      <c r="CX856" s="85"/>
      <c r="CY856" s="85"/>
      <c r="CZ856" s="85"/>
      <c r="DA856" s="85"/>
      <c r="DB856" s="85"/>
      <c r="DC856" s="85"/>
      <c r="DD856" s="85"/>
      <c r="DE856" s="85"/>
      <c r="DF856" s="85"/>
      <c r="DG856" s="85"/>
      <c r="DH856" s="85"/>
      <c r="DI856" s="85"/>
      <c r="DJ856" s="85"/>
      <c r="DK856" s="85"/>
      <c r="DL856" s="85"/>
      <c r="DM856" s="85"/>
      <c r="DN856" s="85"/>
      <c r="DO856" s="85"/>
      <c r="DP856" s="85"/>
      <c r="DQ856" s="85"/>
      <c r="DR856" s="85"/>
      <c r="DS856" s="85"/>
      <c r="DT856" s="85"/>
      <c r="DU856" s="85"/>
      <c r="DV856" s="85"/>
      <c r="DW856" s="85"/>
      <c r="DX856" s="85"/>
      <c r="DY856" s="85"/>
      <c r="DZ856" s="85"/>
      <c r="EA856" s="85"/>
      <c r="EB856" s="85"/>
      <c r="EC856" s="85"/>
      <c r="ED856" s="85"/>
      <c r="EE856" s="85"/>
      <c r="EF856" s="85"/>
      <c r="EG856" s="85"/>
      <c r="EH856" s="85"/>
      <c r="EI856" s="85"/>
      <c r="EJ856" s="85"/>
      <c r="EK856" s="85"/>
      <c r="EL856" s="85"/>
      <c r="EM856" s="85"/>
      <c r="EN856" s="85"/>
      <c r="EO856" s="85"/>
      <c r="EP856" s="85"/>
      <c r="EQ856" s="85"/>
      <c r="ER856" s="85"/>
      <c r="ES856" s="85"/>
      <c r="ET856" s="85"/>
      <c r="EU856" s="85"/>
      <c r="EV856" s="85"/>
      <c r="EW856" s="85"/>
      <c r="EX856" s="85"/>
      <c r="EY856" s="85"/>
      <c r="EZ856" s="85"/>
      <c r="FA856" s="85"/>
      <c r="FB856" s="85"/>
      <c r="FC856" s="85"/>
      <c r="FD856" s="85"/>
      <c r="FE856" s="85"/>
      <c r="FF856" s="85"/>
      <c r="FG856" s="85"/>
      <c r="FH856" s="85"/>
      <c r="FI856" s="85"/>
      <c r="FJ856" s="85"/>
      <c r="FK856" s="85"/>
      <c r="FL856" s="85"/>
      <c r="FM856" s="85"/>
      <c r="FN856" s="85"/>
      <c r="FO856" s="85"/>
      <c r="FP856" s="85"/>
      <c r="FQ856" s="85"/>
      <c r="FR856" s="85"/>
      <c r="FS856" s="85"/>
      <c r="FT856" s="85"/>
      <c r="FU856" s="85"/>
      <c r="FV856" s="85"/>
      <c r="FW856" s="85"/>
      <c r="FX856" s="85"/>
      <c r="FY856" s="85"/>
      <c r="FZ856" s="85"/>
      <c r="GA856" s="85"/>
      <c r="GB856" s="85"/>
      <c r="GC856" s="85"/>
      <c r="GD856" s="85"/>
      <c r="GE856" s="85"/>
      <c r="GF856" s="85"/>
      <c r="GG856" s="85"/>
      <c r="GH856" s="85"/>
      <c r="GI856" s="85"/>
      <c r="GJ856" s="85"/>
      <c r="GK856" s="85"/>
      <c r="GL856" s="85"/>
      <c r="GM856" s="85"/>
      <c r="GN856" s="85"/>
      <c r="GO856" s="85"/>
      <c r="GP856" s="85"/>
      <c r="GQ856" s="85"/>
      <c r="GR856" s="85"/>
      <c r="GS856" s="85"/>
      <c r="GT856" s="85"/>
      <c r="GU856" s="85"/>
      <c r="GV856" s="85"/>
      <c r="GW856" s="85"/>
      <c r="GX856" s="85"/>
      <c r="GY856" s="85"/>
      <c r="GZ856" s="85"/>
      <c r="HA856" s="85"/>
      <c r="HB856" s="85"/>
      <c r="HC856" s="85"/>
      <c r="HD856" s="85"/>
      <c r="HE856" s="85"/>
      <c r="HF856" s="85"/>
      <c r="HG856" s="85"/>
      <c r="HH856" s="85"/>
      <c r="HI856" s="85"/>
      <c r="HJ856" s="85"/>
      <c r="HK856" s="85"/>
      <c r="HL856" s="85"/>
      <c r="HM856" s="85"/>
      <c r="HN856" s="85"/>
      <c r="HO856" s="85"/>
      <c r="HP856" s="85"/>
      <c r="HQ856" s="85"/>
      <c r="HR856" s="85"/>
      <c r="HS856" s="85"/>
      <c r="HT856" s="85"/>
      <c r="HU856" s="85"/>
      <c r="HV856" s="85"/>
      <c r="HW856" s="85"/>
      <c r="HX856" s="85"/>
      <c r="HY856" s="85"/>
      <c r="HZ856" s="85"/>
      <c r="IA856" s="85"/>
      <c r="IB856" s="85"/>
      <c r="IC856" s="85"/>
      <c r="ID856" s="85"/>
      <c r="IE856" s="85"/>
      <c r="IF856" s="85"/>
      <c r="IG856" s="85"/>
      <c r="IH856" s="85"/>
      <c r="II856" s="85"/>
      <c r="IJ856" s="85"/>
      <c r="IK856" s="85"/>
      <c r="IL856" s="85"/>
      <c r="IM856" s="85"/>
      <c r="IN856" s="85"/>
      <c r="IO856" s="85"/>
      <c r="IP856" s="85"/>
      <c r="IQ856" s="85"/>
      <c r="IR856" s="85"/>
      <c r="IS856" s="85"/>
      <c r="IT856" s="85"/>
      <c r="IU856" s="85"/>
      <c r="IV856" s="85"/>
      <c r="IW856" s="85"/>
      <c r="IX856" s="85"/>
      <c r="IY856" s="85"/>
      <c r="IZ856" s="85"/>
      <c r="JA856" s="85"/>
      <c r="JB856" s="85"/>
      <c r="JC856" s="85"/>
      <c r="JD856" s="85"/>
      <c r="JE856" s="85"/>
      <c r="JF856" s="85"/>
      <c r="JG856" s="85"/>
      <c r="JH856" s="85"/>
      <c r="JI856" s="85"/>
      <c r="JJ856" s="85"/>
      <c r="JK856" s="85"/>
      <c r="JL856" s="85"/>
      <c r="JM856" s="85"/>
      <c r="JN856" s="85"/>
      <c r="JO856" s="85"/>
      <c r="JP856" s="85"/>
      <c r="JQ856" s="85"/>
      <c r="JR856" s="85"/>
      <c r="JS856" s="85"/>
      <c r="JT856" s="85"/>
      <c r="JU856" s="85"/>
      <c r="JV856" s="85"/>
      <c r="JW856" s="85"/>
      <c r="JX856" s="85"/>
      <c r="JY856" s="85"/>
      <c r="JZ856" s="85"/>
      <c r="KA856" s="85"/>
      <c r="KB856" s="85"/>
      <c r="KC856" s="85"/>
      <c r="KD856" s="85"/>
      <c r="KE856" s="85"/>
      <c r="KF856" s="85"/>
      <c r="KG856" s="85"/>
      <c r="KH856" s="85"/>
      <c r="KI856" s="85"/>
      <c r="KJ856" s="85"/>
      <c r="KK856" s="85"/>
      <c r="KL856" s="85"/>
      <c r="KM856" s="85"/>
      <c r="KN856" s="85"/>
      <c r="KO856" s="85"/>
      <c r="KP856" s="85"/>
      <c r="KQ856" s="85"/>
      <c r="KR856" s="85"/>
      <c r="KS856" s="85"/>
      <c r="KT856" s="85"/>
      <c r="KU856" s="85"/>
      <c r="KV856" s="85"/>
      <c r="KW856" s="85"/>
      <c r="KX856" s="85"/>
      <c r="KY856" s="85"/>
      <c r="KZ856" s="85"/>
      <c r="LA856" s="85"/>
      <c r="LB856" s="85"/>
      <c r="LC856" s="85"/>
      <c r="LD856" s="85"/>
      <c r="LE856" s="85"/>
      <c r="LF856" s="85"/>
      <c r="LG856" s="85"/>
      <c r="LH856" s="85"/>
      <c r="LI856" s="85"/>
      <c r="LJ856" s="85"/>
      <c r="LK856" s="85"/>
      <c r="LL856" s="85"/>
      <c r="LM856" s="85"/>
      <c r="LN856" s="85"/>
      <c r="LO856" s="85"/>
      <c r="LP856" s="85"/>
      <c r="LQ856" s="85"/>
      <c r="LR856" s="85"/>
      <c r="LS856" s="85"/>
      <c r="LT856" s="85"/>
      <c r="LU856" s="85"/>
      <c r="LV856" s="85"/>
      <c r="LW856" s="85"/>
      <c r="LX856" s="85"/>
      <c r="LY856" s="85"/>
      <c r="LZ856" s="85"/>
      <c r="MA856" s="85"/>
      <c r="MB856" s="85"/>
      <c r="MC856" s="85"/>
      <c r="MD856" s="85"/>
      <c r="ME856" s="85"/>
      <c r="MF856" s="85"/>
      <c r="MG856" s="85"/>
      <c r="MH856" s="85"/>
      <c r="MI856" s="85"/>
      <c r="MJ856" s="85"/>
      <c r="MK856" s="85"/>
      <c r="ML856" s="85"/>
      <c r="MM856" s="85"/>
      <c r="MN856" s="85"/>
      <c r="MO856" s="85"/>
      <c r="MP856" s="85"/>
      <c r="MQ856" s="85"/>
      <c r="MR856" s="85"/>
      <c r="MS856" s="85"/>
      <c r="MT856" s="85"/>
      <c r="MU856" s="85"/>
      <c r="MV856" s="85"/>
      <c r="MW856" s="85"/>
      <c r="MX856" s="85"/>
      <c r="MY856" s="85"/>
      <c r="MZ856" s="85"/>
      <c r="NA856" s="85"/>
      <c r="NB856" s="85"/>
      <c r="NC856" s="85"/>
      <c r="ND856" s="85"/>
      <c r="NE856" s="85"/>
      <c r="NF856" s="85"/>
      <c r="NG856" s="85"/>
      <c r="NH856" s="85"/>
      <c r="NI856" s="85"/>
      <c r="NJ856" s="85"/>
      <c r="NK856" s="85"/>
      <c r="NL856" s="85"/>
      <c r="NM856" s="85"/>
      <c r="NN856" s="85"/>
      <c r="NO856" s="85"/>
      <c r="NP856" s="85"/>
      <c r="NQ856" s="85"/>
      <c r="NR856" s="85"/>
      <c r="NS856" s="85"/>
      <c r="NT856" s="85"/>
      <c r="NU856" s="85"/>
      <c r="NV856" s="85"/>
      <c r="NW856" s="85"/>
      <c r="NX856" s="85"/>
      <c r="NY856" s="85"/>
      <c r="NZ856" s="85"/>
      <c r="OA856" s="85"/>
      <c r="OB856" s="85"/>
      <c r="OC856" s="85"/>
      <c r="OD856" s="85"/>
      <c r="OE856" s="85"/>
      <c r="OF856" s="85"/>
      <c r="OG856" s="85"/>
      <c r="OH856" s="85"/>
      <c r="OI856" s="85"/>
      <c r="OJ856" s="85"/>
      <c r="OK856" s="85"/>
      <c r="OL856" s="85"/>
      <c r="OM856" s="85"/>
      <c r="ON856" s="85"/>
      <c r="OO856" s="85"/>
      <c r="OP856" s="85"/>
      <c r="OQ856" s="85"/>
      <c r="OR856" s="85"/>
      <c r="OS856" s="85"/>
      <c r="OT856" s="85"/>
      <c r="OU856" s="85"/>
      <c r="OV856" s="85"/>
      <c r="OW856" s="85"/>
      <c r="OX856" s="85"/>
      <c r="OY856" s="85"/>
      <c r="OZ856" s="85"/>
      <c r="PA856" s="85"/>
      <c r="PB856" s="85"/>
      <c r="PC856" s="85"/>
      <c r="PD856" s="85"/>
      <c r="PE856" s="85"/>
      <c r="PF856" s="85"/>
      <c r="PG856" s="85"/>
      <c r="PH856" s="85"/>
      <c r="PI856" s="85"/>
      <c r="PJ856" s="85"/>
      <c r="PK856" s="85"/>
      <c r="PL856" s="85"/>
      <c r="PM856" s="85"/>
      <c r="PN856" s="85"/>
      <c r="PO856" s="85"/>
      <c r="PP856" s="85"/>
      <c r="PQ856" s="85"/>
      <c r="PR856" s="85"/>
      <c r="PS856" s="85"/>
      <c r="PT856" s="85"/>
      <c r="PU856" s="85"/>
      <c r="PV856" s="85"/>
      <c r="PW856" s="85"/>
      <c r="PX856" s="85"/>
      <c r="PY856" s="85"/>
      <c r="PZ856" s="85"/>
      <c r="QA856" s="85"/>
      <c r="QB856" s="85"/>
      <c r="QC856" s="85"/>
      <c r="QD856" s="85"/>
      <c r="QE856" s="85"/>
      <c r="QF856" s="85"/>
      <c r="QG856" s="85"/>
      <c r="QH856" s="85"/>
      <c r="QI856" s="85"/>
      <c r="QJ856" s="85"/>
      <c r="QK856" s="85"/>
      <c r="QL856" s="85"/>
      <c r="QM856" s="85"/>
      <c r="QN856" s="85"/>
      <c r="QO856" s="85"/>
      <c r="QP856" s="85"/>
      <c r="QQ856" s="85"/>
      <c r="QR856" s="85"/>
      <c r="QS856" s="85"/>
      <c r="QT856" s="85"/>
      <c r="QU856" s="85"/>
      <c r="QV856" s="85"/>
      <c r="QW856" s="85"/>
      <c r="QX856" s="85"/>
      <c r="QY856" s="85"/>
      <c r="QZ856" s="85"/>
      <c r="RA856" s="85"/>
      <c r="RB856" s="85"/>
      <c r="RC856" s="85"/>
      <c r="RD856" s="85"/>
      <c r="RE856" s="85"/>
      <c r="RF856" s="85"/>
      <c r="RG856" s="85"/>
      <c r="RH856" s="85"/>
      <c r="RI856" s="85"/>
      <c r="RJ856" s="85"/>
      <c r="RK856" s="85"/>
      <c r="RL856" s="85"/>
      <c r="RM856" s="85"/>
      <c r="RN856" s="85"/>
      <c r="RO856" s="85"/>
      <c r="RP856" s="85"/>
      <c r="RQ856" s="85"/>
      <c r="RR856" s="85"/>
      <c r="RS856" s="85"/>
      <c r="RT856" s="85"/>
      <c r="RU856" s="85"/>
      <c r="RV856" s="85"/>
      <c r="RW856" s="85"/>
      <c r="RX856" s="85"/>
      <c r="RY856" s="85"/>
      <c r="RZ856" s="85"/>
      <c r="SA856" s="85"/>
      <c r="SB856" s="85"/>
      <c r="SC856" s="85"/>
      <c r="SD856" s="85"/>
      <c r="SE856" s="85"/>
      <c r="SF856" s="85"/>
      <c r="SG856" s="85"/>
      <c r="SH856" s="85"/>
      <c r="SI856" s="85"/>
      <c r="SJ856" s="85"/>
      <c r="SK856" s="85"/>
      <c r="SL856" s="85"/>
      <c r="SM856" s="85"/>
      <c r="SN856" s="85"/>
      <c r="SO856" s="85"/>
      <c r="SP856" s="85"/>
      <c r="SQ856" s="85"/>
      <c r="SR856" s="85"/>
      <c r="SS856" s="85"/>
      <c r="ST856" s="85"/>
      <c r="SU856" s="85"/>
      <c r="SV856" s="85"/>
      <c r="SW856" s="85"/>
      <c r="SX856" s="85"/>
      <c r="SY856" s="85"/>
      <c r="SZ856" s="85"/>
      <c r="TA856" s="85"/>
      <c r="TB856" s="85"/>
      <c r="TC856" s="85"/>
      <c r="TD856" s="85"/>
      <c r="TE856" s="85"/>
      <c r="TF856" s="85"/>
      <c r="TG856" s="85"/>
      <c r="TH856" s="85"/>
      <c r="TI856" s="85"/>
      <c r="TJ856" s="85"/>
      <c r="TK856" s="85"/>
      <c r="TL856" s="85"/>
    </row>
    <row r="857" spans="1:532" s="85" customFormat="1" ht="12.75" customHeight="1">
      <c r="A857" s="122" t="s">
        <v>420</v>
      </c>
      <c r="B857" s="175" t="s">
        <v>95</v>
      </c>
      <c r="C857" s="124"/>
      <c r="D857" s="125">
        <f>+'[2]Extra 01'!C795</f>
        <v>27362284.079999998</v>
      </c>
      <c r="E857" s="173">
        <f>+D857</f>
        <v>27362284.079999998</v>
      </c>
      <c r="F857" s="174"/>
      <c r="G857" s="174"/>
      <c r="H857" s="98"/>
      <c r="I857" s="140">
        <f t="shared" ref="I857:N857" si="38">SUM(I858)</f>
        <v>27362284.079999998</v>
      </c>
      <c r="J857" s="140">
        <f t="shared" si="38"/>
        <v>27362284.079999998</v>
      </c>
      <c r="K857" s="140">
        <f t="shared" si="38"/>
        <v>0</v>
      </c>
      <c r="L857" s="140">
        <f t="shared" si="38"/>
        <v>0</v>
      </c>
      <c r="M857" s="140">
        <f t="shared" si="38"/>
        <v>0</v>
      </c>
      <c r="N857" s="140">
        <f t="shared" si="38"/>
        <v>0</v>
      </c>
    </row>
    <row r="858" spans="1:532" s="85" customFormat="1" ht="12.75" customHeight="1">
      <c r="A858" s="122"/>
      <c r="B858" s="240"/>
      <c r="C858" s="124"/>
      <c r="D858" s="125"/>
      <c r="E858" s="125"/>
      <c r="F858" s="174" t="s">
        <v>171</v>
      </c>
      <c r="G858" s="97" t="s">
        <v>271</v>
      </c>
      <c r="H858" s="98" t="s">
        <v>82</v>
      </c>
      <c r="I858" s="125">
        <v>27362284.079999998</v>
      </c>
      <c r="J858" s="125">
        <f>+I858</f>
        <v>27362284.079999998</v>
      </c>
      <c r="K858" s="125"/>
      <c r="L858" s="125"/>
      <c r="M858" s="125"/>
      <c r="N858" s="141">
        <f>-I858+'[2]Extra 01'!H796</f>
        <v>0</v>
      </c>
    </row>
    <row r="859" spans="1:532" s="135" customFormat="1" ht="12.75" customHeight="1">
      <c r="A859" s="111"/>
      <c r="B859" s="243"/>
      <c r="C859" s="112"/>
      <c r="D859" s="112"/>
      <c r="E859" s="112"/>
      <c r="F859" s="242"/>
      <c r="G859" s="113"/>
      <c r="H859" s="114"/>
      <c r="I859" s="115"/>
      <c r="J859" s="115"/>
      <c r="K859" s="115"/>
      <c r="L859" s="115"/>
      <c r="M859" s="115"/>
      <c r="N859" s="116"/>
      <c r="O859" s="85"/>
      <c r="P859" s="85"/>
      <c r="Q859" s="85"/>
      <c r="R859" s="85"/>
      <c r="S859" s="85"/>
      <c r="T859" s="85"/>
      <c r="U859" s="85"/>
      <c r="V859" s="85"/>
      <c r="W859" s="85"/>
      <c r="X859" s="85"/>
      <c r="Y859" s="85"/>
      <c r="Z859" s="85"/>
      <c r="AA859" s="85"/>
      <c r="AB859" s="85"/>
      <c r="AC859" s="85"/>
      <c r="AD859" s="85"/>
      <c r="AE859" s="85"/>
      <c r="AF859" s="85"/>
      <c r="AG859" s="85"/>
      <c r="AH859" s="85"/>
      <c r="AI859" s="85"/>
      <c r="AJ859" s="85"/>
      <c r="AK859" s="85"/>
      <c r="AL859" s="85"/>
      <c r="AM859" s="85"/>
      <c r="AN859" s="85"/>
      <c r="AO859" s="85"/>
      <c r="AP859" s="85"/>
      <c r="AQ859" s="85"/>
      <c r="AR859" s="85"/>
      <c r="AS859" s="85"/>
      <c r="AT859" s="85"/>
      <c r="AU859" s="85"/>
      <c r="AV859" s="85"/>
      <c r="AW859" s="85"/>
      <c r="AX859" s="85"/>
      <c r="AY859" s="85"/>
      <c r="AZ859" s="85"/>
      <c r="BA859" s="85"/>
      <c r="BB859" s="85"/>
      <c r="BC859" s="85"/>
      <c r="BD859" s="85"/>
      <c r="BE859" s="85"/>
      <c r="BF859" s="85"/>
      <c r="BG859" s="85"/>
      <c r="BH859" s="85"/>
      <c r="BI859" s="85"/>
      <c r="BJ859" s="85"/>
      <c r="BK859" s="85"/>
      <c r="BL859" s="85"/>
      <c r="BM859" s="85"/>
      <c r="BN859" s="85"/>
      <c r="BO859" s="85"/>
      <c r="BP859" s="85"/>
      <c r="BQ859" s="85"/>
      <c r="BR859" s="85"/>
      <c r="BS859" s="85"/>
      <c r="BT859" s="85"/>
      <c r="BU859" s="85"/>
      <c r="BV859" s="85"/>
      <c r="BW859" s="85"/>
      <c r="BX859" s="85"/>
      <c r="BY859" s="85"/>
      <c r="BZ859" s="85"/>
      <c r="CA859" s="85"/>
      <c r="CB859" s="85"/>
      <c r="CC859" s="85"/>
      <c r="CD859" s="85"/>
      <c r="CE859" s="85"/>
      <c r="CF859" s="85"/>
      <c r="CG859" s="85"/>
      <c r="CH859" s="85"/>
      <c r="CI859" s="85"/>
      <c r="CJ859" s="85"/>
      <c r="CK859" s="85"/>
      <c r="CL859" s="85"/>
      <c r="CM859" s="85"/>
      <c r="CN859" s="85"/>
      <c r="CO859" s="85"/>
      <c r="CP859" s="85"/>
      <c r="CQ859" s="85"/>
      <c r="CR859" s="85"/>
      <c r="CS859" s="85"/>
      <c r="CT859" s="85"/>
      <c r="CU859" s="85"/>
      <c r="CV859" s="85"/>
      <c r="CW859" s="85"/>
      <c r="CX859" s="85"/>
      <c r="CY859" s="85"/>
      <c r="CZ859" s="85"/>
      <c r="DA859" s="85"/>
      <c r="DB859" s="85"/>
      <c r="DC859" s="85"/>
      <c r="DD859" s="85"/>
      <c r="DE859" s="85"/>
      <c r="DF859" s="85"/>
      <c r="DG859" s="85"/>
      <c r="DH859" s="85"/>
      <c r="DI859" s="85"/>
      <c r="DJ859" s="85"/>
      <c r="DK859" s="85"/>
      <c r="DL859" s="85"/>
      <c r="DM859" s="85"/>
      <c r="DN859" s="85"/>
      <c r="DO859" s="85"/>
      <c r="DP859" s="85"/>
      <c r="DQ859" s="85"/>
      <c r="DR859" s="85"/>
      <c r="DS859" s="85"/>
      <c r="DT859" s="85"/>
      <c r="DU859" s="85"/>
      <c r="DV859" s="85"/>
      <c r="DW859" s="85"/>
      <c r="DX859" s="85"/>
      <c r="DY859" s="85"/>
      <c r="DZ859" s="85"/>
      <c r="EA859" s="85"/>
      <c r="EB859" s="85"/>
      <c r="EC859" s="85"/>
      <c r="ED859" s="85"/>
      <c r="EE859" s="85"/>
      <c r="EF859" s="85"/>
      <c r="EG859" s="85"/>
      <c r="EH859" s="85"/>
      <c r="EI859" s="85"/>
      <c r="EJ859" s="85"/>
      <c r="EK859" s="85"/>
      <c r="EL859" s="85"/>
      <c r="EM859" s="85"/>
      <c r="EN859" s="85"/>
      <c r="EO859" s="85"/>
      <c r="EP859" s="85"/>
      <c r="EQ859" s="85"/>
      <c r="ER859" s="85"/>
      <c r="ES859" s="85"/>
      <c r="ET859" s="85"/>
      <c r="EU859" s="85"/>
      <c r="EV859" s="85"/>
      <c r="EW859" s="85"/>
      <c r="EX859" s="85"/>
      <c r="EY859" s="85"/>
      <c r="EZ859" s="85"/>
      <c r="FA859" s="85"/>
      <c r="FB859" s="85"/>
      <c r="FC859" s="85"/>
      <c r="FD859" s="85"/>
      <c r="FE859" s="85"/>
      <c r="FF859" s="85"/>
      <c r="FG859" s="85"/>
      <c r="FH859" s="85"/>
      <c r="FI859" s="85"/>
      <c r="FJ859" s="85"/>
      <c r="FK859" s="85"/>
      <c r="FL859" s="85"/>
      <c r="FM859" s="85"/>
      <c r="FN859" s="85"/>
      <c r="FO859" s="85"/>
      <c r="FP859" s="85"/>
      <c r="FQ859" s="85"/>
      <c r="FR859" s="85"/>
      <c r="FS859" s="85"/>
      <c r="FT859" s="85"/>
      <c r="FU859" s="85"/>
      <c r="FV859" s="85"/>
      <c r="FW859" s="85"/>
      <c r="FX859" s="85"/>
      <c r="FY859" s="85"/>
      <c r="FZ859" s="85"/>
      <c r="GA859" s="85"/>
      <c r="GB859" s="85"/>
      <c r="GC859" s="85"/>
      <c r="GD859" s="85"/>
      <c r="GE859" s="85"/>
      <c r="GF859" s="85"/>
      <c r="GG859" s="85"/>
      <c r="GH859" s="85"/>
      <c r="GI859" s="85"/>
      <c r="GJ859" s="85"/>
      <c r="GK859" s="85"/>
      <c r="GL859" s="85"/>
      <c r="GM859" s="85"/>
      <c r="GN859" s="85"/>
      <c r="GO859" s="85"/>
      <c r="GP859" s="85"/>
      <c r="GQ859" s="85"/>
      <c r="GR859" s="85"/>
      <c r="GS859" s="85"/>
      <c r="GT859" s="85"/>
      <c r="GU859" s="85"/>
      <c r="GV859" s="85"/>
      <c r="GW859" s="85"/>
      <c r="GX859" s="85"/>
      <c r="GY859" s="85"/>
      <c r="GZ859" s="85"/>
      <c r="HA859" s="85"/>
      <c r="HB859" s="85"/>
      <c r="HC859" s="85"/>
      <c r="HD859" s="85"/>
      <c r="HE859" s="85"/>
      <c r="HF859" s="85"/>
      <c r="HG859" s="85"/>
      <c r="HH859" s="85"/>
      <c r="HI859" s="85"/>
      <c r="HJ859" s="85"/>
      <c r="HK859" s="85"/>
      <c r="HL859" s="85"/>
      <c r="HM859" s="85"/>
      <c r="HN859" s="85"/>
      <c r="HO859" s="85"/>
      <c r="HP859" s="85"/>
      <c r="HQ859" s="85"/>
      <c r="HR859" s="85"/>
      <c r="HS859" s="85"/>
      <c r="HT859" s="85"/>
      <c r="HU859" s="85"/>
      <c r="HV859" s="85"/>
      <c r="HW859" s="85"/>
      <c r="HX859" s="85"/>
      <c r="HY859" s="85"/>
      <c r="HZ859" s="85"/>
      <c r="IA859" s="85"/>
      <c r="IB859" s="85"/>
      <c r="IC859" s="85"/>
      <c r="ID859" s="85"/>
      <c r="IE859" s="85"/>
      <c r="IF859" s="85"/>
      <c r="IG859" s="85"/>
      <c r="IH859" s="85"/>
      <c r="II859" s="85"/>
      <c r="IJ859" s="85"/>
      <c r="IK859" s="85"/>
      <c r="IL859" s="85"/>
      <c r="IM859" s="85"/>
      <c r="IN859" s="85"/>
      <c r="IO859" s="85"/>
      <c r="IP859" s="85"/>
      <c r="IQ859" s="85"/>
      <c r="IR859" s="85"/>
      <c r="IS859" s="85"/>
      <c r="IT859" s="85"/>
      <c r="IU859" s="85"/>
      <c r="IV859" s="85"/>
      <c r="IW859" s="85"/>
      <c r="IX859" s="85"/>
      <c r="IY859" s="85"/>
      <c r="IZ859" s="85"/>
      <c r="JA859" s="85"/>
      <c r="JB859" s="85"/>
      <c r="JC859" s="85"/>
      <c r="JD859" s="85"/>
      <c r="JE859" s="85"/>
      <c r="JF859" s="85"/>
      <c r="JG859" s="85"/>
      <c r="JH859" s="85"/>
      <c r="JI859" s="85"/>
      <c r="JJ859" s="85"/>
      <c r="JK859" s="85"/>
      <c r="JL859" s="85"/>
      <c r="JM859" s="85"/>
      <c r="JN859" s="85"/>
      <c r="JO859" s="85"/>
      <c r="JP859" s="85"/>
      <c r="JQ859" s="85"/>
      <c r="JR859" s="85"/>
      <c r="JS859" s="85"/>
      <c r="JT859" s="85"/>
      <c r="JU859" s="85"/>
      <c r="JV859" s="85"/>
      <c r="JW859" s="85"/>
      <c r="JX859" s="85"/>
      <c r="JY859" s="85"/>
      <c r="JZ859" s="85"/>
      <c r="KA859" s="85"/>
      <c r="KB859" s="85"/>
      <c r="KC859" s="85"/>
      <c r="KD859" s="85"/>
      <c r="KE859" s="85"/>
      <c r="KF859" s="85"/>
      <c r="KG859" s="85"/>
      <c r="KH859" s="85"/>
      <c r="KI859" s="85"/>
      <c r="KJ859" s="85"/>
      <c r="KK859" s="85"/>
      <c r="KL859" s="85"/>
      <c r="KM859" s="85"/>
      <c r="KN859" s="85"/>
      <c r="KO859" s="85"/>
      <c r="KP859" s="85"/>
      <c r="KQ859" s="85"/>
      <c r="KR859" s="85"/>
      <c r="KS859" s="85"/>
      <c r="KT859" s="85"/>
      <c r="KU859" s="85"/>
      <c r="KV859" s="85"/>
      <c r="KW859" s="85"/>
      <c r="KX859" s="85"/>
      <c r="KY859" s="85"/>
      <c r="KZ859" s="85"/>
      <c r="LA859" s="85"/>
      <c r="LB859" s="85"/>
      <c r="LC859" s="85"/>
      <c r="LD859" s="85"/>
      <c r="LE859" s="85"/>
      <c r="LF859" s="85"/>
      <c r="LG859" s="85"/>
      <c r="LH859" s="85"/>
      <c r="LI859" s="85"/>
      <c r="LJ859" s="85"/>
      <c r="LK859" s="85"/>
      <c r="LL859" s="85"/>
      <c r="LM859" s="85"/>
      <c r="LN859" s="85"/>
      <c r="LO859" s="85"/>
      <c r="LP859" s="85"/>
      <c r="LQ859" s="85"/>
      <c r="LR859" s="85"/>
      <c r="LS859" s="85"/>
      <c r="LT859" s="85"/>
      <c r="LU859" s="85"/>
      <c r="LV859" s="85"/>
      <c r="LW859" s="85"/>
      <c r="LX859" s="85"/>
      <c r="LY859" s="85"/>
      <c r="LZ859" s="85"/>
      <c r="MA859" s="85"/>
      <c r="MB859" s="85"/>
      <c r="MC859" s="85"/>
      <c r="MD859" s="85"/>
      <c r="ME859" s="85"/>
      <c r="MF859" s="85"/>
      <c r="MG859" s="85"/>
      <c r="MH859" s="85"/>
      <c r="MI859" s="85"/>
      <c r="MJ859" s="85"/>
      <c r="MK859" s="85"/>
      <c r="ML859" s="85"/>
      <c r="MM859" s="85"/>
      <c r="MN859" s="85"/>
      <c r="MO859" s="85"/>
      <c r="MP859" s="85"/>
      <c r="MQ859" s="85"/>
      <c r="MR859" s="85"/>
      <c r="MS859" s="85"/>
      <c r="MT859" s="85"/>
      <c r="MU859" s="85"/>
      <c r="MV859" s="85"/>
      <c r="MW859" s="85"/>
      <c r="MX859" s="85"/>
      <c r="MY859" s="85"/>
      <c r="MZ859" s="85"/>
      <c r="NA859" s="85"/>
      <c r="NB859" s="85"/>
      <c r="NC859" s="85"/>
      <c r="ND859" s="85"/>
      <c r="NE859" s="85"/>
      <c r="NF859" s="85"/>
      <c r="NG859" s="85"/>
      <c r="NH859" s="85"/>
      <c r="NI859" s="85"/>
      <c r="NJ859" s="85"/>
      <c r="NK859" s="85"/>
      <c r="NL859" s="85"/>
      <c r="NM859" s="85"/>
      <c r="NN859" s="85"/>
      <c r="NO859" s="85"/>
      <c r="NP859" s="85"/>
      <c r="NQ859" s="85"/>
      <c r="NR859" s="85"/>
      <c r="NS859" s="85"/>
      <c r="NT859" s="85"/>
      <c r="NU859" s="85"/>
      <c r="NV859" s="85"/>
      <c r="NW859" s="85"/>
      <c r="NX859" s="85"/>
      <c r="NY859" s="85"/>
      <c r="NZ859" s="85"/>
      <c r="OA859" s="85"/>
      <c r="OB859" s="85"/>
      <c r="OC859" s="85"/>
      <c r="OD859" s="85"/>
      <c r="OE859" s="85"/>
      <c r="OF859" s="85"/>
      <c r="OG859" s="85"/>
      <c r="OH859" s="85"/>
      <c r="OI859" s="85"/>
      <c r="OJ859" s="85"/>
      <c r="OK859" s="85"/>
      <c r="OL859" s="85"/>
      <c r="OM859" s="85"/>
      <c r="ON859" s="85"/>
      <c r="OO859" s="85"/>
      <c r="OP859" s="85"/>
      <c r="OQ859" s="85"/>
      <c r="OR859" s="85"/>
      <c r="OS859" s="85"/>
      <c r="OT859" s="85"/>
      <c r="OU859" s="85"/>
      <c r="OV859" s="85"/>
      <c r="OW859" s="85"/>
      <c r="OX859" s="85"/>
      <c r="OY859" s="85"/>
      <c r="OZ859" s="85"/>
      <c r="PA859" s="85"/>
      <c r="PB859" s="85"/>
      <c r="PC859" s="85"/>
      <c r="PD859" s="85"/>
      <c r="PE859" s="85"/>
      <c r="PF859" s="85"/>
      <c r="PG859" s="85"/>
      <c r="PH859" s="85"/>
      <c r="PI859" s="85"/>
      <c r="PJ859" s="85"/>
      <c r="PK859" s="85"/>
      <c r="PL859" s="85"/>
      <c r="PM859" s="85"/>
      <c r="PN859" s="85"/>
      <c r="PO859" s="85"/>
      <c r="PP859" s="85"/>
      <c r="PQ859" s="85"/>
      <c r="PR859" s="85"/>
      <c r="PS859" s="85"/>
      <c r="PT859" s="85"/>
      <c r="PU859" s="85"/>
      <c r="PV859" s="85"/>
      <c r="PW859" s="85"/>
      <c r="PX859" s="85"/>
      <c r="PY859" s="85"/>
      <c r="PZ859" s="85"/>
      <c r="QA859" s="85"/>
      <c r="QB859" s="85"/>
      <c r="QC859" s="85"/>
      <c r="QD859" s="85"/>
      <c r="QE859" s="85"/>
      <c r="QF859" s="85"/>
      <c r="QG859" s="85"/>
      <c r="QH859" s="85"/>
      <c r="QI859" s="85"/>
      <c r="QJ859" s="85"/>
      <c r="QK859" s="85"/>
      <c r="QL859" s="85"/>
      <c r="QM859" s="85"/>
      <c r="QN859" s="85"/>
      <c r="QO859" s="85"/>
      <c r="QP859" s="85"/>
      <c r="QQ859" s="85"/>
      <c r="QR859" s="85"/>
      <c r="QS859" s="85"/>
      <c r="QT859" s="85"/>
      <c r="QU859" s="85"/>
      <c r="QV859" s="85"/>
      <c r="QW859" s="85"/>
      <c r="QX859" s="85"/>
      <c r="QY859" s="85"/>
      <c r="QZ859" s="85"/>
      <c r="RA859" s="85"/>
      <c r="RB859" s="85"/>
      <c r="RC859" s="85"/>
      <c r="RD859" s="85"/>
      <c r="RE859" s="85"/>
      <c r="RF859" s="85"/>
      <c r="RG859" s="85"/>
      <c r="RH859" s="85"/>
      <c r="RI859" s="85"/>
      <c r="RJ859" s="85"/>
      <c r="RK859" s="85"/>
      <c r="RL859" s="85"/>
      <c r="RM859" s="85"/>
      <c r="RN859" s="85"/>
      <c r="RO859" s="85"/>
      <c r="RP859" s="85"/>
      <c r="RQ859" s="85"/>
      <c r="RR859" s="85"/>
      <c r="RS859" s="85"/>
      <c r="RT859" s="85"/>
      <c r="RU859" s="85"/>
      <c r="RV859" s="85"/>
      <c r="RW859" s="85"/>
      <c r="RX859" s="85"/>
      <c r="RY859" s="85"/>
      <c r="RZ859" s="85"/>
      <c r="SA859" s="85"/>
      <c r="SB859" s="85"/>
      <c r="SC859" s="85"/>
      <c r="SD859" s="85"/>
      <c r="SE859" s="85"/>
      <c r="SF859" s="85"/>
      <c r="SG859" s="85"/>
      <c r="SH859" s="85"/>
      <c r="SI859" s="85"/>
      <c r="SJ859" s="85"/>
      <c r="SK859" s="85"/>
      <c r="SL859" s="85"/>
      <c r="SM859" s="85"/>
      <c r="SN859" s="85"/>
      <c r="SO859" s="85"/>
      <c r="SP859" s="85"/>
      <c r="SQ859" s="85"/>
      <c r="SR859" s="85"/>
      <c r="SS859" s="85"/>
      <c r="ST859" s="85"/>
      <c r="SU859" s="85"/>
      <c r="SV859" s="85"/>
      <c r="SW859" s="85"/>
      <c r="SX859" s="85"/>
      <c r="SY859" s="85"/>
      <c r="SZ859" s="85"/>
      <c r="TA859" s="85"/>
      <c r="TB859" s="85"/>
      <c r="TC859" s="85"/>
      <c r="TD859" s="85"/>
      <c r="TE859" s="85"/>
      <c r="TF859" s="85"/>
      <c r="TG859" s="85"/>
      <c r="TH859" s="85"/>
      <c r="TI859" s="85"/>
      <c r="TJ859" s="85"/>
      <c r="TK859" s="85"/>
      <c r="TL859" s="85"/>
    </row>
    <row r="860" spans="1:532" s="85" customFormat="1" ht="12.75" customHeight="1">
      <c r="A860" s="122" t="s">
        <v>421</v>
      </c>
      <c r="B860" s="178" t="str">
        <f>+'[2]Extra 01'!B862</f>
        <v>Atención de Emergencias Cantonales</v>
      </c>
      <c r="C860" s="124"/>
      <c r="D860" s="124">
        <f>+'[2]Extra 01'!C862+'[2]EXTRA 2'!C872</f>
        <v>433084372.89155805</v>
      </c>
      <c r="E860" s="173">
        <f>+D860</f>
        <v>433084372.89155805</v>
      </c>
      <c r="F860" s="174"/>
      <c r="G860" s="174"/>
      <c r="H860" s="98"/>
      <c r="I860" s="140">
        <f t="shared" ref="I860:N860" si="39">SUM(I861:I863)</f>
        <v>286635756.87</v>
      </c>
      <c r="J860" s="140">
        <f t="shared" si="39"/>
        <v>222274918.64999998</v>
      </c>
      <c r="K860" s="140">
        <f t="shared" si="39"/>
        <v>64360838.219999999</v>
      </c>
      <c r="L860" s="140">
        <f t="shared" si="39"/>
        <v>0</v>
      </c>
      <c r="M860" s="140">
        <f t="shared" si="39"/>
        <v>0</v>
      </c>
      <c r="N860" s="140">
        <f t="shared" si="39"/>
        <v>146448616.02000001</v>
      </c>
    </row>
    <row r="861" spans="1:532" s="85" customFormat="1" ht="12.75" customHeight="1">
      <c r="A861" s="106"/>
      <c r="B861" s="257"/>
      <c r="C861" s="95"/>
      <c r="D861" s="95"/>
      <c r="E861" s="95"/>
      <c r="F861" s="256" t="s">
        <v>184</v>
      </c>
      <c r="G861" s="108" t="str">
        <f>+'[2]Extra 01'!G863</f>
        <v>Atención Emergencias Cantonales</v>
      </c>
      <c r="H861" s="105" t="s">
        <v>78</v>
      </c>
      <c r="I861" s="99">
        <f>27574033.74+55692763.97+139008120.94</f>
        <v>222274918.64999998</v>
      </c>
      <c r="J861" s="99">
        <f>+I861</f>
        <v>222274918.64999998</v>
      </c>
      <c r="K861" s="99"/>
      <c r="L861" s="99"/>
      <c r="M861" s="99"/>
      <c r="N861" s="99">
        <f>-I861+'[2]Extra 01'!H864+'[2]EXTRA 2'!H874</f>
        <v>56030546.800000012</v>
      </c>
    </row>
    <row r="862" spans="1:532" s="85" customFormat="1" ht="12.75" customHeight="1">
      <c r="A862" s="106"/>
      <c r="B862" s="257"/>
      <c r="C862" s="95"/>
      <c r="D862" s="95"/>
      <c r="E862" s="95"/>
      <c r="F862" s="256"/>
      <c r="G862" s="108"/>
      <c r="H862" s="105" t="s">
        <v>79</v>
      </c>
      <c r="I862" s="99"/>
      <c r="J862" s="99">
        <f>+I862</f>
        <v>0</v>
      </c>
      <c r="K862" s="99"/>
      <c r="L862" s="99"/>
      <c r="M862" s="99"/>
      <c r="N862" s="99">
        <f>-I862+'[2]Extra 01'!H865</f>
        <v>13146069.220000001</v>
      </c>
    </row>
    <row r="863" spans="1:532" s="85" customFormat="1" ht="12.75" customHeight="1">
      <c r="A863" s="106"/>
      <c r="B863" s="257"/>
      <c r="C863" s="95"/>
      <c r="D863" s="95"/>
      <c r="E863" s="95"/>
      <c r="F863" s="256"/>
      <c r="G863" s="108"/>
      <c r="H863" s="105" t="s">
        <v>81</v>
      </c>
      <c r="I863" s="99">
        <v>64360838.219999999</v>
      </c>
      <c r="J863" s="99"/>
      <c r="K863" s="99">
        <f>+I863</f>
        <v>64360838.219999999</v>
      </c>
      <c r="L863" s="99"/>
      <c r="M863" s="99"/>
      <c r="N863" s="99">
        <f>-I863+'[2]Extra 01'!H866+'[2]EXTRA 2'!H876</f>
        <v>77272000</v>
      </c>
    </row>
    <row r="864" spans="1:532" s="85" customFormat="1" ht="12.75" customHeight="1">
      <c r="A864" s="106"/>
      <c r="B864" s="257"/>
      <c r="C864" s="95"/>
      <c r="D864" s="95"/>
      <c r="E864" s="95"/>
      <c r="F864" s="256"/>
      <c r="G864" s="108"/>
      <c r="H864" s="105"/>
      <c r="I864" s="99"/>
      <c r="J864" s="99"/>
      <c r="K864" s="99"/>
      <c r="L864" s="99"/>
      <c r="M864" s="99"/>
      <c r="N864" s="99"/>
    </row>
    <row r="865" spans="1:532" s="85" customFormat="1" ht="12.75" customHeight="1">
      <c r="A865" s="106"/>
      <c r="B865" s="257"/>
      <c r="C865" s="95"/>
      <c r="D865" s="95"/>
      <c r="E865" s="95"/>
      <c r="F865" s="256" t="s">
        <v>415</v>
      </c>
      <c r="G865" s="108"/>
      <c r="H865" s="105"/>
      <c r="I865" s="99"/>
      <c r="J865" s="99"/>
      <c r="K865" s="99"/>
      <c r="L865" s="99"/>
      <c r="M865" s="99"/>
      <c r="N865" s="99"/>
    </row>
    <row r="866" spans="1:532" s="135" customFormat="1" ht="12.75" customHeight="1">
      <c r="A866" s="111"/>
      <c r="B866" s="243"/>
      <c r="C866" s="112"/>
      <c r="D866" s="112"/>
      <c r="E866" s="112"/>
      <c r="F866" s="242"/>
      <c r="G866" s="113"/>
      <c r="H866" s="114"/>
      <c r="I866" s="115"/>
      <c r="J866" s="115"/>
      <c r="K866" s="115"/>
      <c r="L866" s="115"/>
      <c r="M866" s="115"/>
      <c r="N866" s="116"/>
      <c r="O866" s="85"/>
      <c r="P866" s="85"/>
      <c r="Q866" s="85"/>
      <c r="R866" s="85"/>
      <c r="S866" s="85"/>
      <c r="T866" s="85"/>
      <c r="U866" s="85"/>
      <c r="V866" s="85"/>
      <c r="W866" s="85"/>
      <c r="X866" s="85"/>
      <c r="Y866" s="85"/>
      <c r="Z866" s="85"/>
      <c r="AA866" s="85"/>
      <c r="AB866" s="85"/>
      <c r="AC866" s="85"/>
      <c r="AD866" s="85"/>
      <c r="AE866" s="85"/>
      <c r="AF866" s="85"/>
      <c r="AG866" s="85"/>
      <c r="AH866" s="85"/>
      <c r="AI866" s="85"/>
      <c r="AJ866" s="85"/>
      <c r="AK866" s="85"/>
      <c r="AL866" s="85"/>
      <c r="AM866" s="85"/>
      <c r="AN866" s="85"/>
      <c r="AO866" s="85"/>
      <c r="AP866" s="85"/>
      <c r="AQ866" s="85"/>
      <c r="AR866" s="85"/>
      <c r="AS866" s="85"/>
      <c r="AT866" s="85"/>
      <c r="AU866" s="85"/>
      <c r="AV866" s="85"/>
      <c r="AW866" s="85"/>
      <c r="AX866" s="85"/>
      <c r="AY866" s="85"/>
      <c r="AZ866" s="85"/>
      <c r="BA866" s="85"/>
      <c r="BB866" s="85"/>
      <c r="BC866" s="85"/>
      <c r="BD866" s="85"/>
      <c r="BE866" s="85"/>
      <c r="BF866" s="85"/>
      <c r="BG866" s="85"/>
      <c r="BH866" s="85"/>
      <c r="BI866" s="85"/>
      <c r="BJ866" s="85"/>
      <c r="BK866" s="85"/>
      <c r="BL866" s="85"/>
      <c r="BM866" s="85"/>
      <c r="BN866" s="85"/>
      <c r="BO866" s="85"/>
      <c r="BP866" s="85"/>
      <c r="BQ866" s="85"/>
      <c r="BR866" s="85"/>
      <c r="BS866" s="85"/>
      <c r="BT866" s="85"/>
      <c r="BU866" s="85"/>
      <c r="BV866" s="85"/>
      <c r="BW866" s="85"/>
      <c r="BX866" s="85"/>
      <c r="BY866" s="85"/>
      <c r="BZ866" s="85"/>
      <c r="CA866" s="85"/>
      <c r="CB866" s="85"/>
      <c r="CC866" s="85"/>
      <c r="CD866" s="85"/>
      <c r="CE866" s="85"/>
      <c r="CF866" s="85"/>
      <c r="CG866" s="85"/>
      <c r="CH866" s="85"/>
      <c r="CI866" s="85"/>
      <c r="CJ866" s="85"/>
      <c r="CK866" s="85"/>
      <c r="CL866" s="85"/>
      <c r="CM866" s="85"/>
      <c r="CN866" s="85"/>
      <c r="CO866" s="85"/>
      <c r="CP866" s="85"/>
      <c r="CQ866" s="85"/>
      <c r="CR866" s="85"/>
      <c r="CS866" s="85"/>
      <c r="CT866" s="85"/>
      <c r="CU866" s="85"/>
      <c r="CV866" s="85"/>
      <c r="CW866" s="85"/>
      <c r="CX866" s="85"/>
      <c r="CY866" s="85"/>
      <c r="CZ866" s="85"/>
      <c r="DA866" s="85"/>
      <c r="DB866" s="85"/>
      <c r="DC866" s="85"/>
      <c r="DD866" s="85"/>
      <c r="DE866" s="85"/>
      <c r="DF866" s="85"/>
      <c r="DG866" s="85"/>
      <c r="DH866" s="85"/>
      <c r="DI866" s="85"/>
      <c r="DJ866" s="85"/>
      <c r="DK866" s="85"/>
      <c r="DL866" s="85"/>
      <c r="DM866" s="85"/>
      <c r="DN866" s="85"/>
      <c r="DO866" s="85"/>
      <c r="DP866" s="85"/>
      <c r="DQ866" s="85"/>
      <c r="DR866" s="85"/>
      <c r="DS866" s="85"/>
      <c r="DT866" s="85"/>
      <c r="DU866" s="85"/>
      <c r="DV866" s="85"/>
      <c r="DW866" s="85"/>
      <c r="DX866" s="85"/>
      <c r="DY866" s="85"/>
      <c r="DZ866" s="85"/>
      <c r="EA866" s="85"/>
      <c r="EB866" s="85"/>
      <c r="EC866" s="85"/>
      <c r="ED866" s="85"/>
      <c r="EE866" s="85"/>
      <c r="EF866" s="85"/>
      <c r="EG866" s="85"/>
      <c r="EH866" s="85"/>
      <c r="EI866" s="85"/>
      <c r="EJ866" s="85"/>
      <c r="EK866" s="85"/>
      <c r="EL866" s="85"/>
      <c r="EM866" s="85"/>
      <c r="EN866" s="85"/>
      <c r="EO866" s="85"/>
      <c r="EP866" s="85"/>
      <c r="EQ866" s="85"/>
      <c r="ER866" s="85"/>
      <c r="ES866" s="85"/>
      <c r="ET866" s="85"/>
      <c r="EU866" s="85"/>
      <c r="EV866" s="85"/>
      <c r="EW866" s="85"/>
      <c r="EX866" s="85"/>
      <c r="EY866" s="85"/>
      <c r="EZ866" s="85"/>
      <c r="FA866" s="85"/>
      <c r="FB866" s="85"/>
      <c r="FC866" s="85"/>
      <c r="FD866" s="85"/>
      <c r="FE866" s="85"/>
      <c r="FF866" s="85"/>
      <c r="FG866" s="85"/>
      <c r="FH866" s="85"/>
      <c r="FI866" s="85"/>
      <c r="FJ866" s="85"/>
      <c r="FK866" s="85"/>
      <c r="FL866" s="85"/>
      <c r="FM866" s="85"/>
      <c r="FN866" s="85"/>
      <c r="FO866" s="85"/>
      <c r="FP866" s="85"/>
      <c r="FQ866" s="85"/>
      <c r="FR866" s="85"/>
      <c r="FS866" s="85"/>
      <c r="FT866" s="85"/>
      <c r="FU866" s="85"/>
      <c r="FV866" s="85"/>
      <c r="FW866" s="85"/>
      <c r="FX866" s="85"/>
      <c r="FY866" s="85"/>
      <c r="FZ866" s="85"/>
      <c r="GA866" s="85"/>
      <c r="GB866" s="85"/>
      <c r="GC866" s="85"/>
      <c r="GD866" s="85"/>
      <c r="GE866" s="85"/>
      <c r="GF866" s="85"/>
      <c r="GG866" s="85"/>
      <c r="GH866" s="85"/>
      <c r="GI866" s="85"/>
      <c r="GJ866" s="85"/>
      <c r="GK866" s="85"/>
      <c r="GL866" s="85"/>
      <c r="GM866" s="85"/>
      <c r="GN866" s="85"/>
      <c r="GO866" s="85"/>
      <c r="GP866" s="85"/>
      <c r="GQ866" s="85"/>
      <c r="GR866" s="85"/>
      <c r="GS866" s="85"/>
      <c r="GT866" s="85"/>
      <c r="GU866" s="85"/>
      <c r="GV866" s="85"/>
      <c r="GW866" s="85"/>
      <c r="GX866" s="85"/>
      <c r="GY866" s="85"/>
      <c r="GZ866" s="85"/>
      <c r="HA866" s="85"/>
      <c r="HB866" s="85"/>
      <c r="HC866" s="85"/>
      <c r="HD866" s="85"/>
      <c r="HE866" s="85"/>
      <c r="HF866" s="85"/>
      <c r="HG866" s="85"/>
      <c r="HH866" s="85"/>
      <c r="HI866" s="85"/>
      <c r="HJ866" s="85"/>
      <c r="HK866" s="85"/>
      <c r="HL866" s="85"/>
      <c r="HM866" s="85"/>
      <c r="HN866" s="85"/>
      <c r="HO866" s="85"/>
      <c r="HP866" s="85"/>
      <c r="HQ866" s="85"/>
      <c r="HR866" s="85"/>
      <c r="HS866" s="85"/>
      <c r="HT866" s="85"/>
      <c r="HU866" s="85"/>
      <c r="HV866" s="85"/>
      <c r="HW866" s="85"/>
      <c r="HX866" s="85"/>
      <c r="HY866" s="85"/>
      <c r="HZ866" s="85"/>
      <c r="IA866" s="85"/>
      <c r="IB866" s="85"/>
      <c r="IC866" s="85"/>
      <c r="ID866" s="85"/>
      <c r="IE866" s="85"/>
      <c r="IF866" s="85"/>
      <c r="IG866" s="85"/>
      <c r="IH866" s="85"/>
      <c r="II866" s="85"/>
      <c r="IJ866" s="85"/>
      <c r="IK866" s="85"/>
      <c r="IL866" s="85"/>
      <c r="IM866" s="85"/>
      <c r="IN866" s="85"/>
      <c r="IO866" s="85"/>
      <c r="IP866" s="85"/>
      <c r="IQ866" s="85"/>
      <c r="IR866" s="85"/>
      <c r="IS866" s="85"/>
      <c r="IT866" s="85"/>
      <c r="IU866" s="85"/>
      <c r="IV866" s="85"/>
      <c r="IW866" s="85"/>
      <c r="IX866" s="85"/>
      <c r="IY866" s="85"/>
      <c r="IZ866" s="85"/>
      <c r="JA866" s="85"/>
      <c r="JB866" s="85"/>
      <c r="JC866" s="85"/>
      <c r="JD866" s="85"/>
      <c r="JE866" s="85"/>
      <c r="JF866" s="85"/>
      <c r="JG866" s="85"/>
      <c r="JH866" s="85"/>
      <c r="JI866" s="85"/>
      <c r="JJ866" s="85"/>
      <c r="JK866" s="85"/>
      <c r="JL866" s="85"/>
      <c r="JM866" s="85"/>
      <c r="JN866" s="85"/>
      <c r="JO866" s="85"/>
      <c r="JP866" s="85"/>
      <c r="JQ866" s="85"/>
      <c r="JR866" s="85"/>
      <c r="JS866" s="85"/>
      <c r="JT866" s="85"/>
      <c r="JU866" s="85"/>
      <c r="JV866" s="85"/>
      <c r="JW866" s="85"/>
      <c r="JX866" s="85"/>
      <c r="JY866" s="85"/>
      <c r="JZ866" s="85"/>
      <c r="KA866" s="85"/>
      <c r="KB866" s="85"/>
      <c r="KC866" s="85"/>
      <c r="KD866" s="85"/>
      <c r="KE866" s="85"/>
      <c r="KF866" s="85"/>
      <c r="KG866" s="85"/>
      <c r="KH866" s="85"/>
      <c r="KI866" s="85"/>
      <c r="KJ866" s="85"/>
      <c r="KK866" s="85"/>
      <c r="KL866" s="85"/>
      <c r="KM866" s="85"/>
      <c r="KN866" s="85"/>
      <c r="KO866" s="85"/>
      <c r="KP866" s="85"/>
      <c r="KQ866" s="85"/>
      <c r="KR866" s="85"/>
      <c r="KS866" s="85"/>
      <c r="KT866" s="85"/>
      <c r="KU866" s="85"/>
      <c r="KV866" s="85"/>
      <c r="KW866" s="85"/>
      <c r="KX866" s="85"/>
      <c r="KY866" s="85"/>
      <c r="KZ866" s="85"/>
      <c r="LA866" s="85"/>
      <c r="LB866" s="85"/>
      <c r="LC866" s="85"/>
      <c r="LD866" s="85"/>
      <c r="LE866" s="85"/>
      <c r="LF866" s="85"/>
      <c r="LG866" s="85"/>
      <c r="LH866" s="85"/>
      <c r="LI866" s="85"/>
      <c r="LJ866" s="85"/>
      <c r="LK866" s="85"/>
      <c r="LL866" s="85"/>
      <c r="LM866" s="85"/>
      <c r="LN866" s="85"/>
      <c r="LO866" s="85"/>
      <c r="LP866" s="85"/>
      <c r="LQ866" s="85"/>
      <c r="LR866" s="85"/>
      <c r="LS866" s="85"/>
      <c r="LT866" s="85"/>
      <c r="LU866" s="85"/>
      <c r="LV866" s="85"/>
      <c r="LW866" s="85"/>
      <c r="LX866" s="85"/>
      <c r="LY866" s="85"/>
      <c r="LZ866" s="85"/>
      <c r="MA866" s="85"/>
      <c r="MB866" s="85"/>
      <c r="MC866" s="85"/>
      <c r="MD866" s="85"/>
      <c r="ME866" s="85"/>
      <c r="MF866" s="85"/>
      <c r="MG866" s="85"/>
      <c r="MH866" s="85"/>
      <c r="MI866" s="85"/>
      <c r="MJ866" s="85"/>
      <c r="MK866" s="85"/>
      <c r="ML866" s="85"/>
      <c r="MM866" s="85"/>
      <c r="MN866" s="85"/>
      <c r="MO866" s="85"/>
      <c r="MP866" s="85"/>
      <c r="MQ866" s="85"/>
      <c r="MR866" s="85"/>
      <c r="MS866" s="85"/>
      <c r="MT866" s="85"/>
      <c r="MU866" s="85"/>
      <c r="MV866" s="85"/>
      <c r="MW866" s="85"/>
      <c r="MX866" s="85"/>
      <c r="MY866" s="85"/>
      <c r="MZ866" s="85"/>
      <c r="NA866" s="85"/>
      <c r="NB866" s="85"/>
      <c r="NC866" s="85"/>
      <c r="ND866" s="85"/>
      <c r="NE866" s="85"/>
      <c r="NF866" s="85"/>
      <c r="NG866" s="85"/>
      <c r="NH866" s="85"/>
      <c r="NI866" s="85"/>
      <c r="NJ866" s="85"/>
      <c r="NK866" s="85"/>
      <c r="NL866" s="85"/>
      <c r="NM866" s="85"/>
      <c r="NN866" s="85"/>
      <c r="NO866" s="85"/>
      <c r="NP866" s="85"/>
      <c r="NQ866" s="85"/>
      <c r="NR866" s="85"/>
      <c r="NS866" s="85"/>
      <c r="NT866" s="85"/>
      <c r="NU866" s="85"/>
      <c r="NV866" s="85"/>
      <c r="NW866" s="85"/>
      <c r="NX866" s="85"/>
      <c r="NY866" s="85"/>
      <c r="NZ866" s="85"/>
      <c r="OA866" s="85"/>
      <c r="OB866" s="85"/>
      <c r="OC866" s="85"/>
      <c r="OD866" s="85"/>
      <c r="OE866" s="85"/>
      <c r="OF866" s="85"/>
      <c r="OG866" s="85"/>
      <c r="OH866" s="85"/>
      <c r="OI866" s="85"/>
      <c r="OJ866" s="85"/>
      <c r="OK866" s="85"/>
      <c r="OL866" s="85"/>
      <c r="OM866" s="85"/>
      <c r="ON866" s="85"/>
      <c r="OO866" s="85"/>
      <c r="OP866" s="85"/>
      <c r="OQ866" s="85"/>
      <c r="OR866" s="85"/>
      <c r="OS866" s="85"/>
      <c r="OT866" s="85"/>
      <c r="OU866" s="85"/>
      <c r="OV866" s="85"/>
      <c r="OW866" s="85"/>
      <c r="OX866" s="85"/>
      <c r="OY866" s="85"/>
      <c r="OZ866" s="85"/>
      <c r="PA866" s="85"/>
      <c r="PB866" s="85"/>
      <c r="PC866" s="85"/>
      <c r="PD866" s="85"/>
      <c r="PE866" s="85"/>
      <c r="PF866" s="85"/>
      <c r="PG866" s="85"/>
      <c r="PH866" s="85"/>
      <c r="PI866" s="85"/>
      <c r="PJ866" s="85"/>
      <c r="PK866" s="85"/>
      <c r="PL866" s="85"/>
      <c r="PM866" s="85"/>
      <c r="PN866" s="85"/>
      <c r="PO866" s="85"/>
      <c r="PP866" s="85"/>
      <c r="PQ866" s="85"/>
      <c r="PR866" s="85"/>
      <c r="PS866" s="85"/>
      <c r="PT866" s="85"/>
      <c r="PU866" s="85"/>
      <c r="PV866" s="85"/>
      <c r="PW866" s="85"/>
      <c r="PX866" s="85"/>
      <c r="PY866" s="85"/>
      <c r="PZ866" s="85"/>
      <c r="QA866" s="85"/>
      <c r="QB866" s="85"/>
      <c r="QC866" s="85"/>
      <c r="QD866" s="85"/>
      <c r="QE866" s="85"/>
      <c r="QF866" s="85"/>
      <c r="QG866" s="85"/>
      <c r="QH866" s="85"/>
      <c r="QI866" s="85"/>
      <c r="QJ866" s="85"/>
      <c r="QK866" s="85"/>
      <c r="QL866" s="85"/>
      <c r="QM866" s="85"/>
      <c r="QN866" s="85"/>
      <c r="QO866" s="85"/>
      <c r="QP866" s="85"/>
      <c r="QQ866" s="85"/>
      <c r="QR866" s="85"/>
      <c r="QS866" s="85"/>
      <c r="QT866" s="85"/>
      <c r="QU866" s="85"/>
      <c r="QV866" s="85"/>
      <c r="QW866" s="85"/>
      <c r="QX866" s="85"/>
      <c r="QY866" s="85"/>
      <c r="QZ866" s="85"/>
      <c r="RA866" s="85"/>
      <c r="RB866" s="85"/>
      <c r="RC866" s="85"/>
      <c r="RD866" s="85"/>
      <c r="RE866" s="85"/>
      <c r="RF866" s="85"/>
      <c r="RG866" s="85"/>
      <c r="RH866" s="85"/>
      <c r="RI866" s="85"/>
      <c r="RJ866" s="85"/>
      <c r="RK866" s="85"/>
      <c r="RL866" s="85"/>
      <c r="RM866" s="85"/>
      <c r="RN866" s="85"/>
      <c r="RO866" s="85"/>
      <c r="RP866" s="85"/>
      <c r="RQ866" s="85"/>
      <c r="RR866" s="85"/>
      <c r="RS866" s="85"/>
      <c r="RT866" s="85"/>
      <c r="RU866" s="85"/>
      <c r="RV866" s="85"/>
      <c r="RW866" s="85"/>
      <c r="RX866" s="85"/>
      <c r="RY866" s="85"/>
      <c r="RZ866" s="85"/>
      <c r="SA866" s="85"/>
      <c r="SB866" s="85"/>
      <c r="SC866" s="85"/>
      <c r="SD866" s="85"/>
      <c r="SE866" s="85"/>
      <c r="SF866" s="85"/>
      <c r="SG866" s="85"/>
      <c r="SH866" s="85"/>
      <c r="SI866" s="85"/>
      <c r="SJ866" s="85"/>
      <c r="SK866" s="85"/>
      <c r="SL866" s="85"/>
      <c r="SM866" s="85"/>
      <c r="SN866" s="85"/>
      <c r="SO866" s="85"/>
      <c r="SP866" s="85"/>
      <c r="SQ866" s="85"/>
      <c r="SR866" s="85"/>
      <c r="SS866" s="85"/>
      <c r="ST866" s="85"/>
      <c r="SU866" s="85"/>
      <c r="SV866" s="85"/>
      <c r="SW866" s="85"/>
      <c r="SX866" s="85"/>
      <c r="SY866" s="85"/>
      <c r="SZ866" s="85"/>
      <c r="TA866" s="85"/>
      <c r="TB866" s="85"/>
      <c r="TC866" s="85"/>
      <c r="TD866" s="85"/>
      <c r="TE866" s="85"/>
      <c r="TF866" s="85"/>
      <c r="TG866" s="85"/>
      <c r="TH866" s="85"/>
      <c r="TI866" s="85"/>
      <c r="TJ866" s="85"/>
      <c r="TK866" s="85"/>
      <c r="TL866" s="85"/>
    </row>
    <row r="867" spans="1:532" s="85" customFormat="1" ht="12.75" customHeight="1">
      <c r="A867" s="176" t="s">
        <v>422</v>
      </c>
      <c r="B867" s="178" t="s">
        <v>423</v>
      </c>
      <c r="C867" s="124"/>
      <c r="D867" s="124">
        <f>+[2]ordinario!C730+'[2]Extra 01'!C720+'[2]EXTRA 2'!C727</f>
        <v>262683604.88999999</v>
      </c>
      <c r="E867" s="124">
        <v>267448275.88999999</v>
      </c>
      <c r="F867" s="174"/>
      <c r="G867" s="174"/>
      <c r="H867" s="98"/>
      <c r="I867" s="140">
        <f>SUM(I870:I879)</f>
        <v>52837619.380000003</v>
      </c>
      <c r="J867" s="140">
        <f>SUM(J870:J879)</f>
        <v>0</v>
      </c>
      <c r="K867" s="140">
        <f>SUM(K870:K879)</f>
        <v>52837619.380000003</v>
      </c>
      <c r="L867" s="140">
        <f>SUM(L870:L879)</f>
        <v>0</v>
      </c>
      <c r="M867" s="140">
        <f>SUM(M870:M879)</f>
        <v>0</v>
      </c>
      <c r="N867" s="140">
        <f>SUM(N868:N879)</f>
        <v>214610656.50999999</v>
      </c>
    </row>
    <row r="868" spans="1:532" s="85" customFormat="1" ht="12.75" customHeight="1">
      <c r="A868" s="176"/>
      <c r="B868" s="178"/>
      <c r="C868" s="124"/>
      <c r="D868" s="124"/>
      <c r="E868" s="124"/>
      <c r="F868" s="174" t="s">
        <v>188</v>
      </c>
      <c r="G868" s="138" t="s">
        <v>349</v>
      </c>
      <c r="H868" s="98" t="s">
        <v>81</v>
      </c>
      <c r="I868" s="125"/>
      <c r="J868" s="125"/>
      <c r="K868" s="125">
        <f>+I868</f>
        <v>0</v>
      </c>
      <c r="L868" s="125"/>
      <c r="M868" s="125"/>
      <c r="N868" s="126">
        <f>+'[2]EXTRA 2'!H732-'3_Detalle Origen y Aplicación'!I868</f>
        <v>145518341.25999999</v>
      </c>
    </row>
    <row r="869" spans="1:532" s="85" customFormat="1" ht="12.75" customHeight="1">
      <c r="A869" s="176"/>
      <c r="B869" s="178"/>
      <c r="C869" s="124"/>
      <c r="D869" s="124"/>
      <c r="E869" s="124"/>
      <c r="F869" s="174"/>
      <c r="G869" s="138"/>
      <c r="H869" s="98"/>
      <c r="I869" s="125"/>
      <c r="J869" s="125"/>
      <c r="K869" s="125"/>
      <c r="L869" s="125"/>
      <c r="M869" s="125"/>
      <c r="N869" s="126"/>
    </row>
    <row r="870" spans="1:532" s="85" customFormat="1" ht="12.75" customHeight="1">
      <c r="A870" s="122"/>
      <c r="B870" s="240"/>
      <c r="C870" s="124"/>
      <c r="D870" s="124"/>
      <c r="E870" s="124"/>
      <c r="F870" s="174" t="s">
        <v>449</v>
      </c>
      <c r="G870" s="154" t="s">
        <v>566</v>
      </c>
      <c r="H870" s="98" t="s">
        <v>81</v>
      </c>
      <c r="I870" s="125">
        <v>48679427.43</v>
      </c>
      <c r="J870" s="125"/>
      <c r="K870" s="125">
        <f>+I870</f>
        <v>48679427.43</v>
      </c>
      <c r="L870" s="125"/>
      <c r="M870" s="125"/>
      <c r="N870" s="126">
        <f>-I870+[2]ordinario!I732</f>
        <v>863535.8200000003</v>
      </c>
    </row>
    <row r="871" spans="1:532" s="85" customFormat="1" ht="12.75" customHeight="1">
      <c r="A871" s="122"/>
      <c r="B871" s="240"/>
      <c r="C871" s="124"/>
      <c r="D871" s="124"/>
      <c r="E871" s="124"/>
      <c r="F871" s="174"/>
      <c r="G871" s="154"/>
      <c r="H871" s="98"/>
      <c r="I871" s="125"/>
      <c r="J871" s="125"/>
      <c r="K871" s="125"/>
      <c r="L871" s="125"/>
      <c r="M871" s="125"/>
      <c r="N871" s="126"/>
    </row>
    <row r="872" spans="1:532" s="85" customFormat="1" ht="12.65" customHeight="1">
      <c r="A872" s="122"/>
      <c r="B872" s="240"/>
      <c r="C872" s="124"/>
      <c r="D872" s="124"/>
      <c r="E872" s="124"/>
      <c r="F872" s="174" t="s">
        <v>291</v>
      </c>
      <c r="G872" s="154" t="s">
        <v>353</v>
      </c>
      <c r="H872" s="98" t="s">
        <v>81</v>
      </c>
      <c r="I872" s="125"/>
      <c r="J872" s="125"/>
      <c r="K872" s="125">
        <f>+I872</f>
        <v>0</v>
      </c>
      <c r="L872" s="125"/>
      <c r="M872" s="125"/>
      <c r="N872" s="126">
        <f>-I872+'[2]Extra 01'!H726</f>
        <v>8000000</v>
      </c>
    </row>
    <row r="873" spans="1:532" s="85" customFormat="1" ht="12.65" customHeight="1">
      <c r="A873" s="122"/>
      <c r="B873" s="240"/>
      <c r="C873" s="124"/>
      <c r="D873" s="124"/>
      <c r="E873" s="124"/>
      <c r="F873" s="174"/>
      <c r="G873" s="154"/>
      <c r="H873" s="98"/>
      <c r="I873" s="125"/>
      <c r="J873" s="125"/>
      <c r="K873" s="125"/>
      <c r="L873" s="125"/>
      <c r="M873" s="125"/>
      <c r="N873" s="126"/>
    </row>
    <row r="874" spans="1:532" s="85" customFormat="1" ht="12.75" customHeight="1">
      <c r="A874" s="122"/>
      <c r="B874" s="240"/>
      <c r="C874" s="124"/>
      <c r="D874" s="124"/>
      <c r="E874" s="124"/>
      <c r="F874" s="174" t="s">
        <v>396</v>
      </c>
      <c r="G874" s="254" t="str">
        <f>+'[2]Extra 01'!G728</f>
        <v>Ley 8316 Mejoras Pluviales Barrio Don Bosco, Turrúcares</v>
      </c>
      <c r="H874" s="98" t="s">
        <v>81</v>
      </c>
      <c r="I874" s="125"/>
      <c r="J874" s="125"/>
      <c r="K874" s="125">
        <f>+I874</f>
        <v>0</v>
      </c>
      <c r="L874" s="125"/>
      <c r="M874" s="125"/>
      <c r="N874" s="126">
        <f>-I874+'[2]Extra 01'!H729</f>
        <v>16214139.630000001</v>
      </c>
    </row>
    <row r="875" spans="1:532" s="85" customFormat="1" ht="12.75" customHeight="1">
      <c r="A875" s="122"/>
      <c r="B875" s="240"/>
      <c r="C875" s="124"/>
      <c r="D875" s="124"/>
      <c r="E875" s="124"/>
      <c r="F875" s="174"/>
      <c r="G875" s="254"/>
      <c r="H875" s="98"/>
      <c r="I875" s="125"/>
      <c r="J875" s="125"/>
      <c r="K875" s="125"/>
      <c r="L875" s="125"/>
      <c r="M875" s="125"/>
      <c r="N875" s="126"/>
    </row>
    <row r="876" spans="1:532" s="85" customFormat="1" ht="12.75" customHeight="1">
      <c r="A876" s="122"/>
      <c r="B876" s="240"/>
      <c r="C876" s="124"/>
      <c r="D876" s="124"/>
      <c r="E876" s="124"/>
      <c r="F876" s="174" t="s">
        <v>565</v>
      </c>
      <c r="G876" s="254" t="str">
        <f>+'[2]EXTRA 2'!G735</f>
        <v xml:space="preserve">Ley 8316 Mejoramiento Sistema Pluvial Urbanización Villa Nueva, Río Segundo </v>
      </c>
      <c r="H876" s="98" t="s">
        <v>81</v>
      </c>
      <c r="I876" s="125">
        <v>4158191.95</v>
      </c>
      <c r="J876" s="125"/>
      <c r="K876" s="125">
        <f>+I876</f>
        <v>4158191.95</v>
      </c>
      <c r="L876" s="125"/>
      <c r="M876" s="125"/>
      <c r="N876" s="141">
        <f>+'[2]EXTRA 2'!H736-'3_Detalle Origen y Aplicación'!I876</f>
        <v>0</v>
      </c>
    </row>
    <row r="877" spans="1:532" s="85" customFormat="1" ht="12.75" customHeight="1">
      <c r="A877" s="122"/>
      <c r="B877" s="240"/>
      <c r="C877" s="124"/>
      <c r="D877" s="124"/>
      <c r="E877" s="124"/>
      <c r="F877" s="174"/>
      <c r="G877" s="154"/>
      <c r="H877" s="98"/>
      <c r="I877" s="125"/>
      <c r="J877" s="125"/>
      <c r="K877" s="125"/>
      <c r="L877" s="125"/>
      <c r="M877" s="125"/>
      <c r="N877" s="141"/>
    </row>
    <row r="878" spans="1:532" s="85" customFormat="1" ht="12.75" customHeight="1">
      <c r="A878" s="122"/>
      <c r="B878" s="240"/>
      <c r="C878" s="124"/>
      <c r="D878" s="124"/>
      <c r="E878" s="124"/>
      <c r="F878" s="174" t="s">
        <v>564</v>
      </c>
      <c r="G878" s="254" t="str">
        <f>+'[2]EXTRA 2'!G737</f>
        <v xml:space="preserve">Ley 8316 Mejoramiento Alcantarillado Pluvial el Roble de Alajuela </v>
      </c>
      <c r="H878" s="98" t="s">
        <v>81</v>
      </c>
      <c r="I878" s="125"/>
      <c r="J878" s="125"/>
      <c r="K878" s="125">
        <f>+I878</f>
        <v>0</v>
      </c>
      <c r="L878" s="125"/>
      <c r="M878" s="125"/>
      <c r="N878" s="141">
        <f>+'[2]EXTRA 2'!H739-'3_Detalle Origen y Aplicación'!I878</f>
        <v>39249968.799999997</v>
      </c>
    </row>
    <row r="879" spans="1:532" s="85" customFormat="1" ht="12.75" customHeight="1">
      <c r="A879" s="122"/>
      <c r="B879" s="240"/>
      <c r="C879" s="124"/>
      <c r="D879" s="124"/>
      <c r="E879" s="124"/>
      <c r="F879" s="174"/>
      <c r="G879" s="154"/>
      <c r="H879" s="98"/>
      <c r="I879" s="125"/>
      <c r="J879" s="125"/>
      <c r="K879" s="125"/>
      <c r="L879" s="125"/>
      <c r="M879" s="125"/>
      <c r="N879" s="141">
        <f>+E867-D867</f>
        <v>4764671</v>
      </c>
    </row>
    <row r="880" spans="1:532" s="135" customFormat="1" ht="12.75" customHeight="1">
      <c r="A880" s="111"/>
      <c r="B880" s="243"/>
      <c r="C880" s="112"/>
      <c r="D880" s="112"/>
      <c r="E880" s="112"/>
      <c r="F880" s="242"/>
      <c r="G880" s="113"/>
      <c r="H880" s="114"/>
      <c r="I880" s="115"/>
      <c r="J880" s="115"/>
      <c r="K880" s="115"/>
      <c r="L880" s="115"/>
      <c r="M880" s="115"/>
      <c r="N880" s="116"/>
      <c r="O880" s="85"/>
      <c r="P880" s="85"/>
      <c r="Q880" s="85"/>
      <c r="R880" s="85"/>
      <c r="S880" s="85"/>
      <c r="T880" s="85"/>
      <c r="U880" s="85"/>
      <c r="V880" s="85"/>
      <c r="W880" s="85"/>
      <c r="X880" s="85"/>
      <c r="Y880" s="85"/>
      <c r="Z880" s="85"/>
      <c r="AA880" s="85"/>
      <c r="AB880" s="85"/>
      <c r="AC880" s="85"/>
      <c r="AD880" s="85"/>
      <c r="AE880" s="85"/>
      <c r="AF880" s="85"/>
      <c r="AG880" s="85"/>
      <c r="AH880" s="85"/>
      <c r="AI880" s="85"/>
      <c r="AJ880" s="85"/>
      <c r="AK880" s="85"/>
      <c r="AL880" s="85"/>
      <c r="AM880" s="85"/>
      <c r="AN880" s="85"/>
      <c r="AO880" s="85"/>
      <c r="AP880" s="85"/>
      <c r="AQ880" s="85"/>
      <c r="AR880" s="85"/>
      <c r="AS880" s="85"/>
      <c r="AT880" s="85"/>
      <c r="AU880" s="85"/>
      <c r="AV880" s="85"/>
      <c r="AW880" s="85"/>
      <c r="AX880" s="85"/>
      <c r="AY880" s="85"/>
      <c r="AZ880" s="85"/>
      <c r="BA880" s="85"/>
      <c r="BB880" s="85"/>
      <c r="BC880" s="85"/>
      <c r="BD880" s="85"/>
      <c r="BE880" s="85"/>
      <c r="BF880" s="85"/>
      <c r="BG880" s="85"/>
      <c r="BH880" s="85"/>
      <c r="BI880" s="85"/>
      <c r="BJ880" s="85"/>
      <c r="BK880" s="85"/>
      <c r="BL880" s="85"/>
      <c r="BM880" s="85"/>
      <c r="BN880" s="85"/>
      <c r="BO880" s="85"/>
      <c r="BP880" s="85"/>
      <c r="BQ880" s="85"/>
      <c r="BR880" s="85"/>
      <c r="BS880" s="85"/>
      <c r="BT880" s="85"/>
      <c r="BU880" s="85"/>
      <c r="BV880" s="85"/>
      <c r="BW880" s="85"/>
      <c r="BX880" s="85"/>
      <c r="BY880" s="85"/>
      <c r="BZ880" s="85"/>
      <c r="CA880" s="85"/>
      <c r="CB880" s="85"/>
      <c r="CC880" s="85"/>
      <c r="CD880" s="85"/>
      <c r="CE880" s="85"/>
      <c r="CF880" s="85"/>
      <c r="CG880" s="85"/>
      <c r="CH880" s="85"/>
      <c r="CI880" s="85"/>
      <c r="CJ880" s="85"/>
      <c r="CK880" s="85"/>
      <c r="CL880" s="85"/>
      <c r="CM880" s="85"/>
      <c r="CN880" s="85"/>
      <c r="CO880" s="85"/>
      <c r="CP880" s="85"/>
      <c r="CQ880" s="85"/>
      <c r="CR880" s="85"/>
      <c r="CS880" s="85"/>
      <c r="CT880" s="85"/>
      <c r="CU880" s="85"/>
      <c r="CV880" s="85"/>
      <c r="CW880" s="85"/>
      <c r="CX880" s="85"/>
      <c r="CY880" s="85"/>
      <c r="CZ880" s="85"/>
      <c r="DA880" s="85"/>
      <c r="DB880" s="85"/>
      <c r="DC880" s="85"/>
      <c r="DD880" s="85"/>
      <c r="DE880" s="85"/>
      <c r="DF880" s="85"/>
      <c r="DG880" s="85"/>
      <c r="DH880" s="85"/>
      <c r="DI880" s="85"/>
      <c r="DJ880" s="85"/>
      <c r="DK880" s="85"/>
      <c r="DL880" s="85"/>
      <c r="DM880" s="85"/>
      <c r="DN880" s="85"/>
      <c r="DO880" s="85"/>
      <c r="DP880" s="85"/>
      <c r="DQ880" s="85"/>
      <c r="DR880" s="85"/>
      <c r="DS880" s="85"/>
      <c r="DT880" s="85"/>
      <c r="DU880" s="85"/>
      <c r="DV880" s="85"/>
      <c r="DW880" s="85"/>
      <c r="DX880" s="85"/>
      <c r="DY880" s="85"/>
      <c r="DZ880" s="85"/>
      <c r="EA880" s="85"/>
      <c r="EB880" s="85"/>
      <c r="EC880" s="85"/>
      <c r="ED880" s="85"/>
      <c r="EE880" s="85"/>
      <c r="EF880" s="85"/>
      <c r="EG880" s="85"/>
      <c r="EH880" s="85"/>
      <c r="EI880" s="85"/>
      <c r="EJ880" s="85"/>
      <c r="EK880" s="85"/>
      <c r="EL880" s="85"/>
      <c r="EM880" s="85"/>
      <c r="EN880" s="85"/>
      <c r="EO880" s="85"/>
      <c r="EP880" s="85"/>
      <c r="EQ880" s="85"/>
      <c r="ER880" s="85"/>
      <c r="ES880" s="85"/>
      <c r="ET880" s="85"/>
      <c r="EU880" s="85"/>
      <c r="EV880" s="85"/>
      <c r="EW880" s="85"/>
      <c r="EX880" s="85"/>
      <c r="EY880" s="85"/>
      <c r="EZ880" s="85"/>
      <c r="FA880" s="85"/>
      <c r="FB880" s="85"/>
      <c r="FC880" s="85"/>
      <c r="FD880" s="85"/>
      <c r="FE880" s="85"/>
      <c r="FF880" s="85"/>
      <c r="FG880" s="85"/>
      <c r="FH880" s="85"/>
      <c r="FI880" s="85"/>
      <c r="FJ880" s="85"/>
      <c r="FK880" s="85"/>
      <c r="FL880" s="85"/>
      <c r="FM880" s="85"/>
      <c r="FN880" s="85"/>
      <c r="FO880" s="85"/>
      <c r="FP880" s="85"/>
      <c r="FQ880" s="85"/>
      <c r="FR880" s="85"/>
      <c r="FS880" s="85"/>
      <c r="FT880" s="85"/>
      <c r="FU880" s="85"/>
      <c r="FV880" s="85"/>
      <c r="FW880" s="85"/>
      <c r="FX880" s="85"/>
      <c r="FY880" s="85"/>
      <c r="FZ880" s="85"/>
      <c r="GA880" s="85"/>
      <c r="GB880" s="85"/>
      <c r="GC880" s="85"/>
      <c r="GD880" s="85"/>
      <c r="GE880" s="85"/>
      <c r="GF880" s="85"/>
      <c r="GG880" s="85"/>
      <c r="GH880" s="85"/>
      <c r="GI880" s="85"/>
      <c r="GJ880" s="85"/>
      <c r="GK880" s="85"/>
      <c r="GL880" s="85"/>
      <c r="GM880" s="85"/>
      <c r="GN880" s="85"/>
      <c r="GO880" s="85"/>
      <c r="GP880" s="85"/>
      <c r="GQ880" s="85"/>
      <c r="GR880" s="85"/>
      <c r="GS880" s="85"/>
      <c r="GT880" s="85"/>
      <c r="GU880" s="85"/>
      <c r="GV880" s="85"/>
      <c r="GW880" s="85"/>
      <c r="GX880" s="85"/>
      <c r="GY880" s="85"/>
      <c r="GZ880" s="85"/>
      <c r="HA880" s="85"/>
      <c r="HB880" s="85"/>
      <c r="HC880" s="85"/>
      <c r="HD880" s="85"/>
      <c r="HE880" s="85"/>
      <c r="HF880" s="85"/>
      <c r="HG880" s="85"/>
      <c r="HH880" s="85"/>
      <c r="HI880" s="85"/>
      <c r="HJ880" s="85"/>
      <c r="HK880" s="85"/>
      <c r="HL880" s="85"/>
      <c r="HM880" s="85"/>
      <c r="HN880" s="85"/>
      <c r="HO880" s="85"/>
      <c r="HP880" s="85"/>
      <c r="HQ880" s="85"/>
      <c r="HR880" s="85"/>
      <c r="HS880" s="85"/>
      <c r="HT880" s="85"/>
      <c r="HU880" s="85"/>
      <c r="HV880" s="85"/>
      <c r="HW880" s="85"/>
      <c r="HX880" s="85"/>
      <c r="HY880" s="85"/>
      <c r="HZ880" s="85"/>
      <c r="IA880" s="85"/>
      <c r="IB880" s="85"/>
      <c r="IC880" s="85"/>
      <c r="ID880" s="85"/>
      <c r="IE880" s="85"/>
      <c r="IF880" s="85"/>
      <c r="IG880" s="85"/>
      <c r="IH880" s="85"/>
      <c r="II880" s="85"/>
      <c r="IJ880" s="85"/>
      <c r="IK880" s="85"/>
      <c r="IL880" s="85"/>
      <c r="IM880" s="85"/>
      <c r="IN880" s="85"/>
      <c r="IO880" s="85"/>
      <c r="IP880" s="85"/>
      <c r="IQ880" s="85"/>
      <c r="IR880" s="85"/>
      <c r="IS880" s="85"/>
      <c r="IT880" s="85"/>
      <c r="IU880" s="85"/>
      <c r="IV880" s="85"/>
      <c r="IW880" s="85"/>
      <c r="IX880" s="85"/>
      <c r="IY880" s="85"/>
      <c r="IZ880" s="85"/>
      <c r="JA880" s="85"/>
      <c r="JB880" s="85"/>
      <c r="JC880" s="85"/>
      <c r="JD880" s="85"/>
      <c r="JE880" s="85"/>
      <c r="JF880" s="85"/>
      <c r="JG880" s="85"/>
      <c r="JH880" s="85"/>
      <c r="JI880" s="85"/>
      <c r="JJ880" s="85"/>
      <c r="JK880" s="85"/>
      <c r="JL880" s="85"/>
      <c r="JM880" s="85"/>
      <c r="JN880" s="85"/>
      <c r="JO880" s="85"/>
      <c r="JP880" s="85"/>
      <c r="JQ880" s="85"/>
      <c r="JR880" s="85"/>
      <c r="JS880" s="85"/>
      <c r="JT880" s="85"/>
      <c r="JU880" s="85"/>
      <c r="JV880" s="85"/>
      <c r="JW880" s="85"/>
      <c r="JX880" s="85"/>
      <c r="JY880" s="85"/>
      <c r="JZ880" s="85"/>
      <c r="KA880" s="85"/>
      <c r="KB880" s="85"/>
      <c r="KC880" s="85"/>
      <c r="KD880" s="85"/>
      <c r="KE880" s="85"/>
      <c r="KF880" s="85"/>
      <c r="KG880" s="85"/>
      <c r="KH880" s="85"/>
      <c r="KI880" s="85"/>
      <c r="KJ880" s="85"/>
      <c r="KK880" s="85"/>
      <c r="KL880" s="85"/>
      <c r="KM880" s="85"/>
      <c r="KN880" s="85"/>
      <c r="KO880" s="85"/>
      <c r="KP880" s="85"/>
      <c r="KQ880" s="85"/>
      <c r="KR880" s="85"/>
      <c r="KS880" s="85"/>
      <c r="KT880" s="85"/>
      <c r="KU880" s="85"/>
      <c r="KV880" s="85"/>
      <c r="KW880" s="85"/>
      <c r="KX880" s="85"/>
      <c r="KY880" s="85"/>
      <c r="KZ880" s="85"/>
      <c r="LA880" s="85"/>
      <c r="LB880" s="85"/>
      <c r="LC880" s="85"/>
      <c r="LD880" s="85"/>
      <c r="LE880" s="85"/>
      <c r="LF880" s="85"/>
      <c r="LG880" s="85"/>
      <c r="LH880" s="85"/>
      <c r="LI880" s="85"/>
      <c r="LJ880" s="85"/>
      <c r="LK880" s="85"/>
      <c r="LL880" s="85"/>
      <c r="LM880" s="85"/>
      <c r="LN880" s="85"/>
      <c r="LO880" s="85"/>
      <c r="LP880" s="85"/>
      <c r="LQ880" s="85"/>
      <c r="LR880" s="85"/>
      <c r="LS880" s="85"/>
      <c r="LT880" s="85"/>
      <c r="LU880" s="85"/>
      <c r="LV880" s="85"/>
      <c r="LW880" s="85"/>
      <c r="LX880" s="85"/>
      <c r="LY880" s="85"/>
      <c r="LZ880" s="85"/>
      <c r="MA880" s="85"/>
      <c r="MB880" s="85"/>
      <c r="MC880" s="85"/>
      <c r="MD880" s="85"/>
      <c r="ME880" s="85"/>
      <c r="MF880" s="85"/>
      <c r="MG880" s="85"/>
      <c r="MH880" s="85"/>
      <c r="MI880" s="85"/>
      <c r="MJ880" s="85"/>
      <c r="MK880" s="85"/>
      <c r="ML880" s="85"/>
      <c r="MM880" s="85"/>
      <c r="MN880" s="85"/>
      <c r="MO880" s="85"/>
      <c r="MP880" s="85"/>
      <c r="MQ880" s="85"/>
      <c r="MR880" s="85"/>
      <c r="MS880" s="85"/>
      <c r="MT880" s="85"/>
      <c r="MU880" s="85"/>
      <c r="MV880" s="85"/>
      <c r="MW880" s="85"/>
      <c r="MX880" s="85"/>
      <c r="MY880" s="85"/>
      <c r="MZ880" s="85"/>
      <c r="NA880" s="85"/>
      <c r="NB880" s="85"/>
      <c r="NC880" s="85"/>
      <c r="ND880" s="85"/>
      <c r="NE880" s="85"/>
      <c r="NF880" s="85"/>
      <c r="NG880" s="85"/>
      <c r="NH880" s="85"/>
      <c r="NI880" s="85"/>
      <c r="NJ880" s="85"/>
      <c r="NK880" s="85"/>
      <c r="NL880" s="85"/>
      <c r="NM880" s="85"/>
      <c r="NN880" s="85"/>
      <c r="NO880" s="85"/>
      <c r="NP880" s="85"/>
      <c r="NQ880" s="85"/>
      <c r="NR880" s="85"/>
      <c r="NS880" s="85"/>
      <c r="NT880" s="85"/>
      <c r="NU880" s="85"/>
      <c r="NV880" s="85"/>
      <c r="NW880" s="85"/>
      <c r="NX880" s="85"/>
      <c r="NY880" s="85"/>
      <c r="NZ880" s="85"/>
      <c r="OA880" s="85"/>
      <c r="OB880" s="85"/>
      <c r="OC880" s="85"/>
      <c r="OD880" s="85"/>
      <c r="OE880" s="85"/>
      <c r="OF880" s="85"/>
      <c r="OG880" s="85"/>
      <c r="OH880" s="85"/>
      <c r="OI880" s="85"/>
      <c r="OJ880" s="85"/>
      <c r="OK880" s="85"/>
      <c r="OL880" s="85"/>
      <c r="OM880" s="85"/>
      <c r="ON880" s="85"/>
      <c r="OO880" s="85"/>
      <c r="OP880" s="85"/>
      <c r="OQ880" s="85"/>
      <c r="OR880" s="85"/>
      <c r="OS880" s="85"/>
      <c r="OT880" s="85"/>
      <c r="OU880" s="85"/>
      <c r="OV880" s="85"/>
      <c r="OW880" s="85"/>
      <c r="OX880" s="85"/>
      <c r="OY880" s="85"/>
      <c r="OZ880" s="85"/>
      <c r="PA880" s="85"/>
      <c r="PB880" s="85"/>
      <c r="PC880" s="85"/>
      <c r="PD880" s="85"/>
      <c r="PE880" s="85"/>
      <c r="PF880" s="85"/>
      <c r="PG880" s="85"/>
      <c r="PH880" s="85"/>
      <c r="PI880" s="85"/>
      <c r="PJ880" s="85"/>
      <c r="PK880" s="85"/>
      <c r="PL880" s="85"/>
      <c r="PM880" s="85"/>
      <c r="PN880" s="85"/>
      <c r="PO880" s="85"/>
      <c r="PP880" s="85"/>
      <c r="PQ880" s="85"/>
      <c r="PR880" s="85"/>
      <c r="PS880" s="85"/>
      <c r="PT880" s="85"/>
      <c r="PU880" s="85"/>
      <c r="PV880" s="85"/>
      <c r="PW880" s="85"/>
      <c r="PX880" s="85"/>
      <c r="PY880" s="85"/>
      <c r="PZ880" s="85"/>
      <c r="QA880" s="85"/>
      <c r="QB880" s="85"/>
      <c r="QC880" s="85"/>
      <c r="QD880" s="85"/>
      <c r="QE880" s="85"/>
      <c r="QF880" s="85"/>
      <c r="QG880" s="85"/>
      <c r="QH880" s="85"/>
      <c r="QI880" s="85"/>
      <c r="QJ880" s="85"/>
      <c r="QK880" s="85"/>
      <c r="QL880" s="85"/>
      <c r="QM880" s="85"/>
      <c r="QN880" s="85"/>
      <c r="QO880" s="85"/>
      <c r="QP880" s="85"/>
      <c r="QQ880" s="85"/>
      <c r="QR880" s="85"/>
      <c r="QS880" s="85"/>
      <c r="QT880" s="85"/>
      <c r="QU880" s="85"/>
      <c r="QV880" s="85"/>
      <c r="QW880" s="85"/>
      <c r="QX880" s="85"/>
      <c r="QY880" s="85"/>
      <c r="QZ880" s="85"/>
      <c r="RA880" s="85"/>
      <c r="RB880" s="85"/>
      <c r="RC880" s="85"/>
      <c r="RD880" s="85"/>
      <c r="RE880" s="85"/>
      <c r="RF880" s="85"/>
      <c r="RG880" s="85"/>
      <c r="RH880" s="85"/>
      <c r="RI880" s="85"/>
      <c r="RJ880" s="85"/>
      <c r="RK880" s="85"/>
      <c r="RL880" s="85"/>
      <c r="RM880" s="85"/>
      <c r="RN880" s="85"/>
      <c r="RO880" s="85"/>
      <c r="RP880" s="85"/>
      <c r="RQ880" s="85"/>
      <c r="RR880" s="85"/>
      <c r="RS880" s="85"/>
      <c r="RT880" s="85"/>
      <c r="RU880" s="85"/>
      <c r="RV880" s="85"/>
      <c r="RW880" s="85"/>
      <c r="RX880" s="85"/>
      <c r="RY880" s="85"/>
      <c r="RZ880" s="85"/>
      <c r="SA880" s="85"/>
      <c r="SB880" s="85"/>
      <c r="SC880" s="85"/>
      <c r="SD880" s="85"/>
      <c r="SE880" s="85"/>
      <c r="SF880" s="85"/>
      <c r="SG880" s="85"/>
      <c r="SH880" s="85"/>
      <c r="SI880" s="85"/>
      <c r="SJ880" s="85"/>
      <c r="SK880" s="85"/>
      <c r="SL880" s="85"/>
      <c r="SM880" s="85"/>
      <c r="SN880" s="85"/>
      <c r="SO880" s="85"/>
      <c r="SP880" s="85"/>
      <c r="SQ880" s="85"/>
      <c r="SR880" s="85"/>
      <c r="SS880" s="85"/>
      <c r="ST880" s="85"/>
      <c r="SU880" s="85"/>
      <c r="SV880" s="85"/>
      <c r="SW880" s="85"/>
      <c r="SX880" s="85"/>
      <c r="SY880" s="85"/>
      <c r="SZ880" s="85"/>
      <c r="TA880" s="85"/>
      <c r="TB880" s="85"/>
      <c r="TC880" s="85"/>
      <c r="TD880" s="85"/>
      <c r="TE880" s="85"/>
      <c r="TF880" s="85"/>
      <c r="TG880" s="85"/>
      <c r="TH880" s="85"/>
      <c r="TI880" s="85"/>
      <c r="TJ880" s="85"/>
      <c r="TK880" s="85"/>
      <c r="TL880" s="85"/>
    </row>
    <row r="881" spans="1:532" s="85" customFormat="1" ht="12.75" customHeight="1">
      <c r="A881" s="144" t="s">
        <v>429</v>
      </c>
      <c r="B881" s="175" t="s">
        <v>430</v>
      </c>
      <c r="C881" s="124"/>
      <c r="D881" s="124">
        <f>+'[2]Extra 01'!C739+'[2]EXTRA 2'!C749</f>
        <v>2588274348.6300001</v>
      </c>
      <c r="E881" s="173">
        <f>+D881</f>
        <v>2588274348.6300001</v>
      </c>
      <c r="F881" s="174"/>
      <c r="G881" s="174"/>
      <c r="H881" s="98"/>
      <c r="I881" s="140">
        <f t="shared" ref="I881:N881" si="40">SUM(I882)</f>
        <v>0</v>
      </c>
      <c r="J881" s="140">
        <f t="shared" si="40"/>
        <v>0</v>
      </c>
      <c r="K881" s="140">
        <f t="shared" si="40"/>
        <v>0</v>
      </c>
      <c r="L881" s="140">
        <f t="shared" si="40"/>
        <v>0</v>
      </c>
      <c r="M881" s="140">
        <f t="shared" si="40"/>
        <v>0</v>
      </c>
      <c r="N881" s="140">
        <f t="shared" si="40"/>
        <v>2588274348.6300001</v>
      </c>
    </row>
    <row r="882" spans="1:532" s="85" customFormat="1" ht="12.75" customHeight="1">
      <c r="A882" s="122"/>
      <c r="B882" s="240"/>
      <c r="C882" s="124"/>
      <c r="D882" s="124"/>
      <c r="E882" s="124"/>
      <c r="F882" s="174" t="s">
        <v>245</v>
      </c>
      <c r="G882" s="154" t="s">
        <v>246</v>
      </c>
      <c r="H882" s="98" t="s">
        <v>81</v>
      </c>
      <c r="I882" s="125">
        <v>0</v>
      </c>
      <c r="J882" s="125"/>
      <c r="K882" s="125">
        <f>+I882</f>
        <v>0</v>
      </c>
      <c r="L882" s="125"/>
      <c r="M882" s="125"/>
      <c r="N882" s="126">
        <f>-I882+'[2]Extra 01'!H742+'[2]EXTRA 2'!H752</f>
        <v>2588274348.6300001</v>
      </c>
    </row>
    <row r="883" spans="1:532" s="135" customFormat="1" ht="12.75" customHeight="1">
      <c r="A883" s="111"/>
      <c r="B883" s="243"/>
      <c r="C883" s="112"/>
      <c r="D883" s="112"/>
      <c r="E883" s="112"/>
      <c r="F883" s="242"/>
      <c r="G883" s="113"/>
      <c r="H883" s="114"/>
      <c r="I883" s="115"/>
      <c r="J883" s="115"/>
      <c r="K883" s="115"/>
      <c r="L883" s="115"/>
      <c r="M883" s="115"/>
      <c r="N883" s="116"/>
      <c r="O883" s="85"/>
      <c r="P883" s="85"/>
      <c r="Q883" s="85"/>
      <c r="R883" s="85"/>
      <c r="S883" s="85"/>
      <c r="T883" s="85"/>
      <c r="U883" s="85"/>
      <c r="V883" s="85"/>
      <c r="W883" s="85"/>
      <c r="X883" s="85"/>
      <c r="Y883" s="85"/>
      <c r="Z883" s="85"/>
      <c r="AA883" s="85"/>
      <c r="AB883" s="85"/>
      <c r="AC883" s="85"/>
      <c r="AD883" s="85"/>
      <c r="AE883" s="85"/>
      <c r="AF883" s="85"/>
      <c r="AG883" s="85"/>
      <c r="AH883" s="85"/>
      <c r="AI883" s="85"/>
      <c r="AJ883" s="85"/>
      <c r="AK883" s="85"/>
      <c r="AL883" s="85"/>
      <c r="AM883" s="85"/>
      <c r="AN883" s="85"/>
      <c r="AO883" s="85"/>
      <c r="AP883" s="85"/>
      <c r="AQ883" s="85"/>
      <c r="AR883" s="85"/>
      <c r="AS883" s="85"/>
      <c r="AT883" s="85"/>
      <c r="AU883" s="85"/>
      <c r="AV883" s="85"/>
      <c r="AW883" s="85"/>
      <c r="AX883" s="85"/>
      <c r="AY883" s="85"/>
      <c r="AZ883" s="85"/>
      <c r="BA883" s="85"/>
      <c r="BB883" s="85"/>
      <c r="BC883" s="85"/>
      <c r="BD883" s="85"/>
      <c r="BE883" s="85"/>
      <c r="BF883" s="85"/>
      <c r="BG883" s="85"/>
      <c r="BH883" s="85"/>
      <c r="BI883" s="85"/>
      <c r="BJ883" s="85"/>
      <c r="BK883" s="85"/>
      <c r="BL883" s="85"/>
      <c r="BM883" s="85"/>
      <c r="BN883" s="85"/>
      <c r="BO883" s="85"/>
      <c r="BP883" s="85"/>
      <c r="BQ883" s="85"/>
      <c r="BR883" s="85"/>
      <c r="BS883" s="85"/>
      <c r="BT883" s="85"/>
      <c r="BU883" s="85"/>
      <c r="BV883" s="85"/>
      <c r="BW883" s="85"/>
      <c r="BX883" s="85"/>
      <c r="BY883" s="85"/>
      <c r="BZ883" s="85"/>
      <c r="CA883" s="85"/>
      <c r="CB883" s="85"/>
      <c r="CC883" s="85"/>
      <c r="CD883" s="85"/>
      <c r="CE883" s="85"/>
      <c r="CF883" s="85"/>
      <c r="CG883" s="85"/>
      <c r="CH883" s="85"/>
      <c r="CI883" s="85"/>
      <c r="CJ883" s="85"/>
      <c r="CK883" s="85"/>
      <c r="CL883" s="85"/>
      <c r="CM883" s="85"/>
      <c r="CN883" s="85"/>
      <c r="CO883" s="85"/>
      <c r="CP883" s="85"/>
      <c r="CQ883" s="85"/>
      <c r="CR883" s="85"/>
      <c r="CS883" s="85"/>
      <c r="CT883" s="85"/>
      <c r="CU883" s="85"/>
      <c r="CV883" s="85"/>
      <c r="CW883" s="85"/>
      <c r="CX883" s="85"/>
      <c r="CY883" s="85"/>
      <c r="CZ883" s="85"/>
      <c r="DA883" s="85"/>
      <c r="DB883" s="85"/>
      <c r="DC883" s="85"/>
      <c r="DD883" s="85"/>
      <c r="DE883" s="85"/>
      <c r="DF883" s="85"/>
      <c r="DG883" s="85"/>
      <c r="DH883" s="85"/>
      <c r="DI883" s="85"/>
      <c r="DJ883" s="85"/>
      <c r="DK883" s="85"/>
      <c r="DL883" s="85"/>
      <c r="DM883" s="85"/>
      <c r="DN883" s="85"/>
      <c r="DO883" s="85"/>
      <c r="DP883" s="85"/>
      <c r="DQ883" s="85"/>
      <c r="DR883" s="85"/>
      <c r="DS883" s="85"/>
      <c r="DT883" s="85"/>
      <c r="DU883" s="85"/>
      <c r="DV883" s="85"/>
      <c r="DW883" s="85"/>
      <c r="DX883" s="85"/>
      <c r="DY883" s="85"/>
      <c r="DZ883" s="85"/>
      <c r="EA883" s="85"/>
      <c r="EB883" s="85"/>
      <c r="EC883" s="85"/>
      <c r="ED883" s="85"/>
      <c r="EE883" s="85"/>
      <c r="EF883" s="85"/>
      <c r="EG883" s="85"/>
      <c r="EH883" s="85"/>
      <c r="EI883" s="85"/>
      <c r="EJ883" s="85"/>
      <c r="EK883" s="85"/>
      <c r="EL883" s="85"/>
      <c r="EM883" s="85"/>
      <c r="EN883" s="85"/>
      <c r="EO883" s="85"/>
      <c r="EP883" s="85"/>
      <c r="EQ883" s="85"/>
      <c r="ER883" s="85"/>
      <c r="ES883" s="85"/>
      <c r="ET883" s="85"/>
      <c r="EU883" s="85"/>
      <c r="EV883" s="85"/>
      <c r="EW883" s="85"/>
      <c r="EX883" s="85"/>
      <c r="EY883" s="85"/>
      <c r="EZ883" s="85"/>
      <c r="FA883" s="85"/>
      <c r="FB883" s="85"/>
      <c r="FC883" s="85"/>
      <c r="FD883" s="85"/>
      <c r="FE883" s="85"/>
      <c r="FF883" s="85"/>
      <c r="FG883" s="85"/>
      <c r="FH883" s="85"/>
      <c r="FI883" s="85"/>
      <c r="FJ883" s="85"/>
      <c r="FK883" s="85"/>
      <c r="FL883" s="85"/>
      <c r="FM883" s="85"/>
      <c r="FN883" s="85"/>
      <c r="FO883" s="85"/>
      <c r="FP883" s="85"/>
      <c r="FQ883" s="85"/>
      <c r="FR883" s="85"/>
      <c r="FS883" s="85"/>
      <c r="FT883" s="85"/>
      <c r="FU883" s="85"/>
      <c r="FV883" s="85"/>
      <c r="FW883" s="85"/>
      <c r="FX883" s="85"/>
      <c r="FY883" s="85"/>
      <c r="FZ883" s="85"/>
      <c r="GA883" s="85"/>
      <c r="GB883" s="85"/>
      <c r="GC883" s="85"/>
      <c r="GD883" s="85"/>
      <c r="GE883" s="85"/>
      <c r="GF883" s="85"/>
      <c r="GG883" s="85"/>
      <c r="GH883" s="85"/>
      <c r="GI883" s="85"/>
      <c r="GJ883" s="85"/>
      <c r="GK883" s="85"/>
      <c r="GL883" s="85"/>
      <c r="GM883" s="85"/>
      <c r="GN883" s="85"/>
      <c r="GO883" s="85"/>
      <c r="GP883" s="85"/>
      <c r="GQ883" s="85"/>
      <c r="GR883" s="85"/>
      <c r="GS883" s="85"/>
      <c r="GT883" s="85"/>
      <c r="GU883" s="85"/>
      <c r="GV883" s="85"/>
      <c r="GW883" s="85"/>
      <c r="GX883" s="85"/>
      <c r="GY883" s="85"/>
      <c r="GZ883" s="85"/>
      <c r="HA883" s="85"/>
      <c r="HB883" s="85"/>
      <c r="HC883" s="85"/>
      <c r="HD883" s="85"/>
      <c r="HE883" s="85"/>
      <c r="HF883" s="85"/>
      <c r="HG883" s="85"/>
      <c r="HH883" s="85"/>
      <c r="HI883" s="85"/>
      <c r="HJ883" s="85"/>
      <c r="HK883" s="85"/>
      <c r="HL883" s="85"/>
      <c r="HM883" s="85"/>
      <c r="HN883" s="85"/>
      <c r="HO883" s="85"/>
      <c r="HP883" s="85"/>
      <c r="HQ883" s="85"/>
      <c r="HR883" s="85"/>
      <c r="HS883" s="85"/>
      <c r="HT883" s="85"/>
      <c r="HU883" s="85"/>
      <c r="HV883" s="85"/>
      <c r="HW883" s="85"/>
      <c r="HX883" s="85"/>
      <c r="HY883" s="85"/>
      <c r="HZ883" s="85"/>
      <c r="IA883" s="85"/>
      <c r="IB883" s="85"/>
      <c r="IC883" s="85"/>
      <c r="ID883" s="85"/>
      <c r="IE883" s="85"/>
      <c r="IF883" s="85"/>
      <c r="IG883" s="85"/>
      <c r="IH883" s="85"/>
      <c r="II883" s="85"/>
      <c r="IJ883" s="85"/>
      <c r="IK883" s="85"/>
      <c r="IL883" s="85"/>
      <c r="IM883" s="85"/>
      <c r="IN883" s="85"/>
      <c r="IO883" s="85"/>
      <c r="IP883" s="85"/>
      <c r="IQ883" s="85"/>
      <c r="IR883" s="85"/>
      <c r="IS883" s="85"/>
      <c r="IT883" s="85"/>
      <c r="IU883" s="85"/>
      <c r="IV883" s="85"/>
      <c r="IW883" s="85"/>
      <c r="IX883" s="85"/>
      <c r="IY883" s="85"/>
      <c r="IZ883" s="85"/>
      <c r="JA883" s="85"/>
      <c r="JB883" s="85"/>
      <c r="JC883" s="85"/>
      <c r="JD883" s="85"/>
      <c r="JE883" s="85"/>
      <c r="JF883" s="85"/>
      <c r="JG883" s="85"/>
      <c r="JH883" s="85"/>
      <c r="JI883" s="85"/>
      <c r="JJ883" s="85"/>
      <c r="JK883" s="85"/>
      <c r="JL883" s="85"/>
      <c r="JM883" s="85"/>
      <c r="JN883" s="85"/>
      <c r="JO883" s="85"/>
      <c r="JP883" s="85"/>
      <c r="JQ883" s="85"/>
      <c r="JR883" s="85"/>
      <c r="JS883" s="85"/>
      <c r="JT883" s="85"/>
      <c r="JU883" s="85"/>
      <c r="JV883" s="85"/>
      <c r="JW883" s="85"/>
      <c r="JX883" s="85"/>
      <c r="JY883" s="85"/>
      <c r="JZ883" s="85"/>
      <c r="KA883" s="85"/>
      <c r="KB883" s="85"/>
      <c r="KC883" s="85"/>
      <c r="KD883" s="85"/>
      <c r="KE883" s="85"/>
      <c r="KF883" s="85"/>
      <c r="KG883" s="85"/>
      <c r="KH883" s="85"/>
      <c r="KI883" s="85"/>
      <c r="KJ883" s="85"/>
      <c r="KK883" s="85"/>
      <c r="KL883" s="85"/>
      <c r="KM883" s="85"/>
      <c r="KN883" s="85"/>
      <c r="KO883" s="85"/>
      <c r="KP883" s="85"/>
      <c r="KQ883" s="85"/>
      <c r="KR883" s="85"/>
      <c r="KS883" s="85"/>
      <c r="KT883" s="85"/>
      <c r="KU883" s="85"/>
      <c r="KV883" s="85"/>
      <c r="KW883" s="85"/>
      <c r="KX883" s="85"/>
      <c r="KY883" s="85"/>
      <c r="KZ883" s="85"/>
      <c r="LA883" s="85"/>
      <c r="LB883" s="85"/>
      <c r="LC883" s="85"/>
      <c r="LD883" s="85"/>
      <c r="LE883" s="85"/>
      <c r="LF883" s="85"/>
      <c r="LG883" s="85"/>
      <c r="LH883" s="85"/>
      <c r="LI883" s="85"/>
      <c r="LJ883" s="85"/>
      <c r="LK883" s="85"/>
      <c r="LL883" s="85"/>
      <c r="LM883" s="85"/>
      <c r="LN883" s="85"/>
      <c r="LO883" s="85"/>
      <c r="LP883" s="85"/>
      <c r="LQ883" s="85"/>
      <c r="LR883" s="85"/>
      <c r="LS883" s="85"/>
      <c r="LT883" s="85"/>
      <c r="LU883" s="85"/>
      <c r="LV883" s="85"/>
      <c r="LW883" s="85"/>
      <c r="LX883" s="85"/>
      <c r="LY883" s="85"/>
      <c r="LZ883" s="85"/>
      <c r="MA883" s="85"/>
      <c r="MB883" s="85"/>
      <c r="MC883" s="85"/>
      <c r="MD883" s="85"/>
      <c r="ME883" s="85"/>
      <c r="MF883" s="85"/>
      <c r="MG883" s="85"/>
      <c r="MH883" s="85"/>
      <c r="MI883" s="85"/>
      <c r="MJ883" s="85"/>
      <c r="MK883" s="85"/>
      <c r="ML883" s="85"/>
      <c r="MM883" s="85"/>
      <c r="MN883" s="85"/>
      <c r="MO883" s="85"/>
      <c r="MP883" s="85"/>
      <c r="MQ883" s="85"/>
      <c r="MR883" s="85"/>
      <c r="MS883" s="85"/>
      <c r="MT883" s="85"/>
      <c r="MU883" s="85"/>
      <c r="MV883" s="85"/>
      <c r="MW883" s="85"/>
      <c r="MX883" s="85"/>
      <c r="MY883" s="85"/>
      <c r="MZ883" s="85"/>
      <c r="NA883" s="85"/>
      <c r="NB883" s="85"/>
      <c r="NC883" s="85"/>
      <c r="ND883" s="85"/>
      <c r="NE883" s="85"/>
      <c r="NF883" s="85"/>
      <c r="NG883" s="85"/>
      <c r="NH883" s="85"/>
      <c r="NI883" s="85"/>
      <c r="NJ883" s="85"/>
      <c r="NK883" s="85"/>
      <c r="NL883" s="85"/>
      <c r="NM883" s="85"/>
      <c r="NN883" s="85"/>
      <c r="NO883" s="85"/>
      <c r="NP883" s="85"/>
      <c r="NQ883" s="85"/>
      <c r="NR883" s="85"/>
      <c r="NS883" s="85"/>
      <c r="NT883" s="85"/>
      <c r="NU883" s="85"/>
      <c r="NV883" s="85"/>
      <c r="NW883" s="85"/>
      <c r="NX883" s="85"/>
      <c r="NY883" s="85"/>
      <c r="NZ883" s="85"/>
      <c r="OA883" s="85"/>
      <c r="OB883" s="85"/>
      <c r="OC883" s="85"/>
      <c r="OD883" s="85"/>
      <c r="OE883" s="85"/>
      <c r="OF883" s="85"/>
      <c r="OG883" s="85"/>
      <c r="OH883" s="85"/>
      <c r="OI883" s="85"/>
      <c r="OJ883" s="85"/>
      <c r="OK883" s="85"/>
      <c r="OL883" s="85"/>
      <c r="OM883" s="85"/>
      <c r="ON883" s="85"/>
      <c r="OO883" s="85"/>
      <c r="OP883" s="85"/>
      <c r="OQ883" s="85"/>
      <c r="OR883" s="85"/>
      <c r="OS883" s="85"/>
      <c r="OT883" s="85"/>
      <c r="OU883" s="85"/>
      <c r="OV883" s="85"/>
      <c r="OW883" s="85"/>
      <c r="OX883" s="85"/>
      <c r="OY883" s="85"/>
      <c r="OZ883" s="85"/>
      <c r="PA883" s="85"/>
      <c r="PB883" s="85"/>
      <c r="PC883" s="85"/>
      <c r="PD883" s="85"/>
      <c r="PE883" s="85"/>
      <c r="PF883" s="85"/>
      <c r="PG883" s="85"/>
      <c r="PH883" s="85"/>
      <c r="PI883" s="85"/>
      <c r="PJ883" s="85"/>
      <c r="PK883" s="85"/>
      <c r="PL883" s="85"/>
      <c r="PM883" s="85"/>
      <c r="PN883" s="85"/>
      <c r="PO883" s="85"/>
      <c r="PP883" s="85"/>
      <c r="PQ883" s="85"/>
      <c r="PR883" s="85"/>
      <c r="PS883" s="85"/>
      <c r="PT883" s="85"/>
      <c r="PU883" s="85"/>
      <c r="PV883" s="85"/>
      <c r="PW883" s="85"/>
      <c r="PX883" s="85"/>
      <c r="PY883" s="85"/>
      <c r="PZ883" s="85"/>
      <c r="QA883" s="85"/>
      <c r="QB883" s="85"/>
      <c r="QC883" s="85"/>
      <c r="QD883" s="85"/>
      <c r="QE883" s="85"/>
      <c r="QF883" s="85"/>
      <c r="QG883" s="85"/>
      <c r="QH883" s="85"/>
      <c r="QI883" s="85"/>
      <c r="QJ883" s="85"/>
      <c r="QK883" s="85"/>
      <c r="QL883" s="85"/>
      <c r="QM883" s="85"/>
      <c r="QN883" s="85"/>
      <c r="QO883" s="85"/>
      <c r="QP883" s="85"/>
      <c r="QQ883" s="85"/>
      <c r="QR883" s="85"/>
      <c r="QS883" s="85"/>
      <c r="QT883" s="85"/>
      <c r="QU883" s="85"/>
      <c r="QV883" s="85"/>
      <c r="QW883" s="85"/>
      <c r="QX883" s="85"/>
      <c r="QY883" s="85"/>
      <c r="QZ883" s="85"/>
      <c r="RA883" s="85"/>
      <c r="RB883" s="85"/>
      <c r="RC883" s="85"/>
      <c r="RD883" s="85"/>
      <c r="RE883" s="85"/>
      <c r="RF883" s="85"/>
      <c r="RG883" s="85"/>
      <c r="RH883" s="85"/>
      <c r="RI883" s="85"/>
      <c r="RJ883" s="85"/>
      <c r="RK883" s="85"/>
      <c r="RL883" s="85"/>
      <c r="RM883" s="85"/>
      <c r="RN883" s="85"/>
      <c r="RO883" s="85"/>
      <c r="RP883" s="85"/>
      <c r="RQ883" s="85"/>
      <c r="RR883" s="85"/>
      <c r="RS883" s="85"/>
      <c r="RT883" s="85"/>
      <c r="RU883" s="85"/>
      <c r="RV883" s="85"/>
      <c r="RW883" s="85"/>
      <c r="RX883" s="85"/>
      <c r="RY883" s="85"/>
      <c r="RZ883" s="85"/>
      <c r="SA883" s="85"/>
      <c r="SB883" s="85"/>
      <c r="SC883" s="85"/>
      <c r="SD883" s="85"/>
      <c r="SE883" s="85"/>
      <c r="SF883" s="85"/>
      <c r="SG883" s="85"/>
      <c r="SH883" s="85"/>
      <c r="SI883" s="85"/>
      <c r="SJ883" s="85"/>
      <c r="SK883" s="85"/>
      <c r="SL883" s="85"/>
      <c r="SM883" s="85"/>
      <c r="SN883" s="85"/>
      <c r="SO883" s="85"/>
      <c r="SP883" s="85"/>
      <c r="SQ883" s="85"/>
      <c r="SR883" s="85"/>
      <c r="SS883" s="85"/>
      <c r="ST883" s="85"/>
      <c r="SU883" s="85"/>
      <c r="SV883" s="85"/>
      <c r="SW883" s="85"/>
      <c r="SX883" s="85"/>
      <c r="SY883" s="85"/>
      <c r="SZ883" s="85"/>
      <c r="TA883" s="85"/>
      <c r="TB883" s="85"/>
      <c r="TC883" s="85"/>
      <c r="TD883" s="85"/>
      <c r="TE883" s="85"/>
      <c r="TF883" s="85"/>
      <c r="TG883" s="85"/>
      <c r="TH883" s="85"/>
      <c r="TI883" s="85"/>
      <c r="TJ883" s="85"/>
      <c r="TK883" s="85"/>
      <c r="TL883" s="85"/>
    </row>
    <row r="884" spans="1:532" s="135" customFormat="1" ht="12.75" customHeight="1">
      <c r="A884" s="111"/>
      <c r="B884" s="243"/>
      <c r="C884" s="112"/>
      <c r="D884" s="112"/>
      <c r="E884" s="112"/>
      <c r="F884" s="253"/>
      <c r="G884" s="134"/>
      <c r="H884" s="114"/>
      <c r="I884" s="115"/>
      <c r="J884" s="115"/>
      <c r="K884" s="115"/>
      <c r="L884" s="115"/>
      <c r="M884" s="115"/>
      <c r="N884" s="116"/>
      <c r="O884" s="85"/>
      <c r="P884" s="85"/>
      <c r="Q884" s="85"/>
      <c r="R884" s="85"/>
      <c r="S884" s="85"/>
      <c r="T884" s="85"/>
      <c r="U884" s="85"/>
      <c r="V884" s="85"/>
      <c r="W884" s="85"/>
      <c r="X884" s="85"/>
      <c r="Y884" s="85"/>
      <c r="Z884" s="85"/>
      <c r="AA884" s="85"/>
      <c r="AB884" s="85"/>
      <c r="AC884" s="85"/>
      <c r="AD884" s="85"/>
      <c r="AE884" s="85"/>
      <c r="AF884" s="85"/>
      <c r="AG884" s="85"/>
      <c r="AH884" s="85"/>
      <c r="AI884" s="85"/>
      <c r="AJ884" s="85"/>
      <c r="AK884" s="85"/>
      <c r="AL884" s="85"/>
      <c r="AM884" s="85"/>
      <c r="AN884" s="85"/>
      <c r="AO884" s="85"/>
      <c r="AP884" s="85"/>
      <c r="AQ884" s="85"/>
      <c r="AR884" s="85"/>
      <c r="AS884" s="85"/>
      <c r="AT884" s="85"/>
      <c r="AU884" s="85"/>
      <c r="AV884" s="85"/>
      <c r="AW884" s="85"/>
      <c r="AX884" s="85"/>
      <c r="AY884" s="85"/>
      <c r="AZ884" s="85"/>
      <c r="BA884" s="85"/>
      <c r="BB884" s="85"/>
      <c r="BC884" s="85"/>
      <c r="BD884" s="85"/>
      <c r="BE884" s="85"/>
      <c r="BF884" s="85"/>
      <c r="BG884" s="85"/>
      <c r="BH884" s="85"/>
      <c r="BI884" s="85"/>
      <c r="BJ884" s="85"/>
      <c r="BK884" s="85"/>
      <c r="BL884" s="85"/>
      <c r="BM884" s="85"/>
      <c r="BN884" s="85"/>
      <c r="BO884" s="85"/>
      <c r="BP884" s="85"/>
      <c r="BQ884" s="85"/>
      <c r="BR884" s="85"/>
      <c r="BS884" s="85"/>
      <c r="BT884" s="85"/>
      <c r="BU884" s="85"/>
      <c r="BV884" s="85"/>
      <c r="BW884" s="85"/>
      <c r="BX884" s="85"/>
      <c r="BY884" s="85"/>
      <c r="BZ884" s="85"/>
      <c r="CA884" s="85"/>
      <c r="CB884" s="85"/>
      <c r="CC884" s="85"/>
      <c r="CD884" s="85"/>
      <c r="CE884" s="85"/>
      <c r="CF884" s="85"/>
      <c r="CG884" s="85"/>
      <c r="CH884" s="85"/>
      <c r="CI884" s="85"/>
      <c r="CJ884" s="85"/>
      <c r="CK884" s="85"/>
      <c r="CL884" s="85"/>
      <c r="CM884" s="85"/>
      <c r="CN884" s="85"/>
      <c r="CO884" s="85"/>
      <c r="CP884" s="85"/>
      <c r="CQ884" s="85"/>
      <c r="CR884" s="85"/>
      <c r="CS884" s="85"/>
      <c r="CT884" s="85"/>
      <c r="CU884" s="85"/>
      <c r="CV884" s="85"/>
      <c r="CW884" s="85"/>
      <c r="CX884" s="85"/>
      <c r="CY884" s="85"/>
      <c r="CZ884" s="85"/>
      <c r="DA884" s="85"/>
      <c r="DB884" s="85"/>
      <c r="DC884" s="85"/>
      <c r="DD884" s="85"/>
      <c r="DE884" s="85"/>
      <c r="DF884" s="85"/>
      <c r="DG884" s="85"/>
      <c r="DH884" s="85"/>
      <c r="DI884" s="85"/>
      <c r="DJ884" s="85"/>
      <c r="DK884" s="85"/>
      <c r="DL884" s="85"/>
      <c r="DM884" s="85"/>
      <c r="DN884" s="85"/>
      <c r="DO884" s="85"/>
      <c r="DP884" s="85"/>
      <c r="DQ884" s="85"/>
      <c r="DR884" s="85"/>
      <c r="DS884" s="85"/>
      <c r="DT884" s="85"/>
      <c r="DU884" s="85"/>
      <c r="DV884" s="85"/>
      <c r="DW884" s="85"/>
      <c r="DX884" s="85"/>
      <c r="DY884" s="85"/>
      <c r="DZ884" s="85"/>
      <c r="EA884" s="85"/>
      <c r="EB884" s="85"/>
      <c r="EC884" s="85"/>
      <c r="ED884" s="85"/>
      <c r="EE884" s="85"/>
      <c r="EF884" s="85"/>
      <c r="EG884" s="85"/>
      <c r="EH884" s="85"/>
      <c r="EI884" s="85"/>
      <c r="EJ884" s="85"/>
      <c r="EK884" s="85"/>
      <c r="EL884" s="85"/>
      <c r="EM884" s="85"/>
      <c r="EN884" s="85"/>
      <c r="EO884" s="85"/>
      <c r="EP884" s="85"/>
      <c r="EQ884" s="85"/>
      <c r="ER884" s="85"/>
      <c r="ES884" s="85"/>
      <c r="ET884" s="85"/>
      <c r="EU884" s="85"/>
      <c r="EV884" s="85"/>
      <c r="EW884" s="85"/>
      <c r="EX884" s="85"/>
      <c r="EY884" s="85"/>
      <c r="EZ884" s="85"/>
      <c r="FA884" s="85"/>
      <c r="FB884" s="85"/>
      <c r="FC884" s="85"/>
      <c r="FD884" s="85"/>
      <c r="FE884" s="85"/>
      <c r="FF884" s="85"/>
      <c r="FG884" s="85"/>
      <c r="FH884" s="85"/>
      <c r="FI884" s="85"/>
      <c r="FJ884" s="85"/>
      <c r="FK884" s="85"/>
      <c r="FL884" s="85"/>
      <c r="FM884" s="85"/>
      <c r="FN884" s="85"/>
      <c r="FO884" s="85"/>
      <c r="FP884" s="85"/>
      <c r="FQ884" s="85"/>
      <c r="FR884" s="85"/>
      <c r="FS884" s="85"/>
      <c r="FT884" s="85"/>
      <c r="FU884" s="85"/>
      <c r="FV884" s="85"/>
      <c r="FW884" s="85"/>
      <c r="FX884" s="85"/>
      <c r="FY884" s="85"/>
      <c r="FZ884" s="85"/>
      <c r="GA884" s="85"/>
      <c r="GB884" s="85"/>
      <c r="GC884" s="85"/>
      <c r="GD884" s="85"/>
      <c r="GE884" s="85"/>
      <c r="GF884" s="85"/>
      <c r="GG884" s="85"/>
      <c r="GH884" s="85"/>
      <c r="GI884" s="85"/>
      <c r="GJ884" s="85"/>
      <c r="GK884" s="85"/>
      <c r="GL884" s="85"/>
      <c r="GM884" s="85"/>
      <c r="GN884" s="85"/>
      <c r="GO884" s="85"/>
      <c r="GP884" s="85"/>
      <c r="GQ884" s="85"/>
      <c r="GR884" s="85"/>
      <c r="GS884" s="85"/>
      <c r="GT884" s="85"/>
      <c r="GU884" s="85"/>
      <c r="GV884" s="85"/>
      <c r="GW884" s="85"/>
      <c r="GX884" s="85"/>
      <c r="GY884" s="85"/>
      <c r="GZ884" s="85"/>
      <c r="HA884" s="85"/>
      <c r="HB884" s="85"/>
      <c r="HC884" s="85"/>
      <c r="HD884" s="85"/>
      <c r="HE884" s="85"/>
      <c r="HF884" s="85"/>
      <c r="HG884" s="85"/>
      <c r="HH884" s="85"/>
      <c r="HI884" s="85"/>
      <c r="HJ884" s="85"/>
      <c r="HK884" s="85"/>
      <c r="HL884" s="85"/>
      <c r="HM884" s="85"/>
      <c r="HN884" s="85"/>
      <c r="HO884" s="85"/>
      <c r="HP884" s="85"/>
      <c r="HQ884" s="85"/>
      <c r="HR884" s="85"/>
      <c r="HS884" s="85"/>
      <c r="HT884" s="85"/>
      <c r="HU884" s="85"/>
      <c r="HV884" s="85"/>
      <c r="HW884" s="85"/>
      <c r="HX884" s="85"/>
      <c r="HY884" s="85"/>
      <c r="HZ884" s="85"/>
      <c r="IA884" s="85"/>
      <c r="IB884" s="85"/>
      <c r="IC884" s="85"/>
      <c r="ID884" s="85"/>
      <c r="IE884" s="85"/>
      <c r="IF884" s="85"/>
      <c r="IG884" s="85"/>
      <c r="IH884" s="85"/>
      <c r="II884" s="85"/>
      <c r="IJ884" s="85"/>
      <c r="IK884" s="85"/>
      <c r="IL884" s="85"/>
      <c r="IM884" s="85"/>
      <c r="IN884" s="85"/>
      <c r="IO884" s="85"/>
      <c r="IP884" s="85"/>
      <c r="IQ884" s="85"/>
      <c r="IR884" s="85"/>
      <c r="IS884" s="85"/>
      <c r="IT884" s="85"/>
      <c r="IU884" s="85"/>
      <c r="IV884" s="85"/>
      <c r="IW884" s="85"/>
      <c r="IX884" s="85"/>
      <c r="IY884" s="85"/>
      <c r="IZ884" s="85"/>
      <c r="JA884" s="85"/>
      <c r="JB884" s="85"/>
      <c r="JC884" s="85"/>
      <c r="JD884" s="85"/>
      <c r="JE884" s="85"/>
      <c r="JF884" s="85"/>
      <c r="JG884" s="85"/>
      <c r="JH884" s="85"/>
      <c r="JI884" s="85"/>
      <c r="JJ884" s="85"/>
      <c r="JK884" s="85"/>
      <c r="JL884" s="85"/>
      <c r="JM884" s="85"/>
      <c r="JN884" s="85"/>
      <c r="JO884" s="85"/>
      <c r="JP884" s="85"/>
      <c r="JQ884" s="85"/>
      <c r="JR884" s="85"/>
      <c r="JS884" s="85"/>
      <c r="JT884" s="85"/>
      <c r="JU884" s="85"/>
      <c r="JV884" s="85"/>
      <c r="JW884" s="85"/>
      <c r="JX884" s="85"/>
      <c r="JY884" s="85"/>
      <c r="JZ884" s="85"/>
      <c r="KA884" s="85"/>
      <c r="KB884" s="85"/>
      <c r="KC884" s="85"/>
      <c r="KD884" s="85"/>
      <c r="KE884" s="85"/>
      <c r="KF884" s="85"/>
      <c r="KG884" s="85"/>
      <c r="KH884" s="85"/>
      <c r="KI884" s="85"/>
      <c r="KJ884" s="85"/>
      <c r="KK884" s="85"/>
      <c r="KL884" s="85"/>
      <c r="KM884" s="85"/>
      <c r="KN884" s="85"/>
      <c r="KO884" s="85"/>
      <c r="KP884" s="85"/>
      <c r="KQ884" s="85"/>
      <c r="KR884" s="85"/>
      <c r="KS884" s="85"/>
      <c r="KT884" s="85"/>
      <c r="KU884" s="85"/>
      <c r="KV884" s="85"/>
      <c r="KW884" s="85"/>
      <c r="KX884" s="85"/>
      <c r="KY884" s="85"/>
      <c r="KZ884" s="85"/>
      <c r="LA884" s="85"/>
      <c r="LB884" s="85"/>
      <c r="LC884" s="85"/>
      <c r="LD884" s="85"/>
      <c r="LE884" s="85"/>
      <c r="LF884" s="85"/>
      <c r="LG884" s="85"/>
      <c r="LH884" s="85"/>
      <c r="LI884" s="85"/>
      <c r="LJ884" s="85"/>
      <c r="LK884" s="85"/>
      <c r="LL884" s="85"/>
      <c r="LM884" s="85"/>
      <c r="LN884" s="85"/>
      <c r="LO884" s="85"/>
      <c r="LP884" s="85"/>
      <c r="LQ884" s="85"/>
      <c r="LR884" s="85"/>
      <c r="LS884" s="85"/>
      <c r="LT884" s="85"/>
      <c r="LU884" s="85"/>
      <c r="LV884" s="85"/>
      <c r="LW884" s="85"/>
      <c r="LX884" s="85"/>
      <c r="LY884" s="85"/>
      <c r="LZ884" s="85"/>
      <c r="MA884" s="85"/>
      <c r="MB884" s="85"/>
      <c r="MC884" s="85"/>
      <c r="MD884" s="85"/>
      <c r="ME884" s="85"/>
      <c r="MF884" s="85"/>
      <c r="MG884" s="85"/>
      <c r="MH884" s="85"/>
      <c r="MI884" s="85"/>
      <c r="MJ884" s="85"/>
      <c r="MK884" s="85"/>
      <c r="ML884" s="85"/>
      <c r="MM884" s="85"/>
      <c r="MN884" s="85"/>
      <c r="MO884" s="85"/>
      <c r="MP884" s="85"/>
      <c r="MQ884" s="85"/>
      <c r="MR884" s="85"/>
      <c r="MS884" s="85"/>
      <c r="MT884" s="85"/>
      <c r="MU884" s="85"/>
      <c r="MV884" s="85"/>
      <c r="MW884" s="85"/>
      <c r="MX884" s="85"/>
      <c r="MY884" s="85"/>
      <c r="MZ884" s="85"/>
      <c r="NA884" s="85"/>
      <c r="NB884" s="85"/>
      <c r="NC884" s="85"/>
      <c r="ND884" s="85"/>
      <c r="NE884" s="85"/>
      <c r="NF884" s="85"/>
      <c r="NG884" s="85"/>
      <c r="NH884" s="85"/>
      <c r="NI884" s="85"/>
      <c r="NJ884" s="85"/>
      <c r="NK884" s="85"/>
      <c r="NL884" s="85"/>
      <c r="NM884" s="85"/>
      <c r="NN884" s="85"/>
      <c r="NO884" s="85"/>
      <c r="NP884" s="85"/>
      <c r="NQ884" s="85"/>
      <c r="NR884" s="85"/>
      <c r="NS884" s="85"/>
      <c r="NT884" s="85"/>
      <c r="NU884" s="85"/>
      <c r="NV884" s="85"/>
      <c r="NW884" s="85"/>
      <c r="NX884" s="85"/>
      <c r="NY884" s="85"/>
      <c r="NZ884" s="85"/>
      <c r="OA884" s="85"/>
      <c r="OB884" s="85"/>
      <c r="OC884" s="85"/>
      <c r="OD884" s="85"/>
      <c r="OE884" s="85"/>
      <c r="OF884" s="85"/>
      <c r="OG884" s="85"/>
      <c r="OH884" s="85"/>
      <c r="OI884" s="85"/>
      <c r="OJ884" s="85"/>
      <c r="OK884" s="85"/>
      <c r="OL884" s="85"/>
      <c r="OM884" s="85"/>
      <c r="ON884" s="85"/>
      <c r="OO884" s="85"/>
      <c r="OP884" s="85"/>
      <c r="OQ884" s="85"/>
      <c r="OR884" s="85"/>
      <c r="OS884" s="85"/>
      <c r="OT884" s="85"/>
      <c r="OU884" s="85"/>
      <c r="OV884" s="85"/>
      <c r="OW884" s="85"/>
      <c r="OX884" s="85"/>
      <c r="OY884" s="85"/>
      <c r="OZ884" s="85"/>
      <c r="PA884" s="85"/>
      <c r="PB884" s="85"/>
      <c r="PC884" s="85"/>
      <c r="PD884" s="85"/>
      <c r="PE884" s="85"/>
      <c r="PF884" s="85"/>
      <c r="PG884" s="85"/>
      <c r="PH884" s="85"/>
      <c r="PI884" s="85"/>
      <c r="PJ884" s="85"/>
      <c r="PK884" s="85"/>
      <c r="PL884" s="85"/>
      <c r="PM884" s="85"/>
      <c r="PN884" s="85"/>
      <c r="PO884" s="85"/>
      <c r="PP884" s="85"/>
      <c r="PQ884" s="85"/>
      <c r="PR884" s="85"/>
      <c r="PS884" s="85"/>
      <c r="PT884" s="85"/>
      <c r="PU884" s="85"/>
      <c r="PV884" s="85"/>
      <c r="PW884" s="85"/>
      <c r="PX884" s="85"/>
      <c r="PY884" s="85"/>
      <c r="PZ884" s="85"/>
      <c r="QA884" s="85"/>
      <c r="QB884" s="85"/>
      <c r="QC884" s="85"/>
      <c r="QD884" s="85"/>
      <c r="QE884" s="85"/>
      <c r="QF884" s="85"/>
      <c r="QG884" s="85"/>
      <c r="QH884" s="85"/>
      <c r="QI884" s="85"/>
      <c r="QJ884" s="85"/>
      <c r="QK884" s="85"/>
      <c r="QL884" s="85"/>
      <c r="QM884" s="85"/>
      <c r="QN884" s="85"/>
      <c r="QO884" s="85"/>
      <c r="QP884" s="85"/>
      <c r="QQ884" s="85"/>
      <c r="QR884" s="85"/>
      <c r="QS884" s="85"/>
      <c r="QT884" s="85"/>
      <c r="QU884" s="85"/>
      <c r="QV884" s="85"/>
      <c r="QW884" s="85"/>
      <c r="QX884" s="85"/>
      <c r="QY884" s="85"/>
      <c r="QZ884" s="85"/>
      <c r="RA884" s="85"/>
      <c r="RB884" s="85"/>
      <c r="RC884" s="85"/>
      <c r="RD884" s="85"/>
      <c r="RE884" s="85"/>
      <c r="RF884" s="85"/>
      <c r="RG884" s="85"/>
      <c r="RH884" s="85"/>
      <c r="RI884" s="85"/>
      <c r="RJ884" s="85"/>
      <c r="RK884" s="85"/>
      <c r="RL884" s="85"/>
      <c r="RM884" s="85"/>
      <c r="RN884" s="85"/>
      <c r="RO884" s="85"/>
      <c r="RP884" s="85"/>
      <c r="RQ884" s="85"/>
      <c r="RR884" s="85"/>
      <c r="RS884" s="85"/>
      <c r="RT884" s="85"/>
      <c r="RU884" s="85"/>
      <c r="RV884" s="85"/>
      <c r="RW884" s="85"/>
      <c r="RX884" s="85"/>
      <c r="RY884" s="85"/>
      <c r="RZ884" s="85"/>
      <c r="SA884" s="85"/>
      <c r="SB884" s="85"/>
      <c r="SC884" s="85"/>
      <c r="SD884" s="85"/>
      <c r="SE884" s="85"/>
      <c r="SF884" s="85"/>
      <c r="SG884" s="85"/>
      <c r="SH884" s="85"/>
      <c r="SI884" s="85"/>
      <c r="SJ884" s="85"/>
      <c r="SK884" s="85"/>
      <c r="SL884" s="85"/>
      <c r="SM884" s="85"/>
      <c r="SN884" s="85"/>
      <c r="SO884" s="85"/>
      <c r="SP884" s="85"/>
      <c r="SQ884" s="85"/>
      <c r="SR884" s="85"/>
      <c r="SS884" s="85"/>
      <c r="ST884" s="85"/>
      <c r="SU884" s="85"/>
      <c r="SV884" s="85"/>
      <c r="SW884" s="85"/>
      <c r="SX884" s="85"/>
      <c r="SY884" s="85"/>
      <c r="SZ884" s="85"/>
      <c r="TA884" s="85"/>
      <c r="TB884" s="85"/>
      <c r="TC884" s="85"/>
      <c r="TD884" s="85"/>
      <c r="TE884" s="85"/>
      <c r="TF884" s="85"/>
      <c r="TG884" s="85"/>
      <c r="TH884" s="85"/>
      <c r="TI884" s="85"/>
      <c r="TJ884" s="85"/>
      <c r="TK884" s="85"/>
      <c r="TL884" s="85"/>
    </row>
    <row r="885" spans="1:532" s="85" customFormat="1" ht="12.75" customHeight="1">
      <c r="A885" s="176" t="s">
        <v>485</v>
      </c>
      <c r="B885" s="177" t="s">
        <v>486</v>
      </c>
      <c r="C885" s="124"/>
      <c r="D885" s="124"/>
      <c r="E885" s="173">
        <v>131000</v>
      </c>
      <c r="F885" s="146"/>
      <c r="G885" s="138"/>
      <c r="H885" s="98"/>
      <c r="I885" s="140">
        <f t="shared" ref="I885:N885" si="41">SUM(I886)</f>
        <v>0</v>
      </c>
      <c r="J885" s="140">
        <f t="shared" si="41"/>
        <v>0</v>
      </c>
      <c r="K885" s="140">
        <f t="shared" si="41"/>
        <v>0</v>
      </c>
      <c r="L885" s="140">
        <f t="shared" si="41"/>
        <v>0</v>
      </c>
      <c r="M885" s="140">
        <f t="shared" si="41"/>
        <v>0</v>
      </c>
      <c r="N885" s="140">
        <f t="shared" si="41"/>
        <v>131000</v>
      </c>
    </row>
    <row r="886" spans="1:532" s="85" customFormat="1" ht="12.75" customHeight="1">
      <c r="A886" s="122"/>
      <c r="B886" s="240"/>
      <c r="C886" s="124"/>
      <c r="D886" s="124"/>
      <c r="E886" s="124"/>
      <c r="F886" s="146" t="s">
        <v>484</v>
      </c>
      <c r="G886" s="179"/>
      <c r="H886" s="98"/>
      <c r="I886" s="125"/>
      <c r="J886" s="125"/>
      <c r="K886" s="125"/>
      <c r="L886" s="125"/>
      <c r="M886" s="125"/>
      <c r="N886" s="141">
        <f>+E885-D885</f>
        <v>131000</v>
      </c>
    </row>
    <row r="887" spans="1:532" s="135" customFormat="1" ht="12.75" customHeight="1">
      <c r="A887" s="111"/>
      <c r="B887" s="243"/>
      <c r="C887" s="112"/>
      <c r="D887" s="112"/>
      <c r="E887" s="112"/>
      <c r="F887" s="253"/>
      <c r="G887" s="134"/>
      <c r="H887" s="114"/>
      <c r="I887" s="115"/>
      <c r="J887" s="115"/>
      <c r="K887" s="115"/>
      <c r="L887" s="115"/>
      <c r="M887" s="115"/>
      <c r="N887" s="116"/>
      <c r="O887" s="85"/>
      <c r="P887" s="85"/>
      <c r="Q887" s="85"/>
      <c r="R887" s="85"/>
      <c r="S887" s="85"/>
      <c r="T887" s="85"/>
      <c r="U887" s="85"/>
      <c r="V887" s="85"/>
      <c r="W887" s="85"/>
      <c r="X887" s="85"/>
      <c r="Y887" s="85"/>
      <c r="Z887" s="85"/>
      <c r="AA887" s="85"/>
      <c r="AB887" s="85"/>
      <c r="AC887" s="85"/>
      <c r="AD887" s="85"/>
      <c r="AE887" s="85"/>
      <c r="AF887" s="85"/>
      <c r="AG887" s="85"/>
      <c r="AH887" s="85"/>
      <c r="AI887" s="85"/>
      <c r="AJ887" s="85"/>
      <c r="AK887" s="85"/>
      <c r="AL887" s="85"/>
      <c r="AM887" s="85"/>
      <c r="AN887" s="85"/>
      <c r="AO887" s="85"/>
      <c r="AP887" s="85"/>
      <c r="AQ887" s="85"/>
      <c r="AR887" s="85"/>
      <c r="AS887" s="85"/>
      <c r="AT887" s="85"/>
      <c r="AU887" s="85"/>
      <c r="AV887" s="85"/>
      <c r="AW887" s="85"/>
      <c r="AX887" s="85"/>
      <c r="AY887" s="85"/>
      <c r="AZ887" s="85"/>
      <c r="BA887" s="85"/>
      <c r="BB887" s="85"/>
      <c r="BC887" s="85"/>
      <c r="BD887" s="85"/>
      <c r="BE887" s="85"/>
      <c r="BF887" s="85"/>
      <c r="BG887" s="85"/>
      <c r="BH887" s="85"/>
      <c r="BI887" s="85"/>
      <c r="BJ887" s="85"/>
      <c r="BK887" s="85"/>
      <c r="BL887" s="85"/>
      <c r="BM887" s="85"/>
      <c r="BN887" s="85"/>
      <c r="BO887" s="85"/>
      <c r="BP887" s="85"/>
      <c r="BQ887" s="85"/>
      <c r="BR887" s="85"/>
      <c r="BS887" s="85"/>
      <c r="BT887" s="85"/>
      <c r="BU887" s="85"/>
      <c r="BV887" s="85"/>
      <c r="BW887" s="85"/>
      <c r="BX887" s="85"/>
      <c r="BY887" s="85"/>
      <c r="BZ887" s="85"/>
      <c r="CA887" s="85"/>
      <c r="CB887" s="85"/>
      <c r="CC887" s="85"/>
      <c r="CD887" s="85"/>
      <c r="CE887" s="85"/>
      <c r="CF887" s="85"/>
      <c r="CG887" s="85"/>
      <c r="CH887" s="85"/>
      <c r="CI887" s="85"/>
      <c r="CJ887" s="85"/>
      <c r="CK887" s="85"/>
      <c r="CL887" s="85"/>
      <c r="CM887" s="85"/>
      <c r="CN887" s="85"/>
      <c r="CO887" s="85"/>
      <c r="CP887" s="85"/>
      <c r="CQ887" s="85"/>
      <c r="CR887" s="85"/>
      <c r="CS887" s="85"/>
      <c r="CT887" s="85"/>
      <c r="CU887" s="85"/>
      <c r="CV887" s="85"/>
      <c r="CW887" s="85"/>
      <c r="CX887" s="85"/>
      <c r="CY887" s="85"/>
      <c r="CZ887" s="85"/>
      <c r="DA887" s="85"/>
      <c r="DB887" s="85"/>
      <c r="DC887" s="85"/>
      <c r="DD887" s="85"/>
      <c r="DE887" s="85"/>
      <c r="DF887" s="85"/>
      <c r="DG887" s="85"/>
      <c r="DH887" s="85"/>
      <c r="DI887" s="85"/>
      <c r="DJ887" s="85"/>
      <c r="DK887" s="85"/>
      <c r="DL887" s="85"/>
      <c r="DM887" s="85"/>
      <c r="DN887" s="85"/>
      <c r="DO887" s="85"/>
      <c r="DP887" s="85"/>
      <c r="DQ887" s="85"/>
      <c r="DR887" s="85"/>
      <c r="DS887" s="85"/>
      <c r="DT887" s="85"/>
      <c r="DU887" s="85"/>
      <c r="DV887" s="85"/>
      <c r="DW887" s="85"/>
      <c r="DX887" s="85"/>
      <c r="DY887" s="85"/>
      <c r="DZ887" s="85"/>
      <c r="EA887" s="85"/>
      <c r="EB887" s="85"/>
      <c r="EC887" s="85"/>
      <c r="ED887" s="85"/>
      <c r="EE887" s="85"/>
      <c r="EF887" s="85"/>
      <c r="EG887" s="85"/>
      <c r="EH887" s="85"/>
      <c r="EI887" s="85"/>
      <c r="EJ887" s="85"/>
      <c r="EK887" s="85"/>
      <c r="EL887" s="85"/>
      <c r="EM887" s="85"/>
      <c r="EN887" s="85"/>
      <c r="EO887" s="85"/>
      <c r="EP887" s="85"/>
      <c r="EQ887" s="85"/>
      <c r="ER887" s="85"/>
      <c r="ES887" s="85"/>
      <c r="ET887" s="85"/>
      <c r="EU887" s="85"/>
      <c r="EV887" s="85"/>
      <c r="EW887" s="85"/>
      <c r="EX887" s="85"/>
      <c r="EY887" s="85"/>
      <c r="EZ887" s="85"/>
      <c r="FA887" s="85"/>
      <c r="FB887" s="85"/>
      <c r="FC887" s="85"/>
      <c r="FD887" s="85"/>
      <c r="FE887" s="85"/>
      <c r="FF887" s="85"/>
      <c r="FG887" s="85"/>
      <c r="FH887" s="85"/>
      <c r="FI887" s="85"/>
      <c r="FJ887" s="85"/>
      <c r="FK887" s="85"/>
      <c r="FL887" s="85"/>
      <c r="FM887" s="85"/>
      <c r="FN887" s="85"/>
      <c r="FO887" s="85"/>
      <c r="FP887" s="85"/>
      <c r="FQ887" s="85"/>
      <c r="FR887" s="85"/>
      <c r="FS887" s="85"/>
      <c r="FT887" s="85"/>
      <c r="FU887" s="85"/>
      <c r="FV887" s="85"/>
      <c r="FW887" s="85"/>
      <c r="FX887" s="85"/>
      <c r="FY887" s="85"/>
      <c r="FZ887" s="85"/>
      <c r="GA887" s="85"/>
      <c r="GB887" s="85"/>
      <c r="GC887" s="85"/>
      <c r="GD887" s="85"/>
      <c r="GE887" s="85"/>
      <c r="GF887" s="85"/>
      <c r="GG887" s="85"/>
      <c r="GH887" s="85"/>
      <c r="GI887" s="85"/>
      <c r="GJ887" s="85"/>
      <c r="GK887" s="85"/>
      <c r="GL887" s="85"/>
      <c r="GM887" s="85"/>
      <c r="GN887" s="85"/>
      <c r="GO887" s="85"/>
      <c r="GP887" s="85"/>
      <c r="GQ887" s="85"/>
      <c r="GR887" s="85"/>
      <c r="GS887" s="85"/>
      <c r="GT887" s="85"/>
      <c r="GU887" s="85"/>
      <c r="GV887" s="85"/>
      <c r="GW887" s="85"/>
      <c r="GX887" s="85"/>
      <c r="GY887" s="85"/>
      <c r="GZ887" s="85"/>
      <c r="HA887" s="85"/>
      <c r="HB887" s="85"/>
      <c r="HC887" s="85"/>
      <c r="HD887" s="85"/>
      <c r="HE887" s="85"/>
      <c r="HF887" s="85"/>
      <c r="HG887" s="85"/>
      <c r="HH887" s="85"/>
      <c r="HI887" s="85"/>
      <c r="HJ887" s="85"/>
      <c r="HK887" s="85"/>
      <c r="HL887" s="85"/>
      <c r="HM887" s="85"/>
      <c r="HN887" s="85"/>
      <c r="HO887" s="85"/>
      <c r="HP887" s="85"/>
      <c r="HQ887" s="85"/>
      <c r="HR887" s="85"/>
      <c r="HS887" s="85"/>
      <c r="HT887" s="85"/>
      <c r="HU887" s="85"/>
      <c r="HV887" s="85"/>
      <c r="HW887" s="85"/>
      <c r="HX887" s="85"/>
      <c r="HY887" s="85"/>
      <c r="HZ887" s="85"/>
      <c r="IA887" s="85"/>
      <c r="IB887" s="85"/>
      <c r="IC887" s="85"/>
      <c r="ID887" s="85"/>
      <c r="IE887" s="85"/>
      <c r="IF887" s="85"/>
      <c r="IG887" s="85"/>
      <c r="IH887" s="85"/>
      <c r="II887" s="85"/>
      <c r="IJ887" s="85"/>
      <c r="IK887" s="85"/>
      <c r="IL887" s="85"/>
      <c r="IM887" s="85"/>
      <c r="IN887" s="85"/>
      <c r="IO887" s="85"/>
      <c r="IP887" s="85"/>
      <c r="IQ887" s="85"/>
      <c r="IR887" s="85"/>
      <c r="IS887" s="85"/>
      <c r="IT887" s="85"/>
      <c r="IU887" s="85"/>
      <c r="IV887" s="85"/>
      <c r="IW887" s="85"/>
      <c r="IX887" s="85"/>
      <c r="IY887" s="85"/>
      <c r="IZ887" s="85"/>
      <c r="JA887" s="85"/>
      <c r="JB887" s="85"/>
      <c r="JC887" s="85"/>
      <c r="JD887" s="85"/>
      <c r="JE887" s="85"/>
      <c r="JF887" s="85"/>
      <c r="JG887" s="85"/>
      <c r="JH887" s="85"/>
      <c r="JI887" s="85"/>
      <c r="JJ887" s="85"/>
      <c r="JK887" s="85"/>
      <c r="JL887" s="85"/>
      <c r="JM887" s="85"/>
      <c r="JN887" s="85"/>
      <c r="JO887" s="85"/>
      <c r="JP887" s="85"/>
      <c r="JQ887" s="85"/>
      <c r="JR887" s="85"/>
      <c r="JS887" s="85"/>
      <c r="JT887" s="85"/>
      <c r="JU887" s="85"/>
      <c r="JV887" s="85"/>
      <c r="JW887" s="85"/>
      <c r="JX887" s="85"/>
      <c r="JY887" s="85"/>
      <c r="JZ887" s="85"/>
      <c r="KA887" s="85"/>
      <c r="KB887" s="85"/>
      <c r="KC887" s="85"/>
      <c r="KD887" s="85"/>
      <c r="KE887" s="85"/>
      <c r="KF887" s="85"/>
      <c r="KG887" s="85"/>
      <c r="KH887" s="85"/>
      <c r="KI887" s="85"/>
      <c r="KJ887" s="85"/>
      <c r="KK887" s="85"/>
      <c r="KL887" s="85"/>
      <c r="KM887" s="85"/>
      <c r="KN887" s="85"/>
      <c r="KO887" s="85"/>
      <c r="KP887" s="85"/>
      <c r="KQ887" s="85"/>
      <c r="KR887" s="85"/>
      <c r="KS887" s="85"/>
      <c r="KT887" s="85"/>
      <c r="KU887" s="85"/>
      <c r="KV887" s="85"/>
      <c r="KW887" s="85"/>
      <c r="KX887" s="85"/>
      <c r="KY887" s="85"/>
      <c r="KZ887" s="85"/>
      <c r="LA887" s="85"/>
      <c r="LB887" s="85"/>
      <c r="LC887" s="85"/>
      <c r="LD887" s="85"/>
      <c r="LE887" s="85"/>
      <c r="LF887" s="85"/>
      <c r="LG887" s="85"/>
      <c r="LH887" s="85"/>
      <c r="LI887" s="85"/>
      <c r="LJ887" s="85"/>
      <c r="LK887" s="85"/>
      <c r="LL887" s="85"/>
      <c r="LM887" s="85"/>
      <c r="LN887" s="85"/>
      <c r="LO887" s="85"/>
      <c r="LP887" s="85"/>
      <c r="LQ887" s="85"/>
      <c r="LR887" s="85"/>
      <c r="LS887" s="85"/>
      <c r="LT887" s="85"/>
      <c r="LU887" s="85"/>
      <c r="LV887" s="85"/>
      <c r="LW887" s="85"/>
      <c r="LX887" s="85"/>
      <c r="LY887" s="85"/>
      <c r="LZ887" s="85"/>
      <c r="MA887" s="85"/>
      <c r="MB887" s="85"/>
      <c r="MC887" s="85"/>
      <c r="MD887" s="85"/>
      <c r="ME887" s="85"/>
      <c r="MF887" s="85"/>
      <c r="MG887" s="85"/>
      <c r="MH887" s="85"/>
      <c r="MI887" s="85"/>
      <c r="MJ887" s="85"/>
      <c r="MK887" s="85"/>
      <c r="ML887" s="85"/>
      <c r="MM887" s="85"/>
      <c r="MN887" s="85"/>
      <c r="MO887" s="85"/>
      <c r="MP887" s="85"/>
      <c r="MQ887" s="85"/>
      <c r="MR887" s="85"/>
      <c r="MS887" s="85"/>
      <c r="MT887" s="85"/>
      <c r="MU887" s="85"/>
      <c r="MV887" s="85"/>
      <c r="MW887" s="85"/>
      <c r="MX887" s="85"/>
      <c r="MY887" s="85"/>
      <c r="MZ887" s="85"/>
      <c r="NA887" s="85"/>
      <c r="NB887" s="85"/>
      <c r="NC887" s="85"/>
      <c r="ND887" s="85"/>
      <c r="NE887" s="85"/>
      <c r="NF887" s="85"/>
      <c r="NG887" s="85"/>
      <c r="NH887" s="85"/>
      <c r="NI887" s="85"/>
      <c r="NJ887" s="85"/>
      <c r="NK887" s="85"/>
      <c r="NL887" s="85"/>
      <c r="NM887" s="85"/>
      <c r="NN887" s="85"/>
      <c r="NO887" s="85"/>
      <c r="NP887" s="85"/>
      <c r="NQ887" s="85"/>
      <c r="NR887" s="85"/>
      <c r="NS887" s="85"/>
      <c r="NT887" s="85"/>
      <c r="NU887" s="85"/>
      <c r="NV887" s="85"/>
      <c r="NW887" s="85"/>
      <c r="NX887" s="85"/>
      <c r="NY887" s="85"/>
      <c r="NZ887" s="85"/>
      <c r="OA887" s="85"/>
      <c r="OB887" s="85"/>
      <c r="OC887" s="85"/>
      <c r="OD887" s="85"/>
      <c r="OE887" s="85"/>
      <c r="OF887" s="85"/>
      <c r="OG887" s="85"/>
      <c r="OH887" s="85"/>
      <c r="OI887" s="85"/>
      <c r="OJ887" s="85"/>
      <c r="OK887" s="85"/>
      <c r="OL887" s="85"/>
      <c r="OM887" s="85"/>
      <c r="ON887" s="85"/>
      <c r="OO887" s="85"/>
      <c r="OP887" s="85"/>
      <c r="OQ887" s="85"/>
      <c r="OR887" s="85"/>
      <c r="OS887" s="85"/>
      <c r="OT887" s="85"/>
      <c r="OU887" s="85"/>
      <c r="OV887" s="85"/>
      <c r="OW887" s="85"/>
      <c r="OX887" s="85"/>
      <c r="OY887" s="85"/>
      <c r="OZ887" s="85"/>
      <c r="PA887" s="85"/>
      <c r="PB887" s="85"/>
      <c r="PC887" s="85"/>
      <c r="PD887" s="85"/>
      <c r="PE887" s="85"/>
      <c r="PF887" s="85"/>
      <c r="PG887" s="85"/>
      <c r="PH887" s="85"/>
      <c r="PI887" s="85"/>
      <c r="PJ887" s="85"/>
      <c r="PK887" s="85"/>
      <c r="PL887" s="85"/>
      <c r="PM887" s="85"/>
      <c r="PN887" s="85"/>
      <c r="PO887" s="85"/>
      <c r="PP887" s="85"/>
      <c r="PQ887" s="85"/>
      <c r="PR887" s="85"/>
      <c r="PS887" s="85"/>
      <c r="PT887" s="85"/>
      <c r="PU887" s="85"/>
      <c r="PV887" s="85"/>
      <c r="PW887" s="85"/>
      <c r="PX887" s="85"/>
      <c r="PY887" s="85"/>
      <c r="PZ887" s="85"/>
      <c r="QA887" s="85"/>
      <c r="QB887" s="85"/>
      <c r="QC887" s="85"/>
      <c r="QD887" s="85"/>
      <c r="QE887" s="85"/>
      <c r="QF887" s="85"/>
      <c r="QG887" s="85"/>
      <c r="QH887" s="85"/>
      <c r="QI887" s="85"/>
      <c r="QJ887" s="85"/>
      <c r="QK887" s="85"/>
      <c r="QL887" s="85"/>
      <c r="QM887" s="85"/>
      <c r="QN887" s="85"/>
      <c r="QO887" s="85"/>
      <c r="QP887" s="85"/>
      <c r="QQ887" s="85"/>
      <c r="QR887" s="85"/>
      <c r="QS887" s="85"/>
      <c r="QT887" s="85"/>
      <c r="QU887" s="85"/>
      <c r="QV887" s="85"/>
      <c r="QW887" s="85"/>
      <c r="QX887" s="85"/>
      <c r="QY887" s="85"/>
      <c r="QZ887" s="85"/>
      <c r="RA887" s="85"/>
      <c r="RB887" s="85"/>
      <c r="RC887" s="85"/>
      <c r="RD887" s="85"/>
      <c r="RE887" s="85"/>
      <c r="RF887" s="85"/>
      <c r="RG887" s="85"/>
      <c r="RH887" s="85"/>
      <c r="RI887" s="85"/>
      <c r="RJ887" s="85"/>
      <c r="RK887" s="85"/>
      <c r="RL887" s="85"/>
      <c r="RM887" s="85"/>
      <c r="RN887" s="85"/>
      <c r="RO887" s="85"/>
      <c r="RP887" s="85"/>
      <c r="RQ887" s="85"/>
      <c r="RR887" s="85"/>
      <c r="RS887" s="85"/>
      <c r="RT887" s="85"/>
      <c r="RU887" s="85"/>
      <c r="RV887" s="85"/>
      <c r="RW887" s="85"/>
      <c r="RX887" s="85"/>
      <c r="RY887" s="85"/>
      <c r="RZ887" s="85"/>
      <c r="SA887" s="85"/>
      <c r="SB887" s="85"/>
      <c r="SC887" s="85"/>
      <c r="SD887" s="85"/>
      <c r="SE887" s="85"/>
      <c r="SF887" s="85"/>
      <c r="SG887" s="85"/>
      <c r="SH887" s="85"/>
      <c r="SI887" s="85"/>
      <c r="SJ887" s="85"/>
      <c r="SK887" s="85"/>
      <c r="SL887" s="85"/>
      <c r="SM887" s="85"/>
      <c r="SN887" s="85"/>
      <c r="SO887" s="85"/>
      <c r="SP887" s="85"/>
      <c r="SQ887" s="85"/>
      <c r="SR887" s="85"/>
      <c r="SS887" s="85"/>
      <c r="ST887" s="85"/>
      <c r="SU887" s="85"/>
      <c r="SV887" s="85"/>
      <c r="SW887" s="85"/>
      <c r="SX887" s="85"/>
      <c r="SY887" s="85"/>
      <c r="SZ887" s="85"/>
      <c r="TA887" s="85"/>
      <c r="TB887" s="85"/>
      <c r="TC887" s="85"/>
      <c r="TD887" s="85"/>
      <c r="TE887" s="85"/>
      <c r="TF887" s="85"/>
      <c r="TG887" s="85"/>
      <c r="TH887" s="85"/>
      <c r="TI887" s="85"/>
      <c r="TJ887" s="85"/>
      <c r="TK887" s="85"/>
      <c r="TL887" s="85"/>
    </row>
    <row r="888" spans="1:532" s="85" customFormat="1" ht="15.65" customHeight="1">
      <c r="A888" s="122" t="s">
        <v>407</v>
      </c>
      <c r="B888" s="240" t="s">
        <v>487</v>
      </c>
      <c r="C888" s="124"/>
      <c r="D888" s="124">
        <f>+'[2]EXTRA 2'!C862</f>
        <v>2733587.91</v>
      </c>
      <c r="E888" s="173">
        <f>+D888</f>
        <v>2733587.91</v>
      </c>
      <c r="F888" s="146"/>
      <c r="G888" s="138"/>
      <c r="H888" s="98"/>
      <c r="I888" s="140">
        <f t="shared" ref="I888:N888" si="42">SUM(I889:I890)</f>
        <v>0</v>
      </c>
      <c r="J888" s="140">
        <f t="shared" si="42"/>
        <v>0</v>
      </c>
      <c r="K888" s="140">
        <f t="shared" si="42"/>
        <v>0</v>
      </c>
      <c r="L888" s="140">
        <f t="shared" si="42"/>
        <v>0</v>
      </c>
      <c r="M888" s="140">
        <f t="shared" si="42"/>
        <v>0</v>
      </c>
      <c r="N888" s="140">
        <f t="shared" si="42"/>
        <v>2733587.91</v>
      </c>
    </row>
    <row r="889" spans="1:532" s="85" customFormat="1" ht="12.75" customHeight="1">
      <c r="A889" s="122"/>
      <c r="B889" s="240"/>
      <c r="C889" s="124"/>
      <c r="D889" s="124"/>
      <c r="E889" s="124"/>
      <c r="F889" s="146" t="s">
        <v>164</v>
      </c>
      <c r="G889" s="138" t="str">
        <f>+'[2]EXTRA 2'!G862</f>
        <v>Servicios Sociales Complementarios</v>
      </c>
      <c r="H889" s="98" t="s">
        <v>78</v>
      </c>
      <c r="I889" s="125"/>
      <c r="J889" s="125">
        <f>+I889</f>
        <v>0</v>
      </c>
      <c r="K889" s="125"/>
      <c r="L889" s="125"/>
      <c r="M889" s="125"/>
      <c r="N889" s="126">
        <f>+'[2]EXTRA 2'!H863-'3_Detalle Origen y Aplicación'!I889</f>
        <v>2733587.91</v>
      </c>
    </row>
    <row r="890" spans="1:532" s="85" customFormat="1" ht="12.75" customHeight="1">
      <c r="A890" s="122"/>
      <c r="B890" s="240"/>
      <c r="C890" s="124"/>
      <c r="D890" s="124"/>
      <c r="E890" s="124"/>
      <c r="F890" s="146" t="s">
        <v>484</v>
      </c>
      <c r="G890" s="138"/>
      <c r="H890" s="98"/>
      <c r="I890" s="125"/>
      <c r="J890" s="125"/>
      <c r="K890" s="125"/>
      <c r="L890" s="125"/>
      <c r="M890" s="125"/>
      <c r="N890" s="126"/>
    </row>
    <row r="891" spans="1:532" s="135" customFormat="1" ht="12.75" customHeight="1">
      <c r="A891" s="111"/>
      <c r="B891" s="243"/>
      <c r="C891" s="112"/>
      <c r="D891" s="112"/>
      <c r="E891" s="112"/>
      <c r="F891" s="253"/>
      <c r="G891" s="134"/>
      <c r="H891" s="114"/>
      <c r="I891" s="115"/>
      <c r="J891" s="115"/>
      <c r="K891" s="115"/>
      <c r="L891" s="115"/>
      <c r="M891" s="115"/>
      <c r="N891" s="116"/>
      <c r="O891" s="85"/>
      <c r="P891" s="85"/>
      <c r="Q891" s="85"/>
      <c r="R891" s="85"/>
      <c r="S891" s="85"/>
      <c r="T891" s="85"/>
      <c r="U891" s="85"/>
      <c r="V891" s="85"/>
      <c r="W891" s="85"/>
      <c r="X891" s="85"/>
      <c r="Y891" s="85"/>
      <c r="Z891" s="85"/>
      <c r="AA891" s="85"/>
      <c r="AB891" s="85"/>
      <c r="AC891" s="85"/>
      <c r="AD891" s="85"/>
      <c r="AE891" s="85"/>
      <c r="AF891" s="85"/>
      <c r="AG891" s="85"/>
      <c r="AH891" s="85"/>
      <c r="AI891" s="85"/>
      <c r="AJ891" s="85"/>
      <c r="AK891" s="85"/>
      <c r="AL891" s="85"/>
      <c r="AM891" s="85"/>
      <c r="AN891" s="85"/>
      <c r="AO891" s="85"/>
      <c r="AP891" s="85"/>
      <c r="AQ891" s="85"/>
      <c r="AR891" s="85"/>
      <c r="AS891" s="85"/>
      <c r="AT891" s="85"/>
      <c r="AU891" s="85"/>
      <c r="AV891" s="85"/>
      <c r="AW891" s="85"/>
      <c r="AX891" s="85"/>
      <c r="AY891" s="85"/>
      <c r="AZ891" s="85"/>
      <c r="BA891" s="85"/>
      <c r="BB891" s="85"/>
      <c r="BC891" s="85"/>
      <c r="BD891" s="85"/>
      <c r="BE891" s="85"/>
      <c r="BF891" s="85"/>
      <c r="BG891" s="85"/>
      <c r="BH891" s="85"/>
      <c r="BI891" s="85"/>
      <c r="BJ891" s="85"/>
      <c r="BK891" s="85"/>
      <c r="BL891" s="85"/>
      <c r="BM891" s="85"/>
      <c r="BN891" s="85"/>
      <c r="BO891" s="85"/>
      <c r="BP891" s="85"/>
      <c r="BQ891" s="85"/>
      <c r="BR891" s="85"/>
      <c r="BS891" s="85"/>
      <c r="BT891" s="85"/>
      <c r="BU891" s="85"/>
      <c r="BV891" s="85"/>
      <c r="BW891" s="85"/>
      <c r="BX891" s="85"/>
      <c r="BY891" s="85"/>
      <c r="BZ891" s="85"/>
      <c r="CA891" s="85"/>
      <c r="CB891" s="85"/>
      <c r="CC891" s="85"/>
      <c r="CD891" s="85"/>
      <c r="CE891" s="85"/>
      <c r="CF891" s="85"/>
      <c r="CG891" s="85"/>
      <c r="CH891" s="85"/>
      <c r="CI891" s="85"/>
      <c r="CJ891" s="85"/>
      <c r="CK891" s="85"/>
      <c r="CL891" s="85"/>
      <c r="CM891" s="85"/>
      <c r="CN891" s="85"/>
      <c r="CO891" s="85"/>
      <c r="CP891" s="85"/>
      <c r="CQ891" s="85"/>
      <c r="CR891" s="85"/>
      <c r="CS891" s="85"/>
      <c r="CT891" s="85"/>
      <c r="CU891" s="85"/>
      <c r="CV891" s="85"/>
      <c r="CW891" s="85"/>
      <c r="CX891" s="85"/>
      <c r="CY891" s="85"/>
      <c r="CZ891" s="85"/>
      <c r="DA891" s="85"/>
      <c r="DB891" s="85"/>
      <c r="DC891" s="85"/>
      <c r="DD891" s="85"/>
      <c r="DE891" s="85"/>
      <c r="DF891" s="85"/>
      <c r="DG891" s="85"/>
      <c r="DH891" s="85"/>
      <c r="DI891" s="85"/>
      <c r="DJ891" s="85"/>
      <c r="DK891" s="85"/>
      <c r="DL891" s="85"/>
      <c r="DM891" s="85"/>
      <c r="DN891" s="85"/>
      <c r="DO891" s="85"/>
      <c r="DP891" s="85"/>
      <c r="DQ891" s="85"/>
      <c r="DR891" s="85"/>
      <c r="DS891" s="85"/>
      <c r="DT891" s="85"/>
      <c r="DU891" s="85"/>
      <c r="DV891" s="85"/>
      <c r="DW891" s="85"/>
      <c r="DX891" s="85"/>
      <c r="DY891" s="85"/>
      <c r="DZ891" s="85"/>
      <c r="EA891" s="85"/>
      <c r="EB891" s="85"/>
      <c r="EC891" s="85"/>
      <c r="ED891" s="85"/>
      <c r="EE891" s="85"/>
      <c r="EF891" s="85"/>
      <c r="EG891" s="85"/>
      <c r="EH891" s="85"/>
      <c r="EI891" s="85"/>
      <c r="EJ891" s="85"/>
      <c r="EK891" s="85"/>
      <c r="EL891" s="85"/>
      <c r="EM891" s="85"/>
      <c r="EN891" s="85"/>
      <c r="EO891" s="85"/>
      <c r="EP891" s="85"/>
      <c r="EQ891" s="85"/>
      <c r="ER891" s="85"/>
      <c r="ES891" s="85"/>
      <c r="ET891" s="85"/>
      <c r="EU891" s="85"/>
      <c r="EV891" s="85"/>
      <c r="EW891" s="85"/>
      <c r="EX891" s="85"/>
      <c r="EY891" s="85"/>
      <c r="EZ891" s="85"/>
      <c r="FA891" s="85"/>
      <c r="FB891" s="85"/>
      <c r="FC891" s="85"/>
      <c r="FD891" s="85"/>
      <c r="FE891" s="85"/>
      <c r="FF891" s="85"/>
      <c r="FG891" s="85"/>
      <c r="FH891" s="85"/>
      <c r="FI891" s="85"/>
      <c r="FJ891" s="85"/>
      <c r="FK891" s="85"/>
      <c r="FL891" s="85"/>
      <c r="FM891" s="85"/>
      <c r="FN891" s="85"/>
      <c r="FO891" s="85"/>
      <c r="FP891" s="85"/>
      <c r="FQ891" s="85"/>
      <c r="FR891" s="85"/>
      <c r="FS891" s="85"/>
      <c r="FT891" s="85"/>
      <c r="FU891" s="85"/>
      <c r="FV891" s="85"/>
      <c r="FW891" s="85"/>
      <c r="FX891" s="85"/>
      <c r="FY891" s="85"/>
      <c r="FZ891" s="85"/>
      <c r="GA891" s="85"/>
      <c r="GB891" s="85"/>
      <c r="GC891" s="85"/>
      <c r="GD891" s="85"/>
      <c r="GE891" s="85"/>
      <c r="GF891" s="85"/>
      <c r="GG891" s="85"/>
      <c r="GH891" s="85"/>
      <c r="GI891" s="85"/>
      <c r="GJ891" s="85"/>
      <c r="GK891" s="85"/>
      <c r="GL891" s="85"/>
      <c r="GM891" s="85"/>
      <c r="GN891" s="85"/>
      <c r="GO891" s="85"/>
      <c r="GP891" s="85"/>
      <c r="GQ891" s="85"/>
      <c r="GR891" s="85"/>
      <c r="GS891" s="85"/>
      <c r="GT891" s="85"/>
      <c r="GU891" s="85"/>
      <c r="GV891" s="85"/>
      <c r="GW891" s="85"/>
      <c r="GX891" s="85"/>
      <c r="GY891" s="85"/>
      <c r="GZ891" s="85"/>
      <c r="HA891" s="85"/>
      <c r="HB891" s="85"/>
      <c r="HC891" s="85"/>
      <c r="HD891" s="85"/>
      <c r="HE891" s="85"/>
      <c r="HF891" s="85"/>
      <c r="HG891" s="85"/>
      <c r="HH891" s="85"/>
      <c r="HI891" s="85"/>
      <c r="HJ891" s="85"/>
      <c r="HK891" s="85"/>
      <c r="HL891" s="85"/>
      <c r="HM891" s="85"/>
      <c r="HN891" s="85"/>
      <c r="HO891" s="85"/>
      <c r="HP891" s="85"/>
      <c r="HQ891" s="85"/>
      <c r="HR891" s="85"/>
      <c r="HS891" s="85"/>
      <c r="HT891" s="85"/>
      <c r="HU891" s="85"/>
      <c r="HV891" s="85"/>
      <c r="HW891" s="85"/>
      <c r="HX891" s="85"/>
      <c r="HY891" s="85"/>
      <c r="HZ891" s="85"/>
      <c r="IA891" s="85"/>
      <c r="IB891" s="85"/>
      <c r="IC891" s="85"/>
      <c r="ID891" s="85"/>
      <c r="IE891" s="85"/>
      <c r="IF891" s="85"/>
      <c r="IG891" s="85"/>
      <c r="IH891" s="85"/>
      <c r="II891" s="85"/>
      <c r="IJ891" s="85"/>
      <c r="IK891" s="85"/>
      <c r="IL891" s="85"/>
      <c r="IM891" s="85"/>
      <c r="IN891" s="85"/>
      <c r="IO891" s="85"/>
      <c r="IP891" s="85"/>
      <c r="IQ891" s="85"/>
      <c r="IR891" s="85"/>
      <c r="IS891" s="85"/>
      <c r="IT891" s="85"/>
      <c r="IU891" s="85"/>
      <c r="IV891" s="85"/>
      <c r="IW891" s="85"/>
      <c r="IX891" s="85"/>
      <c r="IY891" s="85"/>
      <c r="IZ891" s="85"/>
      <c r="JA891" s="85"/>
      <c r="JB891" s="85"/>
      <c r="JC891" s="85"/>
      <c r="JD891" s="85"/>
      <c r="JE891" s="85"/>
      <c r="JF891" s="85"/>
      <c r="JG891" s="85"/>
      <c r="JH891" s="85"/>
      <c r="JI891" s="85"/>
      <c r="JJ891" s="85"/>
      <c r="JK891" s="85"/>
      <c r="JL891" s="85"/>
      <c r="JM891" s="85"/>
      <c r="JN891" s="85"/>
      <c r="JO891" s="85"/>
      <c r="JP891" s="85"/>
      <c r="JQ891" s="85"/>
      <c r="JR891" s="85"/>
      <c r="JS891" s="85"/>
      <c r="JT891" s="85"/>
      <c r="JU891" s="85"/>
      <c r="JV891" s="85"/>
      <c r="JW891" s="85"/>
      <c r="JX891" s="85"/>
      <c r="JY891" s="85"/>
      <c r="JZ891" s="85"/>
      <c r="KA891" s="85"/>
      <c r="KB891" s="85"/>
      <c r="KC891" s="85"/>
      <c r="KD891" s="85"/>
      <c r="KE891" s="85"/>
      <c r="KF891" s="85"/>
      <c r="KG891" s="85"/>
      <c r="KH891" s="85"/>
      <c r="KI891" s="85"/>
      <c r="KJ891" s="85"/>
      <c r="KK891" s="85"/>
      <c r="KL891" s="85"/>
      <c r="KM891" s="85"/>
      <c r="KN891" s="85"/>
      <c r="KO891" s="85"/>
      <c r="KP891" s="85"/>
      <c r="KQ891" s="85"/>
      <c r="KR891" s="85"/>
      <c r="KS891" s="85"/>
      <c r="KT891" s="85"/>
      <c r="KU891" s="85"/>
      <c r="KV891" s="85"/>
      <c r="KW891" s="85"/>
      <c r="KX891" s="85"/>
      <c r="KY891" s="85"/>
      <c r="KZ891" s="85"/>
      <c r="LA891" s="85"/>
      <c r="LB891" s="85"/>
      <c r="LC891" s="85"/>
      <c r="LD891" s="85"/>
      <c r="LE891" s="85"/>
      <c r="LF891" s="85"/>
      <c r="LG891" s="85"/>
      <c r="LH891" s="85"/>
      <c r="LI891" s="85"/>
      <c r="LJ891" s="85"/>
      <c r="LK891" s="85"/>
      <c r="LL891" s="85"/>
      <c r="LM891" s="85"/>
      <c r="LN891" s="85"/>
      <c r="LO891" s="85"/>
      <c r="LP891" s="85"/>
      <c r="LQ891" s="85"/>
      <c r="LR891" s="85"/>
      <c r="LS891" s="85"/>
      <c r="LT891" s="85"/>
      <c r="LU891" s="85"/>
      <c r="LV891" s="85"/>
      <c r="LW891" s="85"/>
      <c r="LX891" s="85"/>
      <c r="LY891" s="85"/>
      <c r="LZ891" s="85"/>
      <c r="MA891" s="85"/>
      <c r="MB891" s="85"/>
      <c r="MC891" s="85"/>
      <c r="MD891" s="85"/>
      <c r="ME891" s="85"/>
      <c r="MF891" s="85"/>
      <c r="MG891" s="85"/>
      <c r="MH891" s="85"/>
      <c r="MI891" s="85"/>
      <c r="MJ891" s="85"/>
      <c r="MK891" s="85"/>
      <c r="ML891" s="85"/>
      <c r="MM891" s="85"/>
      <c r="MN891" s="85"/>
      <c r="MO891" s="85"/>
      <c r="MP891" s="85"/>
      <c r="MQ891" s="85"/>
      <c r="MR891" s="85"/>
      <c r="MS891" s="85"/>
      <c r="MT891" s="85"/>
      <c r="MU891" s="85"/>
      <c r="MV891" s="85"/>
      <c r="MW891" s="85"/>
      <c r="MX891" s="85"/>
      <c r="MY891" s="85"/>
      <c r="MZ891" s="85"/>
      <c r="NA891" s="85"/>
      <c r="NB891" s="85"/>
      <c r="NC891" s="85"/>
      <c r="ND891" s="85"/>
      <c r="NE891" s="85"/>
      <c r="NF891" s="85"/>
      <c r="NG891" s="85"/>
      <c r="NH891" s="85"/>
      <c r="NI891" s="85"/>
      <c r="NJ891" s="85"/>
      <c r="NK891" s="85"/>
      <c r="NL891" s="85"/>
      <c r="NM891" s="85"/>
      <c r="NN891" s="85"/>
      <c r="NO891" s="85"/>
      <c r="NP891" s="85"/>
      <c r="NQ891" s="85"/>
      <c r="NR891" s="85"/>
      <c r="NS891" s="85"/>
      <c r="NT891" s="85"/>
      <c r="NU891" s="85"/>
      <c r="NV891" s="85"/>
      <c r="NW891" s="85"/>
      <c r="NX891" s="85"/>
      <c r="NY891" s="85"/>
      <c r="NZ891" s="85"/>
      <c r="OA891" s="85"/>
      <c r="OB891" s="85"/>
      <c r="OC891" s="85"/>
      <c r="OD891" s="85"/>
      <c r="OE891" s="85"/>
      <c r="OF891" s="85"/>
      <c r="OG891" s="85"/>
      <c r="OH891" s="85"/>
      <c r="OI891" s="85"/>
      <c r="OJ891" s="85"/>
      <c r="OK891" s="85"/>
      <c r="OL891" s="85"/>
      <c r="OM891" s="85"/>
      <c r="ON891" s="85"/>
      <c r="OO891" s="85"/>
      <c r="OP891" s="85"/>
      <c r="OQ891" s="85"/>
      <c r="OR891" s="85"/>
      <c r="OS891" s="85"/>
      <c r="OT891" s="85"/>
      <c r="OU891" s="85"/>
      <c r="OV891" s="85"/>
      <c r="OW891" s="85"/>
      <c r="OX891" s="85"/>
      <c r="OY891" s="85"/>
      <c r="OZ891" s="85"/>
      <c r="PA891" s="85"/>
      <c r="PB891" s="85"/>
      <c r="PC891" s="85"/>
      <c r="PD891" s="85"/>
      <c r="PE891" s="85"/>
      <c r="PF891" s="85"/>
      <c r="PG891" s="85"/>
      <c r="PH891" s="85"/>
      <c r="PI891" s="85"/>
      <c r="PJ891" s="85"/>
      <c r="PK891" s="85"/>
      <c r="PL891" s="85"/>
      <c r="PM891" s="85"/>
      <c r="PN891" s="85"/>
      <c r="PO891" s="85"/>
      <c r="PP891" s="85"/>
      <c r="PQ891" s="85"/>
      <c r="PR891" s="85"/>
      <c r="PS891" s="85"/>
      <c r="PT891" s="85"/>
      <c r="PU891" s="85"/>
      <c r="PV891" s="85"/>
      <c r="PW891" s="85"/>
      <c r="PX891" s="85"/>
      <c r="PY891" s="85"/>
      <c r="PZ891" s="85"/>
      <c r="QA891" s="85"/>
      <c r="QB891" s="85"/>
      <c r="QC891" s="85"/>
      <c r="QD891" s="85"/>
      <c r="QE891" s="85"/>
      <c r="QF891" s="85"/>
      <c r="QG891" s="85"/>
      <c r="QH891" s="85"/>
      <c r="QI891" s="85"/>
      <c r="QJ891" s="85"/>
      <c r="QK891" s="85"/>
      <c r="QL891" s="85"/>
      <c r="QM891" s="85"/>
      <c r="QN891" s="85"/>
      <c r="QO891" s="85"/>
      <c r="QP891" s="85"/>
      <c r="QQ891" s="85"/>
      <c r="QR891" s="85"/>
      <c r="QS891" s="85"/>
      <c r="QT891" s="85"/>
      <c r="QU891" s="85"/>
      <c r="QV891" s="85"/>
      <c r="QW891" s="85"/>
      <c r="QX891" s="85"/>
      <c r="QY891" s="85"/>
      <c r="QZ891" s="85"/>
      <c r="RA891" s="85"/>
      <c r="RB891" s="85"/>
      <c r="RC891" s="85"/>
      <c r="RD891" s="85"/>
      <c r="RE891" s="85"/>
      <c r="RF891" s="85"/>
      <c r="RG891" s="85"/>
      <c r="RH891" s="85"/>
      <c r="RI891" s="85"/>
      <c r="RJ891" s="85"/>
      <c r="RK891" s="85"/>
      <c r="RL891" s="85"/>
      <c r="RM891" s="85"/>
      <c r="RN891" s="85"/>
      <c r="RO891" s="85"/>
      <c r="RP891" s="85"/>
      <c r="RQ891" s="85"/>
      <c r="RR891" s="85"/>
      <c r="RS891" s="85"/>
      <c r="RT891" s="85"/>
      <c r="RU891" s="85"/>
      <c r="RV891" s="85"/>
      <c r="RW891" s="85"/>
      <c r="RX891" s="85"/>
      <c r="RY891" s="85"/>
      <c r="RZ891" s="85"/>
      <c r="SA891" s="85"/>
      <c r="SB891" s="85"/>
      <c r="SC891" s="85"/>
      <c r="SD891" s="85"/>
      <c r="SE891" s="85"/>
      <c r="SF891" s="85"/>
      <c r="SG891" s="85"/>
      <c r="SH891" s="85"/>
      <c r="SI891" s="85"/>
      <c r="SJ891" s="85"/>
      <c r="SK891" s="85"/>
      <c r="SL891" s="85"/>
      <c r="SM891" s="85"/>
      <c r="SN891" s="85"/>
      <c r="SO891" s="85"/>
      <c r="SP891" s="85"/>
      <c r="SQ891" s="85"/>
      <c r="SR891" s="85"/>
      <c r="SS891" s="85"/>
      <c r="ST891" s="85"/>
      <c r="SU891" s="85"/>
      <c r="SV891" s="85"/>
      <c r="SW891" s="85"/>
      <c r="SX891" s="85"/>
      <c r="SY891" s="85"/>
      <c r="SZ891" s="85"/>
      <c r="TA891" s="85"/>
      <c r="TB891" s="85"/>
      <c r="TC891" s="85"/>
      <c r="TD891" s="85"/>
      <c r="TE891" s="85"/>
      <c r="TF891" s="85"/>
      <c r="TG891" s="85"/>
      <c r="TH891" s="85"/>
      <c r="TI891" s="85"/>
      <c r="TJ891" s="85"/>
      <c r="TK891" s="85"/>
      <c r="TL891" s="85"/>
    </row>
    <row r="892" spans="1:532" s="85" customFormat="1" ht="12.75" customHeight="1">
      <c r="A892" s="122" t="s">
        <v>488</v>
      </c>
      <c r="B892" s="240" t="s">
        <v>489</v>
      </c>
      <c r="C892" s="124"/>
      <c r="D892" s="124"/>
      <c r="E892" s="173">
        <v>86703253.769999996</v>
      </c>
      <c r="F892" s="146"/>
      <c r="G892" s="138"/>
      <c r="H892" s="98"/>
      <c r="I892" s="140">
        <f t="shared" ref="I892:N892" si="43">SUM(I893)</f>
        <v>0</v>
      </c>
      <c r="J892" s="140">
        <f t="shared" si="43"/>
        <v>0</v>
      </c>
      <c r="K892" s="140">
        <f t="shared" si="43"/>
        <v>0</v>
      </c>
      <c r="L892" s="140">
        <f t="shared" si="43"/>
        <v>0</v>
      </c>
      <c r="M892" s="140">
        <f t="shared" si="43"/>
        <v>0</v>
      </c>
      <c r="N892" s="140">
        <f t="shared" si="43"/>
        <v>86703253.769999996</v>
      </c>
    </row>
    <row r="893" spans="1:532" s="85" customFormat="1" ht="12.75" customHeight="1">
      <c r="A893" s="122"/>
      <c r="B893" s="240"/>
      <c r="C893" s="124"/>
      <c r="D893" s="124"/>
      <c r="E893" s="124"/>
      <c r="F893" s="146" t="s">
        <v>484</v>
      </c>
      <c r="G893" s="138"/>
      <c r="H893" s="98"/>
      <c r="I893" s="125"/>
      <c r="J893" s="125"/>
      <c r="K893" s="125"/>
      <c r="L893" s="125"/>
      <c r="M893" s="125"/>
      <c r="N893" s="124">
        <f>+E892-D892</f>
        <v>86703253.769999996</v>
      </c>
    </row>
    <row r="894" spans="1:532" s="135" customFormat="1" ht="12.75" customHeight="1">
      <c r="A894" s="111"/>
      <c r="B894" s="243"/>
      <c r="C894" s="112"/>
      <c r="D894" s="112"/>
      <c r="E894" s="112"/>
      <c r="F894" s="253"/>
      <c r="G894" s="134"/>
      <c r="H894" s="114"/>
      <c r="I894" s="115"/>
      <c r="J894" s="115"/>
      <c r="K894" s="115"/>
      <c r="L894" s="115"/>
      <c r="M894" s="115"/>
      <c r="N894" s="116"/>
      <c r="O894" s="85"/>
      <c r="P894" s="85"/>
      <c r="Q894" s="85"/>
      <c r="R894" s="85"/>
      <c r="S894" s="85"/>
      <c r="T894" s="85"/>
      <c r="U894" s="85"/>
      <c r="V894" s="85"/>
      <c r="W894" s="85"/>
      <c r="X894" s="85"/>
      <c r="Y894" s="85"/>
      <c r="Z894" s="85"/>
      <c r="AA894" s="85"/>
      <c r="AB894" s="85"/>
      <c r="AC894" s="85"/>
      <c r="AD894" s="85"/>
      <c r="AE894" s="85"/>
      <c r="AF894" s="85"/>
      <c r="AG894" s="85"/>
      <c r="AH894" s="85"/>
      <c r="AI894" s="85"/>
      <c r="AJ894" s="85"/>
      <c r="AK894" s="85"/>
      <c r="AL894" s="85"/>
      <c r="AM894" s="85"/>
      <c r="AN894" s="85"/>
      <c r="AO894" s="85"/>
      <c r="AP894" s="85"/>
      <c r="AQ894" s="85"/>
      <c r="AR894" s="85"/>
      <c r="AS894" s="85"/>
      <c r="AT894" s="85"/>
      <c r="AU894" s="85"/>
      <c r="AV894" s="85"/>
      <c r="AW894" s="85"/>
      <c r="AX894" s="85"/>
      <c r="AY894" s="85"/>
      <c r="AZ894" s="85"/>
      <c r="BA894" s="85"/>
      <c r="BB894" s="85"/>
      <c r="BC894" s="85"/>
      <c r="BD894" s="85"/>
      <c r="BE894" s="85"/>
      <c r="BF894" s="85"/>
      <c r="BG894" s="85"/>
      <c r="BH894" s="85"/>
      <c r="BI894" s="85"/>
      <c r="BJ894" s="85"/>
      <c r="BK894" s="85"/>
      <c r="BL894" s="85"/>
      <c r="BM894" s="85"/>
      <c r="BN894" s="85"/>
      <c r="BO894" s="85"/>
      <c r="BP894" s="85"/>
      <c r="BQ894" s="85"/>
      <c r="BR894" s="85"/>
      <c r="BS894" s="85"/>
      <c r="BT894" s="85"/>
      <c r="BU894" s="85"/>
      <c r="BV894" s="85"/>
      <c r="BW894" s="85"/>
      <c r="BX894" s="85"/>
      <c r="BY894" s="85"/>
      <c r="BZ894" s="85"/>
      <c r="CA894" s="85"/>
      <c r="CB894" s="85"/>
      <c r="CC894" s="85"/>
      <c r="CD894" s="85"/>
      <c r="CE894" s="85"/>
      <c r="CF894" s="85"/>
      <c r="CG894" s="85"/>
      <c r="CH894" s="85"/>
      <c r="CI894" s="85"/>
      <c r="CJ894" s="85"/>
      <c r="CK894" s="85"/>
      <c r="CL894" s="85"/>
      <c r="CM894" s="85"/>
      <c r="CN894" s="85"/>
      <c r="CO894" s="85"/>
      <c r="CP894" s="85"/>
      <c r="CQ894" s="85"/>
      <c r="CR894" s="85"/>
      <c r="CS894" s="85"/>
      <c r="CT894" s="85"/>
      <c r="CU894" s="85"/>
      <c r="CV894" s="85"/>
      <c r="CW894" s="85"/>
      <c r="CX894" s="85"/>
      <c r="CY894" s="85"/>
      <c r="CZ894" s="85"/>
      <c r="DA894" s="85"/>
      <c r="DB894" s="85"/>
      <c r="DC894" s="85"/>
      <c r="DD894" s="85"/>
      <c r="DE894" s="85"/>
      <c r="DF894" s="85"/>
      <c r="DG894" s="85"/>
      <c r="DH894" s="85"/>
      <c r="DI894" s="85"/>
      <c r="DJ894" s="85"/>
      <c r="DK894" s="85"/>
      <c r="DL894" s="85"/>
      <c r="DM894" s="85"/>
      <c r="DN894" s="85"/>
      <c r="DO894" s="85"/>
      <c r="DP894" s="85"/>
      <c r="DQ894" s="85"/>
      <c r="DR894" s="85"/>
      <c r="DS894" s="85"/>
      <c r="DT894" s="85"/>
      <c r="DU894" s="85"/>
      <c r="DV894" s="85"/>
      <c r="DW894" s="85"/>
      <c r="DX894" s="85"/>
      <c r="DY894" s="85"/>
      <c r="DZ894" s="85"/>
      <c r="EA894" s="85"/>
      <c r="EB894" s="85"/>
      <c r="EC894" s="85"/>
      <c r="ED894" s="85"/>
      <c r="EE894" s="85"/>
      <c r="EF894" s="85"/>
      <c r="EG894" s="85"/>
      <c r="EH894" s="85"/>
      <c r="EI894" s="85"/>
      <c r="EJ894" s="85"/>
      <c r="EK894" s="85"/>
      <c r="EL894" s="85"/>
      <c r="EM894" s="85"/>
      <c r="EN894" s="85"/>
      <c r="EO894" s="85"/>
      <c r="EP894" s="85"/>
      <c r="EQ894" s="85"/>
      <c r="ER894" s="85"/>
      <c r="ES894" s="85"/>
      <c r="ET894" s="85"/>
      <c r="EU894" s="85"/>
      <c r="EV894" s="85"/>
      <c r="EW894" s="85"/>
      <c r="EX894" s="85"/>
      <c r="EY894" s="85"/>
      <c r="EZ894" s="85"/>
      <c r="FA894" s="85"/>
      <c r="FB894" s="85"/>
      <c r="FC894" s="85"/>
      <c r="FD894" s="85"/>
      <c r="FE894" s="85"/>
      <c r="FF894" s="85"/>
      <c r="FG894" s="85"/>
      <c r="FH894" s="85"/>
      <c r="FI894" s="85"/>
      <c r="FJ894" s="85"/>
      <c r="FK894" s="85"/>
      <c r="FL894" s="85"/>
      <c r="FM894" s="85"/>
      <c r="FN894" s="85"/>
      <c r="FO894" s="85"/>
      <c r="FP894" s="85"/>
      <c r="FQ894" s="85"/>
      <c r="FR894" s="85"/>
      <c r="FS894" s="85"/>
      <c r="FT894" s="85"/>
      <c r="FU894" s="85"/>
      <c r="FV894" s="85"/>
      <c r="FW894" s="85"/>
      <c r="FX894" s="85"/>
      <c r="FY894" s="85"/>
      <c r="FZ894" s="85"/>
      <c r="GA894" s="85"/>
      <c r="GB894" s="85"/>
      <c r="GC894" s="85"/>
      <c r="GD894" s="85"/>
      <c r="GE894" s="85"/>
      <c r="GF894" s="85"/>
      <c r="GG894" s="85"/>
      <c r="GH894" s="85"/>
      <c r="GI894" s="85"/>
      <c r="GJ894" s="85"/>
      <c r="GK894" s="85"/>
      <c r="GL894" s="85"/>
      <c r="GM894" s="85"/>
      <c r="GN894" s="85"/>
      <c r="GO894" s="85"/>
      <c r="GP894" s="85"/>
      <c r="GQ894" s="85"/>
      <c r="GR894" s="85"/>
      <c r="GS894" s="85"/>
      <c r="GT894" s="85"/>
      <c r="GU894" s="85"/>
      <c r="GV894" s="85"/>
      <c r="GW894" s="85"/>
      <c r="GX894" s="85"/>
      <c r="GY894" s="85"/>
      <c r="GZ894" s="85"/>
      <c r="HA894" s="85"/>
      <c r="HB894" s="85"/>
      <c r="HC894" s="85"/>
      <c r="HD894" s="85"/>
      <c r="HE894" s="85"/>
      <c r="HF894" s="85"/>
      <c r="HG894" s="85"/>
      <c r="HH894" s="85"/>
      <c r="HI894" s="85"/>
      <c r="HJ894" s="85"/>
      <c r="HK894" s="85"/>
      <c r="HL894" s="85"/>
      <c r="HM894" s="85"/>
      <c r="HN894" s="85"/>
      <c r="HO894" s="85"/>
      <c r="HP894" s="85"/>
      <c r="HQ894" s="85"/>
      <c r="HR894" s="85"/>
      <c r="HS894" s="85"/>
      <c r="HT894" s="85"/>
      <c r="HU894" s="85"/>
      <c r="HV894" s="85"/>
      <c r="HW894" s="85"/>
      <c r="HX894" s="85"/>
      <c r="HY894" s="85"/>
      <c r="HZ894" s="85"/>
      <c r="IA894" s="85"/>
      <c r="IB894" s="85"/>
      <c r="IC894" s="85"/>
      <c r="ID894" s="85"/>
      <c r="IE894" s="85"/>
      <c r="IF894" s="85"/>
      <c r="IG894" s="85"/>
      <c r="IH894" s="85"/>
      <c r="II894" s="85"/>
      <c r="IJ894" s="85"/>
      <c r="IK894" s="85"/>
      <c r="IL894" s="85"/>
      <c r="IM894" s="85"/>
      <c r="IN894" s="85"/>
      <c r="IO894" s="85"/>
      <c r="IP894" s="85"/>
      <c r="IQ894" s="85"/>
      <c r="IR894" s="85"/>
      <c r="IS894" s="85"/>
      <c r="IT894" s="85"/>
      <c r="IU894" s="85"/>
      <c r="IV894" s="85"/>
      <c r="IW894" s="85"/>
      <c r="IX894" s="85"/>
      <c r="IY894" s="85"/>
      <c r="IZ894" s="85"/>
      <c r="JA894" s="85"/>
      <c r="JB894" s="85"/>
      <c r="JC894" s="85"/>
      <c r="JD894" s="85"/>
      <c r="JE894" s="85"/>
      <c r="JF894" s="85"/>
      <c r="JG894" s="85"/>
      <c r="JH894" s="85"/>
      <c r="JI894" s="85"/>
      <c r="JJ894" s="85"/>
      <c r="JK894" s="85"/>
      <c r="JL894" s="85"/>
      <c r="JM894" s="85"/>
      <c r="JN894" s="85"/>
      <c r="JO894" s="85"/>
      <c r="JP894" s="85"/>
      <c r="JQ894" s="85"/>
      <c r="JR894" s="85"/>
      <c r="JS894" s="85"/>
      <c r="JT894" s="85"/>
      <c r="JU894" s="85"/>
      <c r="JV894" s="85"/>
      <c r="JW894" s="85"/>
      <c r="JX894" s="85"/>
      <c r="JY894" s="85"/>
      <c r="JZ894" s="85"/>
      <c r="KA894" s="85"/>
      <c r="KB894" s="85"/>
      <c r="KC894" s="85"/>
      <c r="KD894" s="85"/>
      <c r="KE894" s="85"/>
      <c r="KF894" s="85"/>
      <c r="KG894" s="85"/>
      <c r="KH894" s="85"/>
      <c r="KI894" s="85"/>
      <c r="KJ894" s="85"/>
      <c r="KK894" s="85"/>
      <c r="KL894" s="85"/>
      <c r="KM894" s="85"/>
      <c r="KN894" s="85"/>
      <c r="KO894" s="85"/>
      <c r="KP894" s="85"/>
      <c r="KQ894" s="85"/>
      <c r="KR894" s="85"/>
      <c r="KS894" s="85"/>
      <c r="KT894" s="85"/>
      <c r="KU894" s="85"/>
      <c r="KV894" s="85"/>
      <c r="KW894" s="85"/>
      <c r="KX894" s="85"/>
      <c r="KY894" s="85"/>
      <c r="KZ894" s="85"/>
      <c r="LA894" s="85"/>
      <c r="LB894" s="85"/>
      <c r="LC894" s="85"/>
      <c r="LD894" s="85"/>
      <c r="LE894" s="85"/>
      <c r="LF894" s="85"/>
      <c r="LG894" s="85"/>
      <c r="LH894" s="85"/>
      <c r="LI894" s="85"/>
      <c r="LJ894" s="85"/>
      <c r="LK894" s="85"/>
      <c r="LL894" s="85"/>
      <c r="LM894" s="85"/>
      <c r="LN894" s="85"/>
      <c r="LO894" s="85"/>
      <c r="LP894" s="85"/>
      <c r="LQ894" s="85"/>
      <c r="LR894" s="85"/>
      <c r="LS894" s="85"/>
      <c r="LT894" s="85"/>
      <c r="LU894" s="85"/>
      <c r="LV894" s="85"/>
      <c r="LW894" s="85"/>
      <c r="LX894" s="85"/>
      <c r="LY894" s="85"/>
      <c r="LZ894" s="85"/>
      <c r="MA894" s="85"/>
      <c r="MB894" s="85"/>
      <c r="MC894" s="85"/>
      <c r="MD894" s="85"/>
      <c r="ME894" s="85"/>
      <c r="MF894" s="85"/>
      <c r="MG894" s="85"/>
      <c r="MH894" s="85"/>
      <c r="MI894" s="85"/>
      <c r="MJ894" s="85"/>
      <c r="MK894" s="85"/>
      <c r="ML894" s="85"/>
      <c r="MM894" s="85"/>
      <c r="MN894" s="85"/>
      <c r="MO894" s="85"/>
      <c r="MP894" s="85"/>
      <c r="MQ894" s="85"/>
      <c r="MR894" s="85"/>
      <c r="MS894" s="85"/>
      <c r="MT894" s="85"/>
      <c r="MU894" s="85"/>
      <c r="MV894" s="85"/>
      <c r="MW894" s="85"/>
      <c r="MX894" s="85"/>
      <c r="MY894" s="85"/>
      <c r="MZ894" s="85"/>
      <c r="NA894" s="85"/>
      <c r="NB894" s="85"/>
      <c r="NC894" s="85"/>
      <c r="ND894" s="85"/>
      <c r="NE894" s="85"/>
      <c r="NF894" s="85"/>
      <c r="NG894" s="85"/>
      <c r="NH894" s="85"/>
      <c r="NI894" s="85"/>
      <c r="NJ894" s="85"/>
      <c r="NK894" s="85"/>
      <c r="NL894" s="85"/>
      <c r="NM894" s="85"/>
      <c r="NN894" s="85"/>
      <c r="NO894" s="85"/>
      <c r="NP894" s="85"/>
      <c r="NQ894" s="85"/>
      <c r="NR894" s="85"/>
      <c r="NS894" s="85"/>
      <c r="NT894" s="85"/>
      <c r="NU894" s="85"/>
      <c r="NV894" s="85"/>
      <c r="NW894" s="85"/>
      <c r="NX894" s="85"/>
      <c r="NY894" s="85"/>
      <c r="NZ894" s="85"/>
      <c r="OA894" s="85"/>
      <c r="OB894" s="85"/>
      <c r="OC894" s="85"/>
      <c r="OD894" s="85"/>
      <c r="OE894" s="85"/>
      <c r="OF894" s="85"/>
      <c r="OG894" s="85"/>
      <c r="OH894" s="85"/>
      <c r="OI894" s="85"/>
      <c r="OJ894" s="85"/>
      <c r="OK894" s="85"/>
      <c r="OL894" s="85"/>
      <c r="OM894" s="85"/>
      <c r="ON894" s="85"/>
      <c r="OO894" s="85"/>
      <c r="OP894" s="85"/>
      <c r="OQ894" s="85"/>
      <c r="OR894" s="85"/>
      <c r="OS894" s="85"/>
      <c r="OT894" s="85"/>
      <c r="OU894" s="85"/>
      <c r="OV894" s="85"/>
      <c r="OW894" s="85"/>
      <c r="OX894" s="85"/>
      <c r="OY894" s="85"/>
      <c r="OZ894" s="85"/>
      <c r="PA894" s="85"/>
      <c r="PB894" s="85"/>
      <c r="PC894" s="85"/>
      <c r="PD894" s="85"/>
      <c r="PE894" s="85"/>
      <c r="PF894" s="85"/>
      <c r="PG894" s="85"/>
      <c r="PH894" s="85"/>
      <c r="PI894" s="85"/>
      <c r="PJ894" s="85"/>
      <c r="PK894" s="85"/>
      <c r="PL894" s="85"/>
      <c r="PM894" s="85"/>
      <c r="PN894" s="85"/>
      <c r="PO894" s="85"/>
      <c r="PP894" s="85"/>
      <c r="PQ894" s="85"/>
      <c r="PR894" s="85"/>
      <c r="PS894" s="85"/>
      <c r="PT894" s="85"/>
      <c r="PU894" s="85"/>
      <c r="PV894" s="85"/>
      <c r="PW894" s="85"/>
      <c r="PX894" s="85"/>
      <c r="PY894" s="85"/>
      <c r="PZ894" s="85"/>
      <c r="QA894" s="85"/>
      <c r="QB894" s="85"/>
      <c r="QC894" s="85"/>
      <c r="QD894" s="85"/>
      <c r="QE894" s="85"/>
      <c r="QF894" s="85"/>
      <c r="QG894" s="85"/>
      <c r="QH894" s="85"/>
      <c r="QI894" s="85"/>
      <c r="QJ894" s="85"/>
      <c r="QK894" s="85"/>
      <c r="QL894" s="85"/>
      <c r="QM894" s="85"/>
      <c r="QN894" s="85"/>
      <c r="QO894" s="85"/>
      <c r="QP894" s="85"/>
      <c r="QQ894" s="85"/>
      <c r="QR894" s="85"/>
      <c r="QS894" s="85"/>
      <c r="QT894" s="85"/>
      <c r="QU894" s="85"/>
      <c r="QV894" s="85"/>
      <c r="QW894" s="85"/>
      <c r="QX894" s="85"/>
      <c r="QY894" s="85"/>
      <c r="QZ894" s="85"/>
      <c r="RA894" s="85"/>
      <c r="RB894" s="85"/>
      <c r="RC894" s="85"/>
      <c r="RD894" s="85"/>
      <c r="RE894" s="85"/>
      <c r="RF894" s="85"/>
      <c r="RG894" s="85"/>
      <c r="RH894" s="85"/>
      <c r="RI894" s="85"/>
      <c r="RJ894" s="85"/>
      <c r="RK894" s="85"/>
      <c r="RL894" s="85"/>
      <c r="RM894" s="85"/>
      <c r="RN894" s="85"/>
      <c r="RO894" s="85"/>
      <c r="RP894" s="85"/>
      <c r="RQ894" s="85"/>
      <c r="RR894" s="85"/>
      <c r="RS894" s="85"/>
      <c r="RT894" s="85"/>
      <c r="RU894" s="85"/>
      <c r="RV894" s="85"/>
      <c r="RW894" s="85"/>
      <c r="RX894" s="85"/>
      <c r="RY894" s="85"/>
      <c r="RZ894" s="85"/>
      <c r="SA894" s="85"/>
      <c r="SB894" s="85"/>
      <c r="SC894" s="85"/>
      <c r="SD894" s="85"/>
      <c r="SE894" s="85"/>
      <c r="SF894" s="85"/>
      <c r="SG894" s="85"/>
      <c r="SH894" s="85"/>
      <c r="SI894" s="85"/>
      <c r="SJ894" s="85"/>
      <c r="SK894" s="85"/>
      <c r="SL894" s="85"/>
      <c r="SM894" s="85"/>
      <c r="SN894" s="85"/>
      <c r="SO894" s="85"/>
      <c r="SP894" s="85"/>
      <c r="SQ894" s="85"/>
      <c r="SR894" s="85"/>
      <c r="SS894" s="85"/>
      <c r="ST894" s="85"/>
      <c r="SU894" s="85"/>
      <c r="SV894" s="85"/>
      <c r="SW894" s="85"/>
      <c r="SX894" s="85"/>
      <c r="SY894" s="85"/>
      <c r="SZ894" s="85"/>
      <c r="TA894" s="85"/>
      <c r="TB894" s="85"/>
      <c r="TC894" s="85"/>
      <c r="TD894" s="85"/>
      <c r="TE894" s="85"/>
      <c r="TF894" s="85"/>
      <c r="TG894" s="85"/>
      <c r="TH894" s="85"/>
      <c r="TI894" s="85"/>
      <c r="TJ894" s="85"/>
      <c r="TK894" s="85"/>
      <c r="TL894" s="85"/>
    </row>
    <row r="895" spans="1:532" s="85" customFormat="1" ht="12.75" customHeight="1">
      <c r="A895" s="122" t="s">
        <v>490</v>
      </c>
      <c r="B895" s="240" t="s">
        <v>491</v>
      </c>
      <c r="C895" s="124"/>
      <c r="D895" s="124">
        <f>+'[2]EXTRA 2'!C853</f>
        <v>13500000</v>
      </c>
      <c r="E895" s="173">
        <v>40920214.659999996</v>
      </c>
      <c r="F895" s="146"/>
      <c r="G895" s="157"/>
      <c r="H895" s="98"/>
      <c r="I895" s="140">
        <f t="shared" ref="I895:N895" si="44">SUM(I896:I897)</f>
        <v>12607084.689999999</v>
      </c>
      <c r="J895" s="140">
        <f t="shared" si="44"/>
        <v>12607084.689999999</v>
      </c>
      <c r="K895" s="140">
        <f t="shared" si="44"/>
        <v>0</v>
      </c>
      <c r="L895" s="140">
        <f t="shared" si="44"/>
        <v>0</v>
      </c>
      <c r="M895" s="140">
        <f t="shared" si="44"/>
        <v>0</v>
      </c>
      <c r="N895" s="140">
        <f t="shared" si="44"/>
        <v>28313129.969999999</v>
      </c>
    </row>
    <row r="896" spans="1:532" s="85" customFormat="1" ht="12.75" customHeight="1">
      <c r="A896" s="122"/>
      <c r="B896" s="240"/>
      <c r="C896" s="124"/>
      <c r="D896" s="124"/>
      <c r="E896" s="173"/>
      <c r="F896" s="146"/>
      <c r="G896" s="157" t="s">
        <v>491</v>
      </c>
      <c r="H896" s="98" t="s">
        <v>82</v>
      </c>
      <c r="I896" s="125">
        <v>12607084.689999999</v>
      </c>
      <c r="J896" s="125">
        <f>+I896</f>
        <v>12607084.689999999</v>
      </c>
      <c r="K896" s="125"/>
      <c r="L896" s="125"/>
      <c r="M896" s="125"/>
      <c r="N896" s="126">
        <f>+'[2]EXTRA 2'!H855-'3_Detalle Origen y Aplicación'!I896</f>
        <v>892915.31000000052</v>
      </c>
    </row>
    <row r="897" spans="1:532" s="85" customFormat="1" ht="12.75" customHeight="1">
      <c r="A897" s="122"/>
      <c r="B897" s="240"/>
      <c r="C897" s="124"/>
      <c r="D897" s="124"/>
      <c r="E897" s="124"/>
      <c r="F897" s="146" t="s">
        <v>484</v>
      </c>
      <c r="G897" s="138"/>
      <c r="H897" s="98"/>
      <c r="I897" s="125"/>
      <c r="J897" s="125"/>
      <c r="K897" s="125"/>
      <c r="L897" s="125"/>
      <c r="M897" s="125"/>
      <c r="N897" s="126">
        <f>+E895-D895</f>
        <v>27420214.659999996</v>
      </c>
    </row>
    <row r="898" spans="1:532" s="85" customFormat="1" ht="12.75" customHeight="1">
      <c r="A898" s="122"/>
      <c r="B898" s="240"/>
      <c r="C898" s="124"/>
      <c r="D898" s="124"/>
      <c r="E898" s="124"/>
      <c r="F898" s="146"/>
      <c r="G898" s="138"/>
      <c r="H898" s="98"/>
      <c r="I898" s="125"/>
      <c r="J898" s="125"/>
      <c r="K898" s="125"/>
      <c r="L898" s="125"/>
      <c r="M898" s="125"/>
      <c r="N898" s="126"/>
    </row>
    <row r="899" spans="1:532" s="135" customFormat="1" ht="12.75" customHeight="1">
      <c r="A899" s="111"/>
      <c r="B899" s="243"/>
      <c r="C899" s="112"/>
      <c r="D899" s="112"/>
      <c r="E899" s="112"/>
      <c r="F899" s="253"/>
      <c r="G899" s="134"/>
      <c r="H899" s="114"/>
      <c r="I899" s="115"/>
      <c r="J899" s="115"/>
      <c r="K899" s="115"/>
      <c r="L899" s="115"/>
      <c r="M899" s="115"/>
      <c r="N899" s="116"/>
      <c r="O899" s="85"/>
      <c r="P899" s="85"/>
      <c r="Q899" s="85"/>
      <c r="R899" s="85"/>
      <c r="S899" s="85"/>
      <c r="T899" s="85"/>
      <c r="U899" s="85"/>
      <c r="V899" s="85"/>
      <c r="W899" s="85"/>
      <c r="X899" s="85"/>
      <c r="Y899" s="85"/>
      <c r="Z899" s="85"/>
      <c r="AA899" s="85"/>
      <c r="AB899" s="85"/>
      <c r="AC899" s="85"/>
      <c r="AD899" s="85"/>
      <c r="AE899" s="85"/>
      <c r="AF899" s="85"/>
      <c r="AG899" s="85"/>
      <c r="AH899" s="85"/>
      <c r="AI899" s="85"/>
      <c r="AJ899" s="85"/>
      <c r="AK899" s="85"/>
      <c r="AL899" s="85"/>
      <c r="AM899" s="85"/>
      <c r="AN899" s="85"/>
      <c r="AO899" s="85"/>
      <c r="AP899" s="85"/>
      <c r="AQ899" s="85"/>
      <c r="AR899" s="85"/>
      <c r="AS899" s="85"/>
      <c r="AT899" s="85"/>
      <c r="AU899" s="85"/>
      <c r="AV899" s="85"/>
      <c r="AW899" s="85"/>
      <c r="AX899" s="85"/>
      <c r="AY899" s="85"/>
      <c r="AZ899" s="85"/>
      <c r="BA899" s="85"/>
      <c r="BB899" s="85"/>
      <c r="BC899" s="85"/>
      <c r="BD899" s="85"/>
      <c r="BE899" s="85"/>
      <c r="BF899" s="85"/>
      <c r="BG899" s="85"/>
      <c r="BH899" s="85"/>
      <c r="BI899" s="85"/>
      <c r="BJ899" s="85"/>
      <c r="BK899" s="85"/>
      <c r="BL899" s="85"/>
      <c r="BM899" s="85"/>
      <c r="BN899" s="85"/>
      <c r="BO899" s="85"/>
      <c r="BP899" s="85"/>
      <c r="BQ899" s="85"/>
      <c r="BR899" s="85"/>
      <c r="BS899" s="85"/>
      <c r="BT899" s="85"/>
      <c r="BU899" s="85"/>
      <c r="BV899" s="85"/>
      <c r="BW899" s="85"/>
      <c r="BX899" s="85"/>
      <c r="BY899" s="85"/>
      <c r="BZ899" s="85"/>
      <c r="CA899" s="85"/>
      <c r="CB899" s="85"/>
      <c r="CC899" s="85"/>
      <c r="CD899" s="85"/>
      <c r="CE899" s="85"/>
      <c r="CF899" s="85"/>
      <c r="CG899" s="85"/>
      <c r="CH899" s="85"/>
      <c r="CI899" s="85"/>
      <c r="CJ899" s="85"/>
      <c r="CK899" s="85"/>
      <c r="CL899" s="85"/>
      <c r="CM899" s="85"/>
      <c r="CN899" s="85"/>
      <c r="CO899" s="85"/>
      <c r="CP899" s="85"/>
      <c r="CQ899" s="85"/>
      <c r="CR899" s="85"/>
      <c r="CS899" s="85"/>
      <c r="CT899" s="85"/>
      <c r="CU899" s="85"/>
      <c r="CV899" s="85"/>
      <c r="CW899" s="85"/>
      <c r="CX899" s="85"/>
      <c r="CY899" s="85"/>
      <c r="CZ899" s="85"/>
      <c r="DA899" s="85"/>
      <c r="DB899" s="85"/>
      <c r="DC899" s="85"/>
      <c r="DD899" s="85"/>
      <c r="DE899" s="85"/>
      <c r="DF899" s="85"/>
      <c r="DG899" s="85"/>
      <c r="DH899" s="85"/>
      <c r="DI899" s="85"/>
      <c r="DJ899" s="85"/>
      <c r="DK899" s="85"/>
      <c r="DL899" s="85"/>
      <c r="DM899" s="85"/>
      <c r="DN899" s="85"/>
      <c r="DO899" s="85"/>
      <c r="DP899" s="85"/>
      <c r="DQ899" s="85"/>
      <c r="DR899" s="85"/>
      <c r="DS899" s="85"/>
      <c r="DT899" s="85"/>
      <c r="DU899" s="85"/>
      <c r="DV899" s="85"/>
      <c r="DW899" s="85"/>
      <c r="DX899" s="85"/>
      <c r="DY899" s="85"/>
      <c r="DZ899" s="85"/>
      <c r="EA899" s="85"/>
      <c r="EB899" s="85"/>
      <c r="EC899" s="85"/>
      <c r="ED899" s="85"/>
      <c r="EE899" s="85"/>
      <c r="EF899" s="85"/>
      <c r="EG899" s="85"/>
      <c r="EH899" s="85"/>
      <c r="EI899" s="85"/>
      <c r="EJ899" s="85"/>
      <c r="EK899" s="85"/>
      <c r="EL899" s="85"/>
      <c r="EM899" s="85"/>
      <c r="EN899" s="85"/>
      <c r="EO899" s="85"/>
      <c r="EP899" s="85"/>
      <c r="EQ899" s="85"/>
      <c r="ER899" s="85"/>
      <c r="ES899" s="85"/>
      <c r="ET899" s="85"/>
      <c r="EU899" s="85"/>
      <c r="EV899" s="85"/>
      <c r="EW899" s="85"/>
      <c r="EX899" s="85"/>
      <c r="EY899" s="85"/>
      <c r="EZ899" s="85"/>
      <c r="FA899" s="85"/>
      <c r="FB899" s="85"/>
      <c r="FC899" s="85"/>
      <c r="FD899" s="85"/>
      <c r="FE899" s="85"/>
      <c r="FF899" s="85"/>
      <c r="FG899" s="85"/>
      <c r="FH899" s="85"/>
      <c r="FI899" s="85"/>
      <c r="FJ899" s="85"/>
      <c r="FK899" s="85"/>
      <c r="FL899" s="85"/>
      <c r="FM899" s="85"/>
      <c r="FN899" s="85"/>
      <c r="FO899" s="85"/>
      <c r="FP899" s="85"/>
      <c r="FQ899" s="85"/>
      <c r="FR899" s="85"/>
      <c r="FS899" s="85"/>
      <c r="FT899" s="85"/>
      <c r="FU899" s="85"/>
      <c r="FV899" s="85"/>
      <c r="FW899" s="85"/>
      <c r="FX899" s="85"/>
      <c r="FY899" s="85"/>
      <c r="FZ899" s="85"/>
      <c r="GA899" s="85"/>
      <c r="GB899" s="85"/>
      <c r="GC899" s="85"/>
      <c r="GD899" s="85"/>
      <c r="GE899" s="85"/>
      <c r="GF899" s="85"/>
      <c r="GG899" s="85"/>
      <c r="GH899" s="85"/>
      <c r="GI899" s="85"/>
      <c r="GJ899" s="85"/>
      <c r="GK899" s="85"/>
      <c r="GL899" s="85"/>
      <c r="GM899" s="85"/>
      <c r="GN899" s="85"/>
      <c r="GO899" s="85"/>
      <c r="GP899" s="85"/>
      <c r="GQ899" s="85"/>
      <c r="GR899" s="85"/>
      <c r="GS899" s="85"/>
      <c r="GT899" s="85"/>
      <c r="GU899" s="85"/>
      <c r="GV899" s="85"/>
      <c r="GW899" s="85"/>
      <c r="GX899" s="85"/>
      <c r="GY899" s="85"/>
      <c r="GZ899" s="85"/>
      <c r="HA899" s="85"/>
      <c r="HB899" s="85"/>
      <c r="HC899" s="85"/>
      <c r="HD899" s="85"/>
      <c r="HE899" s="85"/>
      <c r="HF899" s="85"/>
      <c r="HG899" s="85"/>
      <c r="HH899" s="85"/>
      <c r="HI899" s="85"/>
      <c r="HJ899" s="85"/>
      <c r="HK899" s="85"/>
      <c r="HL899" s="85"/>
      <c r="HM899" s="85"/>
      <c r="HN899" s="85"/>
      <c r="HO899" s="85"/>
      <c r="HP899" s="85"/>
      <c r="HQ899" s="85"/>
      <c r="HR899" s="85"/>
      <c r="HS899" s="85"/>
      <c r="HT899" s="85"/>
      <c r="HU899" s="85"/>
      <c r="HV899" s="85"/>
      <c r="HW899" s="85"/>
      <c r="HX899" s="85"/>
      <c r="HY899" s="85"/>
      <c r="HZ899" s="85"/>
      <c r="IA899" s="85"/>
      <c r="IB899" s="85"/>
      <c r="IC899" s="85"/>
      <c r="ID899" s="85"/>
      <c r="IE899" s="85"/>
      <c r="IF899" s="85"/>
      <c r="IG899" s="85"/>
      <c r="IH899" s="85"/>
      <c r="II899" s="85"/>
      <c r="IJ899" s="85"/>
      <c r="IK899" s="85"/>
      <c r="IL899" s="85"/>
      <c r="IM899" s="85"/>
      <c r="IN899" s="85"/>
      <c r="IO899" s="85"/>
      <c r="IP899" s="85"/>
      <c r="IQ899" s="85"/>
      <c r="IR899" s="85"/>
      <c r="IS899" s="85"/>
      <c r="IT899" s="85"/>
      <c r="IU899" s="85"/>
      <c r="IV899" s="85"/>
      <c r="IW899" s="85"/>
      <c r="IX899" s="85"/>
      <c r="IY899" s="85"/>
      <c r="IZ899" s="85"/>
      <c r="JA899" s="85"/>
      <c r="JB899" s="85"/>
      <c r="JC899" s="85"/>
      <c r="JD899" s="85"/>
      <c r="JE899" s="85"/>
      <c r="JF899" s="85"/>
      <c r="JG899" s="85"/>
      <c r="JH899" s="85"/>
      <c r="JI899" s="85"/>
      <c r="JJ899" s="85"/>
      <c r="JK899" s="85"/>
      <c r="JL899" s="85"/>
      <c r="JM899" s="85"/>
      <c r="JN899" s="85"/>
      <c r="JO899" s="85"/>
      <c r="JP899" s="85"/>
      <c r="JQ899" s="85"/>
      <c r="JR899" s="85"/>
      <c r="JS899" s="85"/>
      <c r="JT899" s="85"/>
      <c r="JU899" s="85"/>
      <c r="JV899" s="85"/>
      <c r="JW899" s="85"/>
      <c r="JX899" s="85"/>
      <c r="JY899" s="85"/>
      <c r="JZ899" s="85"/>
      <c r="KA899" s="85"/>
      <c r="KB899" s="85"/>
      <c r="KC899" s="85"/>
      <c r="KD899" s="85"/>
      <c r="KE899" s="85"/>
      <c r="KF899" s="85"/>
      <c r="KG899" s="85"/>
      <c r="KH899" s="85"/>
      <c r="KI899" s="85"/>
      <c r="KJ899" s="85"/>
      <c r="KK899" s="85"/>
      <c r="KL899" s="85"/>
      <c r="KM899" s="85"/>
      <c r="KN899" s="85"/>
      <c r="KO899" s="85"/>
      <c r="KP899" s="85"/>
      <c r="KQ899" s="85"/>
      <c r="KR899" s="85"/>
      <c r="KS899" s="85"/>
      <c r="KT899" s="85"/>
      <c r="KU899" s="85"/>
      <c r="KV899" s="85"/>
      <c r="KW899" s="85"/>
      <c r="KX899" s="85"/>
      <c r="KY899" s="85"/>
      <c r="KZ899" s="85"/>
      <c r="LA899" s="85"/>
      <c r="LB899" s="85"/>
      <c r="LC899" s="85"/>
      <c r="LD899" s="85"/>
      <c r="LE899" s="85"/>
      <c r="LF899" s="85"/>
      <c r="LG899" s="85"/>
      <c r="LH899" s="85"/>
      <c r="LI899" s="85"/>
      <c r="LJ899" s="85"/>
      <c r="LK899" s="85"/>
      <c r="LL899" s="85"/>
      <c r="LM899" s="85"/>
      <c r="LN899" s="85"/>
      <c r="LO899" s="85"/>
      <c r="LP899" s="85"/>
      <c r="LQ899" s="85"/>
      <c r="LR899" s="85"/>
      <c r="LS899" s="85"/>
      <c r="LT899" s="85"/>
      <c r="LU899" s="85"/>
      <c r="LV899" s="85"/>
      <c r="LW899" s="85"/>
      <c r="LX899" s="85"/>
      <c r="LY899" s="85"/>
      <c r="LZ899" s="85"/>
      <c r="MA899" s="85"/>
      <c r="MB899" s="85"/>
      <c r="MC899" s="85"/>
      <c r="MD899" s="85"/>
      <c r="ME899" s="85"/>
      <c r="MF899" s="85"/>
      <c r="MG899" s="85"/>
      <c r="MH899" s="85"/>
      <c r="MI899" s="85"/>
      <c r="MJ899" s="85"/>
      <c r="MK899" s="85"/>
      <c r="ML899" s="85"/>
      <c r="MM899" s="85"/>
      <c r="MN899" s="85"/>
      <c r="MO899" s="85"/>
      <c r="MP899" s="85"/>
      <c r="MQ899" s="85"/>
      <c r="MR899" s="85"/>
      <c r="MS899" s="85"/>
      <c r="MT899" s="85"/>
      <c r="MU899" s="85"/>
      <c r="MV899" s="85"/>
      <c r="MW899" s="85"/>
      <c r="MX899" s="85"/>
      <c r="MY899" s="85"/>
      <c r="MZ899" s="85"/>
      <c r="NA899" s="85"/>
      <c r="NB899" s="85"/>
      <c r="NC899" s="85"/>
      <c r="ND899" s="85"/>
      <c r="NE899" s="85"/>
      <c r="NF899" s="85"/>
      <c r="NG899" s="85"/>
      <c r="NH899" s="85"/>
      <c r="NI899" s="85"/>
      <c r="NJ899" s="85"/>
      <c r="NK899" s="85"/>
      <c r="NL899" s="85"/>
      <c r="NM899" s="85"/>
      <c r="NN899" s="85"/>
      <c r="NO899" s="85"/>
      <c r="NP899" s="85"/>
      <c r="NQ899" s="85"/>
      <c r="NR899" s="85"/>
      <c r="NS899" s="85"/>
      <c r="NT899" s="85"/>
      <c r="NU899" s="85"/>
      <c r="NV899" s="85"/>
      <c r="NW899" s="85"/>
      <c r="NX899" s="85"/>
      <c r="NY899" s="85"/>
      <c r="NZ899" s="85"/>
      <c r="OA899" s="85"/>
      <c r="OB899" s="85"/>
      <c r="OC899" s="85"/>
      <c r="OD899" s="85"/>
      <c r="OE899" s="85"/>
      <c r="OF899" s="85"/>
      <c r="OG899" s="85"/>
      <c r="OH899" s="85"/>
      <c r="OI899" s="85"/>
      <c r="OJ899" s="85"/>
      <c r="OK899" s="85"/>
      <c r="OL899" s="85"/>
      <c r="OM899" s="85"/>
      <c r="ON899" s="85"/>
      <c r="OO899" s="85"/>
      <c r="OP899" s="85"/>
      <c r="OQ899" s="85"/>
      <c r="OR899" s="85"/>
      <c r="OS899" s="85"/>
      <c r="OT899" s="85"/>
      <c r="OU899" s="85"/>
      <c r="OV899" s="85"/>
      <c r="OW899" s="85"/>
      <c r="OX899" s="85"/>
      <c r="OY899" s="85"/>
      <c r="OZ899" s="85"/>
      <c r="PA899" s="85"/>
      <c r="PB899" s="85"/>
      <c r="PC899" s="85"/>
      <c r="PD899" s="85"/>
      <c r="PE899" s="85"/>
      <c r="PF899" s="85"/>
      <c r="PG899" s="85"/>
      <c r="PH899" s="85"/>
      <c r="PI899" s="85"/>
      <c r="PJ899" s="85"/>
      <c r="PK899" s="85"/>
      <c r="PL899" s="85"/>
      <c r="PM899" s="85"/>
      <c r="PN899" s="85"/>
      <c r="PO899" s="85"/>
      <c r="PP899" s="85"/>
      <c r="PQ899" s="85"/>
      <c r="PR899" s="85"/>
      <c r="PS899" s="85"/>
      <c r="PT899" s="85"/>
      <c r="PU899" s="85"/>
      <c r="PV899" s="85"/>
      <c r="PW899" s="85"/>
      <c r="PX899" s="85"/>
      <c r="PY899" s="85"/>
      <c r="PZ899" s="85"/>
      <c r="QA899" s="85"/>
      <c r="QB899" s="85"/>
      <c r="QC899" s="85"/>
      <c r="QD899" s="85"/>
      <c r="QE899" s="85"/>
      <c r="QF899" s="85"/>
      <c r="QG899" s="85"/>
      <c r="QH899" s="85"/>
      <c r="QI899" s="85"/>
      <c r="QJ899" s="85"/>
      <c r="QK899" s="85"/>
      <c r="QL899" s="85"/>
      <c r="QM899" s="85"/>
      <c r="QN899" s="85"/>
      <c r="QO899" s="85"/>
      <c r="QP899" s="85"/>
      <c r="QQ899" s="85"/>
      <c r="QR899" s="85"/>
      <c r="QS899" s="85"/>
      <c r="QT899" s="85"/>
      <c r="QU899" s="85"/>
      <c r="QV899" s="85"/>
      <c r="QW899" s="85"/>
      <c r="QX899" s="85"/>
      <c r="QY899" s="85"/>
      <c r="QZ899" s="85"/>
      <c r="RA899" s="85"/>
      <c r="RB899" s="85"/>
      <c r="RC899" s="85"/>
      <c r="RD899" s="85"/>
      <c r="RE899" s="85"/>
      <c r="RF899" s="85"/>
      <c r="RG899" s="85"/>
      <c r="RH899" s="85"/>
      <c r="RI899" s="85"/>
      <c r="RJ899" s="85"/>
      <c r="RK899" s="85"/>
      <c r="RL899" s="85"/>
      <c r="RM899" s="85"/>
      <c r="RN899" s="85"/>
      <c r="RO899" s="85"/>
      <c r="RP899" s="85"/>
      <c r="RQ899" s="85"/>
      <c r="RR899" s="85"/>
      <c r="RS899" s="85"/>
      <c r="RT899" s="85"/>
      <c r="RU899" s="85"/>
      <c r="RV899" s="85"/>
      <c r="RW899" s="85"/>
      <c r="RX899" s="85"/>
      <c r="RY899" s="85"/>
      <c r="RZ899" s="85"/>
      <c r="SA899" s="85"/>
      <c r="SB899" s="85"/>
      <c r="SC899" s="85"/>
      <c r="SD899" s="85"/>
      <c r="SE899" s="85"/>
      <c r="SF899" s="85"/>
      <c r="SG899" s="85"/>
      <c r="SH899" s="85"/>
      <c r="SI899" s="85"/>
      <c r="SJ899" s="85"/>
      <c r="SK899" s="85"/>
      <c r="SL899" s="85"/>
      <c r="SM899" s="85"/>
      <c r="SN899" s="85"/>
      <c r="SO899" s="85"/>
      <c r="SP899" s="85"/>
      <c r="SQ899" s="85"/>
      <c r="SR899" s="85"/>
      <c r="SS899" s="85"/>
      <c r="ST899" s="85"/>
      <c r="SU899" s="85"/>
      <c r="SV899" s="85"/>
      <c r="SW899" s="85"/>
      <c r="SX899" s="85"/>
      <c r="SY899" s="85"/>
      <c r="SZ899" s="85"/>
      <c r="TA899" s="85"/>
      <c r="TB899" s="85"/>
      <c r="TC899" s="85"/>
      <c r="TD899" s="85"/>
      <c r="TE899" s="85"/>
      <c r="TF899" s="85"/>
      <c r="TG899" s="85"/>
      <c r="TH899" s="85"/>
      <c r="TI899" s="85"/>
      <c r="TJ899" s="85"/>
      <c r="TK899" s="85"/>
      <c r="TL899" s="85"/>
    </row>
    <row r="900" spans="1:532" s="85" customFormat="1" ht="12.75" customHeight="1">
      <c r="A900" s="122" t="s">
        <v>492</v>
      </c>
      <c r="B900" s="240" t="s">
        <v>563</v>
      </c>
      <c r="C900" s="124"/>
      <c r="D900" s="124"/>
      <c r="E900" s="173">
        <v>113405275.43000001</v>
      </c>
      <c r="F900" s="146"/>
      <c r="G900" s="138"/>
      <c r="H900" s="98"/>
      <c r="I900" s="140">
        <f t="shared" ref="I900:N900" si="45">SUM(I901)</f>
        <v>0</v>
      </c>
      <c r="J900" s="140">
        <f t="shared" si="45"/>
        <v>0</v>
      </c>
      <c r="K900" s="140">
        <f t="shared" si="45"/>
        <v>0</v>
      </c>
      <c r="L900" s="140">
        <f t="shared" si="45"/>
        <v>0</v>
      </c>
      <c r="M900" s="140">
        <f t="shared" si="45"/>
        <v>0</v>
      </c>
      <c r="N900" s="140">
        <f t="shared" si="45"/>
        <v>113405275.43000001</v>
      </c>
    </row>
    <row r="901" spans="1:532" s="85" customFormat="1" ht="12.75" customHeight="1">
      <c r="A901" s="122"/>
      <c r="B901" s="240"/>
      <c r="C901" s="124"/>
      <c r="D901" s="124"/>
      <c r="E901" s="124"/>
      <c r="F901" s="146" t="s">
        <v>484</v>
      </c>
      <c r="G901" s="138"/>
      <c r="H901" s="98"/>
      <c r="I901" s="125"/>
      <c r="J901" s="125"/>
      <c r="K901" s="125"/>
      <c r="L901" s="125"/>
      <c r="M901" s="125"/>
      <c r="N901" s="124">
        <f>+E900-D900</f>
        <v>113405275.43000001</v>
      </c>
    </row>
    <row r="902" spans="1:532" s="135" customFormat="1" ht="12.75" customHeight="1">
      <c r="A902" s="111"/>
      <c r="B902" s="243"/>
      <c r="C902" s="112"/>
      <c r="D902" s="112"/>
      <c r="E902" s="112"/>
      <c r="F902" s="253"/>
      <c r="G902" s="134"/>
      <c r="H902" s="114"/>
      <c r="I902" s="115"/>
      <c r="J902" s="115"/>
      <c r="K902" s="115"/>
      <c r="L902" s="115"/>
      <c r="M902" s="115"/>
      <c r="N902" s="116"/>
      <c r="O902" s="85"/>
      <c r="P902" s="85"/>
      <c r="Q902" s="85"/>
      <c r="R902" s="85"/>
      <c r="S902" s="85"/>
      <c r="T902" s="85"/>
      <c r="U902" s="85"/>
      <c r="V902" s="85"/>
      <c r="W902" s="85"/>
      <c r="X902" s="85"/>
      <c r="Y902" s="85"/>
      <c r="Z902" s="85"/>
      <c r="AA902" s="85"/>
      <c r="AB902" s="85"/>
      <c r="AC902" s="85"/>
      <c r="AD902" s="85"/>
      <c r="AE902" s="85"/>
      <c r="AF902" s="85"/>
      <c r="AG902" s="85"/>
      <c r="AH902" s="85"/>
      <c r="AI902" s="85"/>
      <c r="AJ902" s="85"/>
      <c r="AK902" s="85"/>
      <c r="AL902" s="85"/>
      <c r="AM902" s="85"/>
      <c r="AN902" s="85"/>
      <c r="AO902" s="85"/>
      <c r="AP902" s="85"/>
      <c r="AQ902" s="85"/>
      <c r="AR902" s="85"/>
      <c r="AS902" s="85"/>
      <c r="AT902" s="85"/>
      <c r="AU902" s="85"/>
      <c r="AV902" s="85"/>
      <c r="AW902" s="85"/>
      <c r="AX902" s="85"/>
      <c r="AY902" s="85"/>
      <c r="AZ902" s="85"/>
      <c r="BA902" s="85"/>
      <c r="BB902" s="85"/>
      <c r="BC902" s="85"/>
      <c r="BD902" s="85"/>
      <c r="BE902" s="85"/>
      <c r="BF902" s="85"/>
      <c r="BG902" s="85"/>
      <c r="BH902" s="85"/>
      <c r="BI902" s="85"/>
      <c r="BJ902" s="85"/>
      <c r="BK902" s="85"/>
      <c r="BL902" s="85"/>
      <c r="BM902" s="85"/>
      <c r="BN902" s="85"/>
      <c r="BO902" s="85"/>
      <c r="BP902" s="85"/>
      <c r="BQ902" s="85"/>
      <c r="BR902" s="85"/>
      <c r="BS902" s="85"/>
      <c r="BT902" s="85"/>
      <c r="BU902" s="85"/>
      <c r="BV902" s="85"/>
      <c r="BW902" s="85"/>
      <c r="BX902" s="85"/>
      <c r="BY902" s="85"/>
      <c r="BZ902" s="85"/>
      <c r="CA902" s="85"/>
      <c r="CB902" s="85"/>
      <c r="CC902" s="85"/>
      <c r="CD902" s="85"/>
      <c r="CE902" s="85"/>
      <c r="CF902" s="85"/>
      <c r="CG902" s="85"/>
      <c r="CH902" s="85"/>
      <c r="CI902" s="85"/>
      <c r="CJ902" s="85"/>
      <c r="CK902" s="85"/>
      <c r="CL902" s="85"/>
      <c r="CM902" s="85"/>
      <c r="CN902" s="85"/>
      <c r="CO902" s="85"/>
      <c r="CP902" s="85"/>
      <c r="CQ902" s="85"/>
      <c r="CR902" s="85"/>
      <c r="CS902" s="85"/>
      <c r="CT902" s="85"/>
      <c r="CU902" s="85"/>
      <c r="CV902" s="85"/>
      <c r="CW902" s="85"/>
      <c r="CX902" s="85"/>
      <c r="CY902" s="85"/>
      <c r="CZ902" s="85"/>
      <c r="DA902" s="85"/>
      <c r="DB902" s="85"/>
      <c r="DC902" s="85"/>
      <c r="DD902" s="85"/>
      <c r="DE902" s="85"/>
      <c r="DF902" s="85"/>
      <c r="DG902" s="85"/>
      <c r="DH902" s="85"/>
      <c r="DI902" s="85"/>
      <c r="DJ902" s="85"/>
      <c r="DK902" s="85"/>
      <c r="DL902" s="85"/>
      <c r="DM902" s="85"/>
      <c r="DN902" s="85"/>
      <c r="DO902" s="85"/>
      <c r="DP902" s="85"/>
      <c r="DQ902" s="85"/>
      <c r="DR902" s="85"/>
      <c r="DS902" s="85"/>
      <c r="DT902" s="85"/>
      <c r="DU902" s="85"/>
      <c r="DV902" s="85"/>
      <c r="DW902" s="85"/>
      <c r="DX902" s="85"/>
      <c r="DY902" s="85"/>
      <c r="DZ902" s="85"/>
      <c r="EA902" s="85"/>
      <c r="EB902" s="85"/>
      <c r="EC902" s="85"/>
      <c r="ED902" s="85"/>
      <c r="EE902" s="85"/>
      <c r="EF902" s="85"/>
      <c r="EG902" s="85"/>
      <c r="EH902" s="85"/>
      <c r="EI902" s="85"/>
      <c r="EJ902" s="85"/>
      <c r="EK902" s="85"/>
      <c r="EL902" s="85"/>
      <c r="EM902" s="85"/>
      <c r="EN902" s="85"/>
      <c r="EO902" s="85"/>
      <c r="EP902" s="85"/>
      <c r="EQ902" s="85"/>
      <c r="ER902" s="85"/>
      <c r="ES902" s="85"/>
      <c r="ET902" s="85"/>
      <c r="EU902" s="85"/>
      <c r="EV902" s="85"/>
      <c r="EW902" s="85"/>
      <c r="EX902" s="85"/>
      <c r="EY902" s="85"/>
      <c r="EZ902" s="85"/>
      <c r="FA902" s="85"/>
      <c r="FB902" s="85"/>
      <c r="FC902" s="85"/>
      <c r="FD902" s="85"/>
      <c r="FE902" s="85"/>
      <c r="FF902" s="85"/>
      <c r="FG902" s="85"/>
      <c r="FH902" s="85"/>
      <c r="FI902" s="85"/>
      <c r="FJ902" s="85"/>
      <c r="FK902" s="85"/>
      <c r="FL902" s="85"/>
      <c r="FM902" s="85"/>
      <c r="FN902" s="85"/>
      <c r="FO902" s="85"/>
      <c r="FP902" s="85"/>
      <c r="FQ902" s="85"/>
      <c r="FR902" s="85"/>
      <c r="FS902" s="85"/>
      <c r="FT902" s="85"/>
      <c r="FU902" s="85"/>
      <c r="FV902" s="85"/>
      <c r="FW902" s="85"/>
      <c r="FX902" s="85"/>
      <c r="FY902" s="85"/>
      <c r="FZ902" s="85"/>
      <c r="GA902" s="85"/>
      <c r="GB902" s="85"/>
      <c r="GC902" s="85"/>
      <c r="GD902" s="85"/>
      <c r="GE902" s="85"/>
      <c r="GF902" s="85"/>
      <c r="GG902" s="85"/>
      <c r="GH902" s="85"/>
      <c r="GI902" s="85"/>
      <c r="GJ902" s="85"/>
      <c r="GK902" s="85"/>
      <c r="GL902" s="85"/>
      <c r="GM902" s="85"/>
      <c r="GN902" s="85"/>
      <c r="GO902" s="85"/>
      <c r="GP902" s="85"/>
      <c r="GQ902" s="85"/>
      <c r="GR902" s="85"/>
      <c r="GS902" s="85"/>
      <c r="GT902" s="85"/>
      <c r="GU902" s="85"/>
      <c r="GV902" s="85"/>
      <c r="GW902" s="85"/>
      <c r="GX902" s="85"/>
      <c r="GY902" s="85"/>
      <c r="GZ902" s="85"/>
      <c r="HA902" s="85"/>
      <c r="HB902" s="85"/>
      <c r="HC902" s="85"/>
      <c r="HD902" s="85"/>
      <c r="HE902" s="85"/>
      <c r="HF902" s="85"/>
      <c r="HG902" s="85"/>
      <c r="HH902" s="85"/>
      <c r="HI902" s="85"/>
      <c r="HJ902" s="85"/>
      <c r="HK902" s="85"/>
      <c r="HL902" s="85"/>
      <c r="HM902" s="85"/>
      <c r="HN902" s="85"/>
      <c r="HO902" s="85"/>
      <c r="HP902" s="85"/>
      <c r="HQ902" s="85"/>
      <c r="HR902" s="85"/>
      <c r="HS902" s="85"/>
      <c r="HT902" s="85"/>
      <c r="HU902" s="85"/>
      <c r="HV902" s="85"/>
      <c r="HW902" s="85"/>
      <c r="HX902" s="85"/>
      <c r="HY902" s="85"/>
      <c r="HZ902" s="85"/>
      <c r="IA902" s="85"/>
      <c r="IB902" s="85"/>
      <c r="IC902" s="85"/>
      <c r="ID902" s="85"/>
      <c r="IE902" s="85"/>
      <c r="IF902" s="85"/>
      <c r="IG902" s="85"/>
      <c r="IH902" s="85"/>
      <c r="II902" s="85"/>
      <c r="IJ902" s="85"/>
      <c r="IK902" s="85"/>
      <c r="IL902" s="85"/>
      <c r="IM902" s="85"/>
      <c r="IN902" s="85"/>
      <c r="IO902" s="85"/>
      <c r="IP902" s="85"/>
      <c r="IQ902" s="85"/>
      <c r="IR902" s="85"/>
      <c r="IS902" s="85"/>
      <c r="IT902" s="85"/>
      <c r="IU902" s="85"/>
      <c r="IV902" s="85"/>
      <c r="IW902" s="85"/>
      <c r="IX902" s="85"/>
      <c r="IY902" s="85"/>
      <c r="IZ902" s="85"/>
      <c r="JA902" s="85"/>
      <c r="JB902" s="85"/>
      <c r="JC902" s="85"/>
      <c r="JD902" s="85"/>
      <c r="JE902" s="85"/>
      <c r="JF902" s="85"/>
      <c r="JG902" s="85"/>
      <c r="JH902" s="85"/>
      <c r="JI902" s="85"/>
      <c r="JJ902" s="85"/>
      <c r="JK902" s="85"/>
      <c r="JL902" s="85"/>
      <c r="JM902" s="85"/>
      <c r="JN902" s="85"/>
      <c r="JO902" s="85"/>
      <c r="JP902" s="85"/>
      <c r="JQ902" s="85"/>
      <c r="JR902" s="85"/>
      <c r="JS902" s="85"/>
      <c r="JT902" s="85"/>
      <c r="JU902" s="85"/>
      <c r="JV902" s="85"/>
      <c r="JW902" s="85"/>
      <c r="JX902" s="85"/>
      <c r="JY902" s="85"/>
      <c r="JZ902" s="85"/>
      <c r="KA902" s="85"/>
      <c r="KB902" s="85"/>
      <c r="KC902" s="85"/>
      <c r="KD902" s="85"/>
      <c r="KE902" s="85"/>
      <c r="KF902" s="85"/>
      <c r="KG902" s="85"/>
      <c r="KH902" s="85"/>
      <c r="KI902" s="85"/>
      <c r="KJ902" s="85"/>
      <c r="KK902" s="85"/>
      <c r="KL902" s="85"/>
      <c r="KM902" s="85"/>
      <c r="KN902" s="85"/>
      <c r="KO902" s="85"/>
      <c r="KP902" s="85"/>
      <c r="KQ902" s="85"/>
      <c r="KR902" s="85"/>
      <c r="KS902" s="85"/>
      <c r="KT902" s="85"/>
      <c r="KU902" s="85"/>
      <c r="KV902" s="85"/>
      <c r="KW902" s="85"/>
      <c r="KX902" s="85"/>
      <c r="KY902" s="85"/>
      <c r="KZ902" s="85"/>
      <c r="LA902" s="85"/>
      <c r="LB902" s="85"/>
      <c r="LC902" s="85"/>
      <c r="LD902" s="85"/>
      <c r="LE902" s="85"/>
      <c r="LF902" s="85"/>
      <c r="LG902" s="85"/>
      <c r="LH902" s="85"/>
      <c r="LI902" s="85"/>
      <c r="LJ902" s="85"/>
      <c r="LK902" s="85"/>
      <c r="LL902" s="85"/>
      <c r="LM902" s="85"/>
      <c r="LN902" s="85"/>
      <c r="LO902" s="85"/>
      <c r="LP902" s="85"/>
      <c r="LQ902" s="85"/>
      <c r="LR902" s="85"/>
      <c r="LS902" s="85"/>
      <c r="LT902" s="85"/>
      <c r="LU902" s="85"/>
      <c r="LV902" s="85"/>
      <c r="LW902" s="85"/>
      <c r="LX902" s="85"/>
      <c r="LY902" s="85"/>
      <c r="LZ902" s="85"/>
      <c r="MA902" s="85"/>
      <c r="MB902" s="85"/>
      <c r="MC902" s="85"/>
      <c r="MD902" s="85"/>
      <c r="ME902" s="85"/>
      <c r="MF902" s="85"/>
      <c r="MG902" s="85"/>
      <c r="MH902" s="85"/>
      <c r="MI902" s="85"/>
      <c r="MJ902" s="85"/>
      <c r="MK902" s="85"/>
      <c r="ML902" s="85"/>
      <c r="MM902" s="85"/>
      <c r="MN902" s="85"/>
      <c r="MO902" s="85"/>
      <c r="MP902" s="85"/>
      <c r="MQ902" s="85"/>
      <c r="MR902" s="85"/>
      <c r="MS902" s="85"/>
      <c r="MT902" s="85"/>
      <c r="MU902" s="85"/>
      <c r="MV902" s="85"/>
      <c r="MW902" s="85"/>
      <c r="MX902" s="85"/>
      <c r="MY902" s="85"/>
      <c r="MZ902" s="85"/>
      <c r="NA902" s="85"/>
      <c r="NB902" s="85"/>
      <c r="NC902" s="85"/>
      <c r="ND902" s="85"/>
      <c r="NE902" s="85"/>
      <c r="NF902" s="85"/>
      <c r="NG902" s="85"/>
      <c r="NH902" s="85"/>
      <c r="NI902" s="85"/>
      <c r="NJ902" s="85"/>
      <c r="NK902" s="85"/>
      <c r="NL902" s="85"/>
      <c r="NM902" s="85"/>
      <c r="NN902" s="85"/>
      <c r="NO902" s="85"/>
      <c r="NP902" s="85"/>
      <c r="NQ902" s="85"/>
      <c r="NR902" s="85"/>
      <c r="NS902" s="85"/>
      <c r="NT902" s="85"/>
      <c r="NU902" s="85"/>
      <c r="NV902" s="85"/>
      <c r="NW902" s="85"/>
      <c r="NX902" s="85"/>
      <c r="NY902" s="85"/>
      <c r="NZ902" s="85"/>
      <c r="OA902" s="85"/>
      <c r="OB902" s="85"/>
      <c r="OC902" s="85"/>
      <c r="OD902" s="85"/>
      <c r="OE902" s="85"/>
      <c r="OF902" s="85"/>
      <c r="OG902" s="85"/>
      <c r="OH902" s="85"/>
      <c r="OI902" s="85"/>
      <c r="OJ902" s="85"/>
      <c r="OK902" s="85"/>
      <c r="OL902" s="85"/>
      <c r="OM902" s="85"/>
      <c r="ON902" s="85"/>
      <c r="OO902" s="85"/>
      <c r="OP902" s="85"/>
      <c r="OQ902" s="85"/>
      <c r="OR902" s="85"/>
      <c r="OS902" s="85"/>
      <c r="OT902" s="85"/>
      <c r="OU902" s="85"/>
      <c r="OV902" s="85"/>
      <c r="OW902" s="85"/>
      <c r="OX902" s="85"/>
      <c r="OY902" s="85"/>
      <c r="OZ902" s="85"/>
      <c r="PA902" s="85"/>
      <c r="PB902" s="85"/>
      <c r="PC902" s="85"/>
      <c r="PD902" s="85"/>
      <c r="PE902" s="85"/>
      <c r="PF902" s="85"/>
      <c r="PG902" s="85"/>
      <c r="PH902" s="85"/>
      <c r="PI902" s="85"/>
      <c r="PJ902" s="85"/>
      <c r="PK902" s="85"/>
      <c r="PL902" s="85"/>
      <c r="PM902" s="85"/>
      <c r="PN902" s="85"/>
      <c r="PO902" s="85"/>
      <c r="PP902" s="85"/>
      <c r="PQ902" s="85"/>
      <c r="PR902" s="85"/>
      <c r="PS902" s="85"/>
      <c r="PT902" s="85"/>
      <c r="PU902" s="85"/>
      <c r="PV902" s="85"/>
      <c r="PW902" s="85"/>
      <c r="PX902" s="85"/>
      <c r="PY902" s="85"/>
      <c r="PZ902" s="85"/>
      <c r="QA902" s="85"/>
      <c r="QB902" s="85"/>
      <c r="QC902" s="85"/>
      <c r="QD902" s="85"/>
      <c r="QE902" s="85"/>
      <c r="QF902" s="85"/>
      <c r="QG902" s="85"/>
      <c r="QH902" s="85"/>
      <c r="QI902" s="85"/>
      <c r="QJ902" s="85"/>
      <c r="QK902" s="85"/>
      <c r="QL902" s="85"/>
      <c r="QM902" s="85"/>
      <c r="QN902" s="85"/>
      <c r="QO902" s="85"/>
      <c r="QP902" s="85"/>
      <c r="QQ902" s="85"/>
      <c r="QR902" s="85"/>
      <c r="QS902" s="85"/>
      <c r="QT902" s="85"/>
      <c r="QU902" s="85"/>
      <c r="QV902" s="85"/>
      <c r="QW902" s="85"/>
      <c r="QX902" s="85"/>
      <c r="QY902" s="85"/>
      <c r="QZ902" s="85"/>
      <c r="RA902" s="85"/>
      <c r="RB902" s="85"/>
      <c r="RC902" s="85"/>
      <c r="RD902" s="85"/>
      <c r="RE902" s="85"/>
      <c r="RF902" s="85"/>
      <c r="RG902" s="85"/>
      <c r="RH902" s="85"/>
      <c r="RI902" s="85"/>
      <c r="RJ902" s="85"/>
      <c r="RK902" s="85"/>
      <c r="RL902" s="85"/>
      <c r="RM902" s="85"/>
      <c r="RN902" s="85"/>
      <c r="RO902" s="85"/>
      <c r="RP902" s="85"/>
      <c r="RQ902" s="85"/>
      <c r="RR902" s="85"/>
      <c r="RS902" s="85"/>
      <c r="RT902" s="85"/>
      <c r="RU902" s="85"/>
      <c r="RV902" s="85"/>
      <c r="RW902" s="85"/>
      <c r="RX902" s="85"/>
      <c r="RY902" s="85"/>
      <c r="RZ902" s="85"/>
      <c r="SA902" s="85"/>
      <c r="SB902" s="85"/>
      <c r="SC902" s="85"/>
      <c r="SD902" s="85"/>
      <c r="SE902" s="85"/>
      <c r="SF902" s="85"/>
      <c r="SG902" s="85"/>
      <c r="SH902" s="85"/>
      <c r="SI902" s="85"/>
      <c r="SJ902" s="85"/>
      <c r="SK902" s="85"/>
      <c r="SL902" s="85"/>
      <c r="SM902" s="85"/>
      <c r="SN902" s="85"/>
      <c r="SO902" s="85"/>
      <c r="SP902" s="85"/>
      <c r="SQ902" s="85"/>
      <c r="SR902" s="85"/>
      <c r="SS902" s="85"/>
      <c r="ST902" s="85"/>
      <c r="SU902" s="85"/>
      <c r="SV902" s="85"/>
      <c r="SW902" s="85"/>
      <c r="SX902" s="85"/>
      <c r="SY902" s="85"/>
      <c r="SZ902" s="85"/>
      <c r="TA902" s="85"/>
      <c r="TB902" s="85"/>
      <c r="TC902" s="85"/>
      <c r="TD902" s="85"/>
      <c r="TE902" s="85"/>
      <c r="TF902" s="85"/>
      <c r="TG902" s="85"/>
      <c r="TH902" s="85"/>
      <c r="TI902" s="85"/>
      <c r="TJ902" s="85"/>
      <c r="TK902" s="85"/>
      <c r="TL902" s="85"/>
    </row>
    <row r="903" spans="1:532" s="85" customFormat="1" ht="12.75" customHeight="1">
      <c r="A903" s="122" t="s">
        <v>492</v>
      </c>
      <c r="B903" s="240" t="s">
        <v>493</v>
      </c>
      <c r="C903" s="124"/>
      <c r="D903" s="124"/>
      <c r="E903" s="173">
        <v>4605361.1399999997</v>
      </c>
      <c r="F903" s="146"/>
      <c r="G903" s="138"/>
      <c r="H903" s="98"/>
      <c r="I903" s="140">
        <f t="shared" ref="I903:N903" si="46">SUM(I904)</f>
        <v>0</v>
      </c>
      <c r="J903" s="140">
        <f t="shared" si="46"/>
        <v>0</v>
      </c>
      <c r="K903" s="140">
        <f t="shared" si="46"/>
        <v>0</v>
      </c>
      <c r="L903" s="140">
        <f t="shared" si="46"/>
        <v>0</v>
      </c>
      <c r="M903" s="140">
        <f t="shared" si="46"/>
        <v>0</v>
      </c>
      <c r="N903" s="140">
        <f t="shared" si="46"/>
        <v>4605361.1399999997</v>
      </c>
    </row>
    <row r="904" spans="1:532" s="85" customFormat="1" ht="12.75" customHeight="1">
      <c r="A904" s="122"/>
      <c r="B904" s="240"/>
      <c r="C904" s="124"/>
      <c r="D904" s="124"/>
      <c r="E904" s="124"/>
      <c r="F904" s="146" t="s">
        <v>484</v>
      </c>
      <c r="G904" s="138"/>
      <c r="H904" s="98"/>
      <c r="I904" s="125"/>
      <c r="J904" s="125"/>
      <c r="K904" s="125"/>
      <c r="L904" s="125"/>
      <c r="M904" s="125"/>
      <c r="N904" s="124">
        <f>+E903-D903</f>
        <v>4605361.1399999997</v>
      </c>
    </row>
    <row r="905" spans="1:532" s="135" customFormat="1" ht="12.75" customHeight="1">
      <c r="A905" s="111"/>
      <c r="B905" s="243"/>
      <c r="C905" s="112"/>
      <c r="D905" s="112"/>
      <c r="E905" s="112"/>
      <c r="F905" s="253"/>
      <c r="G905" s="134"/>
      <c r="H905" s="114"/>
      <c r="I905" s="115"/>
      <c r="J905" s="115"/>
      <c r="K905" s="115"/>
      <c r="L905" s="115"/>
      <c r="M905" s="115"/>
      <c r="N905" s="115"/>
      <c r="O905" s="85"/>
      <c r="P905" s="85"/>
      <c r="Q905" s="85"/>
      <c r="R905" s="85"/>
      <c r="S905" s="85"/>
      <c r="T905" s="85"/>
      <c r="U905" s="85"/>
      <c r="V905" s="85"/>
      <c r="W905" s="85"/>
      <c r="X905" s="85"/>
      <c r="Y905" s="85"/>
      <c r="Z905" s="85"/>
      <c r="AA905" s="85"/>
      <c r="AB905" s="85"/>
      <c r="AC905" s="85"/>
      <c r="AD905" s="85"/>
      <c r="AE905" s="85"/>
      <c r="AF905" s="85"/>
      <c r="AG905" s="85"/>
      <c r="AH905" s="85"/>
      <c r="AI905" s="85"/>
      <c r="AJ905" s="85"/>
      <c r="AK905" s="85"/>
      <c r="AL905" s="85"/>
      <c r="AM905" s="85"/>
      <c r="AN905" s="85"/>
      <c r="AO905" s="85"/>
      <c r="AP905" s="85"/>
      <c r="AQ905" s="85"/>
      <c r="AR905" s="85"/>
      <c r="AS905" s="85"/>
      <c r="AT905" s="85"/>
      <c r="AU905" s="85"/>
      <c r="AV905" s="85"/>
      <c r="AW905" s="85"/>
      <c r="AX905" s="85"/>
      <c r="AY905" s="85"/>
      <c r="AZ905" s="85"/>
      <c r="BA905" s="85"/>
      <c r="BB905" s="85"/>
      <c r="BC905" s="85"/>
      <c r="BD905" s="85"/>
      <c r="BE905" s="85"/>
      <c r="BF905" s="85"/>
      <c r="BG905" s="85"/>
      <c r="BH905" s="85"/>
      <c r="BI905" s="85"/>
      <c r="BJ905" s="85"/>
      <c r="BK905" s="85"/>
      <c r="BL905" s="85"/>
      <c r="BM905" s="85"/>
      <c r="BN905" s="85"/>
      <c r="BO905" s="85"/>
      <c r="BP905" s="85"/>
      <c r="BQ905" s="85"/>
      <c r="BR905" s="85"/>
      <c r="BS905" s="85"/>
      <c r="BT905" s="85"/>
      <c r="BU905" s="85"/>
      <c r="BV905" s="85"/>
      <c r="BW905" s="85"/>
      <c r="BX905" s="85"/>
      <c r="BY905" s="85"/>
      <c r="BZ905" s="85"/>
      <c r="CA905" s="85"/>
      <c r="CB905" s="85"/>
      <c r="CC905" s="85"/>
      <c r="CD905" s="85"/>
      <c r="CE905" s="85"/>
      <c r="CF905" s="85"/>
      <c r="CG905" s="85"/>
      <c r="CH905" s="85"/>
      <c r="CI905" s="85"/>
      <c r="CJ905" s="85"/>
      <c r="CK905" s="85"/>
      <c r="CL905" s="85"/>
      <c r="CM905" s="85"/>
      <c r="CN905" s="85"/>
      <c r="CO905" s="85"/>
      <c r="CP905" s="85"/>
      <c r="CQ905" s="85"/>
      <c r="CR905" s="85"/>
      <c r="CS905" s="85"/>
      <c r="CT905" s="85"/>
      <c r="CU905" s="85"/>
      <c r="CV905" s="85"/>
      <c r="CW905" s="85"/>
      <c r="CX905" s="85"/>
      <c r="CY905" s="85"/>
      <c r="CZ905" s="85"/>
      <c r="DA905" s="85"/>
      <c r="DB905" s="85"/>
      <c r="DC905" s="85"/>
      <c r="DD905" s="85"/>
      <c r="DE905" s="85"/>
      <c r="DF905" s="85"/>
      <c r="DG905" s="85"/>
      <c r="DH905" s="85"/>
      <c r="DI905" s="85"/>
      <c r="DJ905" s="85"/>
      <c r="DK905" s="85"/>
      <c r="DL905" s="85"/>
      <c r="DM905" s="85"/>
      <c r="DN905" s="85"/>
      <c r="DO905" s="85"/>
      <c r="DP905" s="85"/>
      <c r="DQ905" s="85"/>
      <c r="DR905" s="85"/>
      <c r="DS905" s="85"/>
      <c r="DT905" s="85"/>
      <c r="DU905" s="85"/>
      <c r="DV905" s="85"/>
      <c r="DW905" s="85"/>
      <c r="DX905" s="85"/>
      <c r="DY905" s="85"/>
      <c r="DZ905" s="85"/>
      <c r="EA905" s="85"/>
      <c r="EB905" s="85"/>
      <c r="EC905" s="85"/>
      <c r="ED905" s="85"/>
      <c r="EE905" s="85"/>
      <c r="EF905" s="85"/>
      <c r="EG905" s="85"/>
      <c r="EH905" s="85"/>
      <c r="EI905" s="85"/>
      <c r="EJ905" s="85"/>
      <c r="EK905" s="85"/>
      <c r="EL905" s="85"/>
      <c r="EM905" s="85"/>
      <c r="EN905" s="85"/>
      <c r="EO905" s="85"/>
      <c r="EP905" s="85"/>
      <c r="EQ905" s="85"/>
      <c r="ER905" s="85"/>
      <c r="ES905" s="85"/>
      <c r="ET905" s="85"/>
      <c r="EU905" s="85"/>
      <c r="EV905" s="85"/>
      <c r="EW905" s="85"/>
      <c r="EX905" s="85"/>
      <c r="EY905" s="85"/>
      <c r="EZ905" s="85"/>
      <c r="FA905" s="85"/>
      <c r="FB905" s="85"/>
      <c r="FC905" s="85"/>
      <c r="FD905" s="85"/>
      <c r="FE905" s="85"/>
      <c r="FF905" s="85"/>
      <c r="FG905" s="85"/>
      <c r="FH905" s="85"/>
      <c r="FI905" s="85"/>
      <c r="FJ905" s="85"/>
      <c r="FK905" s="85"/>
      <c r="FL905" s="85"/>
      <c r="FM905" s="85"/>
      <c r="FN905" s="85"/>
      <c r="FO905" s="85"/>
      <c r="FP905" s="85"/>
      <c r="FQ905" s="85"/>
      <c r="FR905" s="85"/>
      <c r="FS905" s="85"/>
      <c r="FT905" s="85"/>
      <c r="FU905" s="85"/>
      <c r="FV905" s="85"/>
      <c r="FW905" s="85"/>
      <c r="FX905" s="85"/>
      <c r="FY905" s="85"/>
      <c r="FZ905" s="85"/>
      <c r="GA905" s="85"/>
      <c r="GB905" s="85"/>
      <c r="GC905" s="85"/>
      <c r="GD905" s="85"/>
      <c r="GE905" s="85"/>
      <c r="GF905" s="85"/>
      <c r="GG905" s="85"/>
      <c r="GH905" s="85"/>
      <c r="GI905" s="85"/>
      <c r="GJ905" s="85"/>
      <c r="GK905" s="85"/>
      <c r="GL905" s="85"/>
      <c r="GM905" s="85"/>
      <c r="GN905" s="85"/>
      <c r="GO905" s="85"/>
      <c r="GP905" s="85"/>
      <c r="GQ905" s="85"/>
      <c r="GR905" s="85"/>
      <c r="GS905" s="85"/>
      <c r="GT905" s="85"/>
      <c r="GU905" s="85"/>
      <c r="GV905" s="85"/>
      <c r="GW905" s="85"/>
      <c r="GX905" s="85"/>
      <c r="GY905" s="85"/>
      <c r="GZ905" s="85"/>
      <c r="HA905" s="85"/>
      <c r="HB905" s="85"/>
      <c r="HC905" s="85"/>
      <c r="HD905" s="85"/>
      <c r="HE905" s="85"/>
      <c r="HF905" s="85"/>
      <c r="HG905" s="85"/>
      <c r="HH905" s="85"/>
      <c r="HI905" s="85"/>
      <c r="HJ905" s="85"/>
      <c r="HK905" s="85"/>
      <c r="HL905" s="85"/>
      <c r="HM905" s="85"/>
      <c r="HN905" s="85"/>
      <c r="HO905" s="85"/>
      <c r="HP905" s="85"/>
      <c r="HQ905" s="85"/>
      <c r="HR905" s="85"/>
      <c r="HS905" s="85"/>
      <c r="HT905" s="85"/>
      <c r="HU905" s="85"/>
      <c r="HV905" s="85"/>
      <c r="HW905" s="85"/>
      <c r="HX905" s="85"/>
      <c r="HY905" s="85"/>
      <c r="HZ905" s="85"/>
      <c r="IA905" s="85"/>
      <c r="IB905" s="85"/>
      <c r="IC905" s="85"/>
      <c r="ID905" s="85"/>
      <c r="IE905" s="85"/>
      <c r="IF905" s="85"/>
      <c r="IG905" s="85"/>
      <c r="IH905" s="85"/>
      <c r="II905" s="85"/>
      <c r="IJ905" s="85"/>
      <c r="IK905" s="85"/>
      <c r="IL905" s="85"/>
      <c r="IM905" s="85"/>
      <c r="IN905" s="85"/>
      <c r="IO905" s="85"/>
      <c r="IP905" s="85"/>
      <c r="IQ905" s="85"/>
      <c r="IR905" s="85"/>
      <c r="IS905" s="85"/>
      <c r="IT905" s="85"/>
      <c r="IU905" s="85"/>
      <c r="IV905" s="85"/>
      <c r="IW905" s="85"/>
      <c r="IX905" s="85"/>
      <c r="IY905" s="85"/>
      <c r="IZ905" s="85"/>
      <c r="JA905" s="85"/>
      <c r="JB905" s="85"/>
      <c r="JC905" s="85"/>
      <c r="JD905" s="85"/>
      <c r="JE905" s="85"/>
      <c r="JF905" s="85"/>
      <c r="JG905" s="85"/>
      <c r="JH905" s="85"/>
      <c r="JI905" s="85"/>
      <c r="JJ905" s="85"/>
      <c r="JK905" s="85"/>
      <c r="JL905" s="85"/>
      <c r="JM905" s="85"/>
      <c r="JN905" s="85"/>
      <c r="JO905" s="85"/>
      <c r="JP905" s="85"/>
      <c r="JQ905" s="85"/>
      <c r="JR905" s="85"/>
      <c r="JS905" s="85"/>
      <c r="JT905" s="85"/>
      <c r="JU905" s="85"/>
      <c r="JV905" s="85"/>
      <c r="JW905" s="85"/>
      <c r="JX905" s="85"/>
      <c r="JY905" s="85"/>
      <c r="JZ905" s="85"/>
      <c r="KA905" s="85"/>
      <c r="KB905" s="85"/>
      <c r="KC905" s="85"/>
      <c r="KD905" s="85"/>
      <c r="KE905" s="85"/>
      <c r="KF905" s="85"/>
      <c r="KG905" s="85"/>
      <c r="KH905" s="85"/>
      <c r="KI905" s="85"/>
      <c r="KJ905" s="85"/>
      <c r="KK905" s="85"/>
      <c r="KL905" s="85"/>
      <c r="KM905" s="85"/>
      <c r="KN905" s="85"/>
      <c r="KO905" s="85"/>
      <c r="KP905" s="85"/>
      <c r="KQ905" s="85"/>
      <c r="KR905" s="85"/>
      <c r="KS905" s="85"/>
      <c r="KT905" s="85"/>
      <c r="KU905" s="85"/>
      <c r="KV905" s="85"/>
      <c r="KW905" s="85"/>
      <c r="KX905" s="85"/>
      <c r="KY905" s="85"/>
      <c r="KZ905" s="85"/>
      <c r="LA905" s="85"/>
      <c r="LB905" s="85"/>
      <c r="LC905" s="85"/>
      <c r="LD905" s="85"/>
      <c r="LE905" s="85"/>
      <c r="LF905" s="85"/>
      <c r="LG905" s="85"/>
      <c r="LH905" s="85"/>
      <c r="LI905" s="85"/>
      <c r="LJ905" s="85"/>
      <c r="LK905" s="85"/>
      <c r="LL905" s="85"/>
      <c r="LM905" s="85"/>
      <c r="LN905" s="85"/>
      <c r="LO905" s="85"/>
      <c r="LP905" s="85"/>
      <c r="LQ905" s="85"/>
      <c r="LR905" s="85"/>
      <c r="LS905" s="85"/>
      <c r="LT905" s="85"/>
      <c r="LU905" s="85"/>
      <c r="LV905" s="85"/>
      <c r="LW905" s="85"/>
      <c r="LX905" s="85"/>
      <c r="LY905" s="85"/>
      <c r="LZ905" s="85"/>
      <c r="MA905" s="85"/>
      <c r="MB905" s="85"/>
      <c r="MC905" s="85"/>
      <c r="MD905" s="85"/>
      <c r="ME905" s="85"/>
      <c r="MF905" s="85"/>
      <c r="MG905" s="85"/>
      <c r="MH905" s="85"/>
      <c r="MI905" s="85"/>
      <c r="MJ905" s="85"/>
      <c r="MK905" s="85"/>
      <c r="ML905" s="85"/>
      <c r="MM905" s="85"/>
      <c r="MN905" s="85"/>
      <c r="MO905" s="85"/>
      <c r="MP905" s="85"/>
      <c r="MQ905" s="85"/>
      <c r="MR905" s="85"/>
      <c r="MS905" s="85"/>
      <c r="MT905" s="85"/>
      <c r="MU905" s="85"/>
      <c r="MV905" s="85"/>
      <c r="MW905" s="85"/>
      <c r="MX905" s="85"/>
      <c r="MY905" s="85"/>
      <c r="MZ905" s="85"/>
      <c r="NA905" s="85"/>
      <c r="NB905" s="85"/>
      <c r="NC905" s="85"/>
      <c r="ND905" s="85"/>
      <c r="NE905" s="85"/>
      <c r="NF905" s="85"/>
      <c r="NG905" s="85"/>
      <c r="NH905" s="85"/>
      <c r="NI905" s="85"/>
      <c r="NJ905" s="85"/>
      <c r="NK905" s="85"/>
      <c r="NL905" s="85"/>
      <c r="NM905" s="85"/>
      <c r="NN905" s="85"/>
      <c r="NO905" s="85"/>
      <c r="NP905" s="85"/>
      <c r="NQ905" s="85"/>
      <c r="NR905" s="85"/>
      <c r="NS905" s="85"/>
      <c r="NT905" s="85"/>
      <c r="NU905" s="85"/>
      <c r="NV905" s="85"/>
      <c r="NW905" s="85"/>
      <c r="NX905" s="85"/>
      <c r="NY905" s="85"/>
      <c r="NZ905" s="85"/>
      <c r="OA905" s="85"/>
      <c r="OB905" s="85"/>
      <c r="OC905" s="85"/>
      <c r="OD905" s="85"/>
      <c r="OE905" s="85"/>
      <c r="OF905" s="85"/>
      <c r="OG905" s="85"/>
      <c r="OH905" s="85"/>
      <c r="OI905" s="85"/>
      <c r="OJ905" s="85"/>
      <c r="OK905" s="85"/>
      <c r="OL905" s="85"/>
      <c r="OM905" s="85"/>
      <c r="ON905" s="85"/>
      <c r="OO905" s="85"/>
      <c r="OP905" s="85"/>
      <c r="OQ905" s="85"/>
      <c r="OR905" s="85"/>
      <c r="OS905" s="85"/>
      <c r="OT905" s="85"/>
      <c r="OU905" s="85"/>
      <c r="OV905" s="85"/>
      <c r="OW905" s="85"/>
      <c r="OX905" s="85"/>
      <c r="OY905" s="85"/>
      <c r="OZ905" s="85"/>
      <c r="PA905" s="85"/>
      <c r="PB905" s="85"/>
      <c r="PC905" s="85"/>
      <c r="PD905" s="85"/>
      <c r="PE905" s="85"/>
      <c r="PF905" s="85"/>
      <c r="PG905" s="85"/>
      <c r="PH905" s="85"/>
      <c r="PI905" s="85"/>
      <c r="PJ905" s="85"/>
      <c r="PK905" s="85"/>
      <c r="PL905" s="85"/>
      <c r="PM905" s="85"/>
      <c r="PN905" s="85"/>
      <c r="PO905" s="85"/>
      <c r="PP905" s="85"/>
      <c r="PQ905" s="85"/>
      <c r="PR905" s="85"/>
      <c r="PS905" s="85"/>
      <c r="PT905" s="85"/>
      <c r="PU905" s="85"/>
      <c r="PV905" s="85"/>
      <c r="PW905" s="85"/>
      <c r="PX905" s="85"/>
      <c r="PY905" s="85"/>
      <c r="PZ905" s="85"/>
      <c r="QA905" s="85"/>
      <c r="QB905" s="85"/>
      <c r="QC905" s="85"/>
      <c r="QD905" s="85"/>
      <c r="QE905" s="85"/>
      <c r="QF905" s="85"/>
      <c r="QG905" s="85"/>
      <c r="QH905" s="85"/>
      <c r="QI905" s="85"/>
      <c r="QJ905" s="85"/>
      <c r="QK905" s="85"/>
      <c r="QL905" s="85"/>
      <c r="QM905" s="85"/>
      <c r="QN905" s="85"/>
      <c r="QO905" s="85"/>
      <c r="QP905" s="85"/>
      <c r="QQ905" s="85"/>
      <c r="QR905" s="85"/>
      <c r="QS905" s="85"/>
      <c r="QT905" s="85"/>
      <c r="QU905" s="85"/>
      <c r="QV905" s="85"/>
      <c r="QW905" s="85"/>
      <c r="QX905" s="85"/>
      <c r="QY905" s="85"/>
      <c r="QZ905" s="85"/>
      <c r="RA905" s="85"/>
      <c r="RB905" s="85"/>
      <c r="RC905" s="85"/>
      <c r="RD905" s="85"/>
      <c r="RE905" s="85"/>
      <c r="RF905" s="85"/>
      <c r="RG905" s="85"/>
      <c r="RH905" s="85"/>
      <c r="RI905" s="85"/>
      <c r="RJ905" s="85"/>
      <c r="RK905" s="85"/>
      <c r="RL905" s="85"/>
      <c r="RM905" s="85"/>
      <c r="RN905" s="85"/>
      <c r="RO905" s="85"/>
      <c r="RP905" s="85"/>
      <c r="RQ905" s="85"/>
      <c r="RR905" s="85"/>
      <c r="RS905" s="85"/>
      <c r="RT905" s="85"/>
      <c r="RU905" s="85"/>
      <c r="RV905" s="85"/>
      <c r="RW905" s="85"/>
      <c r="RX905" s="85"/>
      <c r="RY905" s="85"/>
      <c r="RZ905" s="85"/>
      <c r="SA905" s="85"/>
      <c r="SB905" s="85"/>
      <c r="SC905" s="85"/>
      <c r="SD905" s="85"/>
      <c r="SE905" s="85"/>
      <c r="SF905" s="85"/>
      <c r="SG905" s="85"/>
      <c r="SH905" s="85"/>
      <c r="SI905" s="85"/>
      <c r="SJ905" s="85"/>
      <c r="SK905" s="85"/>
      <c r="SL905" s="85"/>
      <c r="SM905" s="85"/>
      <c r="SN905" s="85"/>
      <c r="SO905" s="85"/>
      <c r="SP905" s="85"/>
      <c r="SQ905" s="85"/>
      <c r="SR905" s="85"/>
      <c r="SS905" s="85"/>
      <c r="ST905" s="85"/>
      <c r="SU905" s="85"/>
      <c r="SV905" s="85"/>
      <c r="SW905" s="85"/>
      <c r="SX905" s="85"/>
      <c r="SY905" s="85"/>
      <c r="SZ905" s="85"/>
      <c r="TA905" s="85"/>
      <c r="TB905" s="85"/>
      <c r="TC905" s="85"/>
      <c r="TD905" s="85"/>
      <c r="TE905" s="85"/>
      <c r="TF905" s="85"/>
      <c r="TG905" s="85"/>
      <c r="TH905" s="85"/>
      <c r="TI905" s="85"/>
      <c r="TJ905" s="85"/>
      <c r="TK905" s="85"/>
      <c r="TL905" s="85"/>
    </row>
    <row r="906" spans="1:532" s="85" customFormat="1" ht="12.75" customHeight="1">
      <c r="A906" s="122" t="s">
        <v>492</v>
      </c>
      <c r="B906" s="240" t="s">
        <v>494</v>
      </c>
      <c r="C906" s="124"/>
      <c r="D906" s="124"/>
      <c r="E906" s="173">
        <v>59162684.229999997</v>
      </c>
      <c r="F906" s="146"/>
      <c r="G906" s="138"/>
      <c r="H906" s="98"/>
      <c r="I906" s="140">
        <f t="shared" ref="I906:N906" si="47">SUM(I907)</f>
        <v>0</v>
      </c>
      <c r="J906" s="140">
        <f t="shared" si="47"/>
        <v>0</v>
      </c>
      <c r="K906" s="140">
        <f t="shared" si="47"/>
        <v>0</v>
      </c>
      <c r="L906" s="140">
        <f t="shared" si="47"/>
        <v>0</v>
      </c>
      <c r="M906" s="140">
        <f t="shared" si="47"/>
        <v>0</v>
      </c>
      <c r="N906" s="140">
        <f t="shared" si="47"/>
        <v>59162684.229999997</v>
      </c>
    </row>
    <row r="907" spans="1:532" s="85" customFormat="1" ht="12.75" customHeight="1">
      <c r="A907" s="122"/>
      <c r="B907" s="240"/>
      <c r="C907" s="124"/>
      <c r="D907" s="124"/>
      <c r="E907" s="124"/>
      <c r="F907" s="146" t="s">
        <v>484</v>
      </c>
      <c r="G907" s="138"/>
      <c r="H907" s="98"/>
      <c r="I907" s="125"/>
      <c r="J907" s="125"/>
      <c r="K907" s="125"/>
      <c r="L907" s="125"/>
      <c r="M907" s="125"/>
      <c r="N907" s="124">
        <f>+E906-D906</f>
        <v>59162684.229999997</v>
      </c>
    </row>
    <row r="908" spans="1:532" s="135" customFormat="1" ht="12.75" customHeight="1">
      <c r="A908" s="111"/>
      <c r="B908" s="243"/>
      <c r="C908" s="112"/>
      <c r="D908" s="112"/>
      <c r="E908" s="112"/>
      <c r="F908" s="253"/>
      <c r="G908" s="134"/>
      <c r="H908" s="114"/>
      <c r="I908" s="115"/>
      <c r="J908" s="115"/>
      <c r="K908" s="115"/>
      <c r="L908" s="115"/>
      <c r="M908" s="115"/>
      <c r="N908" s="116"/>
      <c r="O908" s="85"/>
      <c r="P908" s="85"/>
      <c r="Q908" s="85"/>
      <c r="R908" s="85"/>
      <c r="S908" s="85"/>
      <c r="T908" s="85"/>
      <c r="U908" s="85"/>
      <c r="V908" s="85"/>
      <c r="W908" s="85"/>
      <c r="X908" s="85"/>
      <c r="Y908" s="85"/>
      <c r="Z908" s="85"/>
      <c r="AA908" s="85"/>
      <c r="AB908" s="85"/>
      <c r="AC908" s="85"/>
      <c r="AD908" s="85"/>
      <c r="AE908" s="85"/>
      <c r="AF908" s="85"/>
      <c r="AG908" s="85"/>
      <c r="AH908" s="85"/>
      <c r="AI908" s="85"/>
      <c r="AJ908" s="85"/>
      <c r="AK908" s="85"/>
      <c r="AL908" s="85"/>
      <c r="AM908" s="85"/>
      <c r="AN908" s="85"/>
      <c r="AO908" s="85"/>
      <c r="AP908" s="85"/>
      <c r="AQ908" s="85"/>
      <c r="AR908" s="85"/>
      <c r="AS908" s="85"/>
      <c r="AT908" s="85"/>
      <c r="AU908" s="85"/>
      <c r="AV908" s="85"/>
      <c r="AW908" s="85"/>
      <c r="AX908" s="85"/>
      <c r="AY908" s="85"/>
      <c r="AZ908" s="85"/>
      <c r="BA908" s="85"/>
      <c r="BB908" s="85"/>
      <c r="BC908" s="85"/>
      <c r="BD908" s="85"/>
      <c r="BE908" s="85"/>
      <c r="BF908" s="85"/>
      <c r="BG908" s="85"/>
      <c r="BH908" s="85"/>
      <c r="BI908" s="85"/>
      <c r="BJ908" s="85"/>
      <c r="BK908" s="85"/>
      <c r="BL908" s="85"/>
      <c r="BM908" s="85"/>
      <c r="BN908" s="85"/>
      <c r="BO908" s="85"/>
      <c r="BP908" s="85"/>
      <c r="BQ908" s="85"/>
      <c r="BR908" s="85"/>
      <c r="BS908" s="85"/>
      <c r="BT908" s="85"/>
      <c r="BU908" s="85"/>
      <c r="BV908" s="85"/>
      <c r="BW908" s="85"/>
      <c r="BX908" s="85"/>
      <c r="BY908" s="85"/>
      <c r="BZ908" s="85"/>
      <c r="CA908" s="85"/>
      <c r="CB908" s="85"/>
      <c r="CC908" s="85"/>
      <c r="CD908" s="85"/>
      <c r="CE908" s="85"/>
      <c r="CF908" s="85"/>
      <c r="CG908" s="85"/>
      <c r="CH908" s="85"/>
      <c r="CI908" s="85"/>
      <c r="CJ908" s="85"/>
      <c r="CK908" s="85"/>
      <c r="CL908" s="85"/>
      <c r="CM908" s="85"/>
      <c r="CN908" s="85"/>
      <c r="CO908" s="85"/>
      <c r="CP908" s="85"/>
      <c r="CQ908" s="85"/>
      <c r="CR908" s="85"/>
      <c r="CS908" s="85"/>
      <c r="CT908" s="85"/>
      <c r="CU908" s="85"/>
      <c r="CV908" s="85"/>
      <c r="CW908" s="85"/>
      <c r="CX908" s="85"/>
      <c r="CY908" s="85"/>
      <c r="CZ908" s="85"/>
      <c r="DA908" s="85"/>
      <c r="DB908" s="85"/>
      <c r="DC908" s="85"/>
      <c r="DD908" s="85"/>
      <c r="DE908" s="85"/>
      <c r="DF908" s="85"/>
      <c r="DG908" s="85"/>
      <c r="DH908" s="85"/>
      <c r="DI908" s="85"/>
      <c r="DJ908" s="85"/>
      <c r="DK908" s="85"/>
      <c r="DL908" s="85"/>
      <c r="DM908" s="85"/>
      <c r="DN908" s="85"/>
      <c r="DO908" s="85"/>
      <c r="DP908" s="85"/>
      <c r="DQ908" s="85"/>
      <c r="DR908" s="85"/>
      <c r="DS908" s="85"/>
      <c r="DT908" s="85"/>
      <c r="DU908" s="85"/>
      <c r="DV908" s="85"/>
      <c r="DW908" s="85"/>
      <c r="DX908" s="85"/>
      <c r="DY908" s="85"/>
      <c r="DZ908" s="85"/>
      <c r="EA908" s="85"/>
      <c r="EB908" s="85"/>
      <c r="EC908" s="85"/>
      <c r="ED908" s="85"/>
      <c r="EE908" s="85"/>
      <c r="EF908" s="85"/>
      <c r="EG908" s="85"/>
      <c r="EH908" s="85"/>
      <c r="EI908" s="85"/>
      <c r="EJ908" s="85"/>
      <c r="EK908" s="85"/>
      <c r="EL908" s="85"/>
      <c r="EM908" s="85"/>
      <c r="EN908" s="85"/>
      <c r="EO908" s="85"/>
      <c r="EP908" s="85"/>
      <c r="EQ908" s="85"/>
      <c r="ER908" s="85"/>
      <c r="ES908" s="85"/>
      <c r="ET908" s="85"/>
      <c r="EU908" s="85"/>
      <c r="EV908" s="85"/>
      <c r="EW908" s="85"/>
      <c r="EX908" s="85"/>
      <c r="EY908" s="85"/>
      <c r="EZ908" s="85"/>
      <c r="FA908" s="85"/>
      <c r="FB908" s="85"/>
      <c r="FC908" s="85"/>
      <c r="FD908" s="85"/>
      <c r="FE908" s="85"/>
      <c r="FF908" s="85"/>
      <c r="FG908" s="85"/>
      <c r="FH908" s="85"/>
      <c r="FI908" s="85"/>
      <c r="FJ908" s="85"/>
      <c r="FK908" s="85"/>
      <c r="FL908" s="85"/>
      <c r="FM908" s="85"/>
      <c r="FN908" s="85"/>
      <c r="FO908" s="85"/>
      <c r="FP908" s="85"/>
      <c r="FQ908" s="85"/>
      <c r="FR908" s="85"/>
      <c r="FS908" s="85"/>
      <c r="FT908" s="85"/>
      <c r="FU908" s="85"/>
      <c r="FV908" s="85"/>
      <c r="FW908" s="85"/>
      <c r="FX908" s="85"/>
      <c r="FY908" s="85"/>
      <c r="FZ908" s="85"/>
      <c r="GA908" s="85"/>
      <c r="GB908" s="85"/>
      <c r="GC908" s="85"/>
      <c r="GD908" s="85"/>
      <c r="GE908" s="85"/>
      <c r="GF908" s="85"/>
      <c r="GG908" s="85"/>
      <c r="GH908" s="85"/>
      <c r="GI908" s="85"/>
      <c r="GJ908" s="85"/>
      <c r="GK908" s="85"/>
      <c r="GL908" s="85"/>
      <c r="GM908" s="85"/>
      <c r="GN908" s="85"/>
      <c r="GO908" s="85"/>
      <c r="GP908" s="85"/>
      <c r="GQ908" s="85"/>
      <c r="GR908" s="85"/>
      <c r="GS908" s="85"/>
      <c r="GT908" s="85"/>
      <c r="GU908" s="85"/>
      <c r="GV908" s="85"/>
      <c r="GW908" s="85"/>
      <c r="GX908" s="85"/>
      <c r="GY908" s="85"/>
      <c r="GZ908" s="85"/>
      <c r="HA908" s="85"/>
      <c r="HB908" s="85"/>
      <c r="HC908" s="85"/>
      <c r="HD908" s="85"/>
      <c r="HE908" s="85"/>
      <c r="HF908" s="85"/>
      <c r="HG908" s="85"/>
      <c r="HH908" s="85"/>
      <c r="HI908" s="85"/>
      <c r="HJ908" s="85"/>
      <c r="HK908" s="85"/>
      <c r="HL908" s="85"/>
      <c r="HM908" s="85"/>
      <c r="HN908" s="85"/>
      <c r="HO908" s="85"/>
      <c r="HP908" s="85"/>
      <c r="HQ908" s="85"/>
      <c r="HR908" s="85"/>
      <c r="HS908" s="85"/>
      <c r="HT908" s="85"/>
      <c r="HU908" s="85"/>
      <c r="HV908" s="85"/>
      <c r="HW908" s="85"/>
      <c r="HX908" s="85"/>
      <c r="HY908" s="85"/>
      <c r="HZ908" s="85"/>
      <c r="IA908" s="85"/>
      <c r="IB908" s="85"/>
      <c r="IC908" s="85"/>
      <c r="ID908" s="85"/>
      <c r="IE908" s="85"/>
      <c r="IF908" s="85"/>
      <c r="IG908" s="85"/>
      <c r="IH908" s="85"/>
      <c r="II908" s="85"/>
      <c r="IJ908" s="85"/>
      <c r="IK908" s="85"/>
      <c r="IL908" s="85"/>
      <c r="IM908" s="85"/>
      <c r="IN908" s="85"/>
      <c r="IO908" s="85"/>
      <c r="IP908" s="85"/>
      <c r="IQ908" s="85"/>
      <c r="IR908" s="85"/>
      <c r="IS908" s="85"/>
      <c r="IT908" s="85"/>
      <c r="IU908" s="85"/>
      <c r="IV908" s="85"/>
      <c r="IW908" s="85"/>
      <c r="IX908" s="85"/>
      <c r="IY908" s="85"/>
      <c r="IZ908" s="85"/>
      <c r="JA908" s="85"/>
      <c r="JB908" s="85"/>
      <c r="JC908" s="85"/>
      <c r="JD908" s="85"/>
      <c r="JE908" s="85"/>
      <c r="JF908" s="85"/>
      <c r="JG908" s="85"/>
      <c r="JH908" s="85"/>
      <c r="JI908" s="85"/>
      <c r="JJ908" s="85"/>
      <c r="JK908" s="85"/>
      <c r="JL908" s="85"/>
      <c r="JM908" s="85"/>
      <c r="JN908" s="85"/>
      <c r="JO908" s="85"/>
      <c r="JP908" s="85"/>
      <c r="JQ908" s="85"/>
      <c r="JR908" s="85"/>
      <c r="JS908" s="85"/>
      <c r="JT908" s="85"/>
      <c r="JU908" s="85"/>
      <c r="JV908" s="85"/>
      <c r="JW908" s="85"/>
      <c r="JX908" s="85"/>
      <c r="JY908" s="85"/>
      <c r="JZ908" s="85"/>
      <c r="KA908" s="85"/>
      <c r="KB908" s="85"/>
      <c r="KC908" s="85"/>
      <c r="KD908" s="85"/>
      <c r="KE908" s="85"/>
      <c r="KF908" s="85"/>
      <c r="KG908" s="85"/>
      <c r="KH908" s="85"/>
      <c r="KI908" s="85"/>
      <c r="KJ908" s="85"/>
      <c r="KK908" s="85"/>
      <c r="KL908" s="85"/>
      <c r="KM908" s="85"/>
      <c r="KN908" s="85"/>
      <c r="KO908" s="85"/>
      <c r="KP908" s="85"/>
      <c r="KQ908" s="85"/>
      <c r="KR908" s="85"/>
      <c r="KS908" s="85"/>
      <c r="KT908" s="85"/>
      <c r="KU908" s="85"/>
      <c r="KV908" s="85"/>
      <c r="KW908" s="85"/>
      <c r="KX908" s="85"/>
      <c r="KY908" s="85"/>
      <c r="KZ908" s="85"/>
      <c r="LA908" s="85"/>
      <c r="LB908" s="85"/>
      <c r="LC908" s="85"/>
      <c r="LD908" s="85"/>
      <c r="LE908" s="85"/>
      <c r="LF908" s="85"/>
      <c r="LG908" s="85"/>
      <c r="LH908" s="85"/>
      <c r="LI908" s="85"/>
      <c r="LJ908" s="85"/>
      <c r="LK908" s="85"/>
      <c r="LL908" s="85"/>
      <c r="LM908" s="85"/>
      <c r="LN908" s="85"/>
      <c r="LO908" s="85"/>
      <c r="LP908" s="85"/>
      <c r="LQ908" s="85"/>
      <c r="LR908" s="85"/>
      <c r="LS908" s="85"/>
      <c r="LT908" s="85"/>
      <c r="LU908" s="85"/>
      <c r="LV908" s="85"/>
      <c r="LW908" s="85"/>
      <c r="LX908" s="85"/>
      <c r="LY908" s="85"/>
      <c r="LZ908" s="85"/>
      <c r="MA908" s="85"/>
      <c r="MB908" s="85"/>
      <c r="MC908" s="85"/>
      <c r="MD908" s="85"/>
      <c r="ME908" s="85"/>
      <c r="MF908" s="85"/>
      <c r="MG908" s="85"/>
      <c r="MH908" s="85"/>
      <c r="MI908" s="85"/>
      <c r="MJ908" s="85"/>
      <c r="MK908" s="85"/>
      <c r="ML908" s="85"/>
      <c r="MM908" s="85"/>
      <c r="MN908" s="85"/>
      <c r="MO908" s="85"/>
      <c r="MP908" s="85"/>
      <c r="MQ908" s="85"/>
      <c r="MR908" s="85"/>
      <c r="MS908" s="85"/>
      <c r="MT908" s="85"/>
      <c r="MU908" s="85"/>
      <c r="MV908" s="85"/>
      <c r="MW908" s="85"/>
      <c r="MX908" s="85"/>
      <c r="MY908" s="85"/>
      <c r="MZ908" s="85"/>
      <c r="NA908" s="85"/>
      <c r="NB908" s="85"/>
      <c r="NC908" s="85"/>
      <c r="ND908" s="85"/>
      <c r="NE908" s="85"/>
      <c r="NF908" s="85"/>
      <c r="NG908" s="85"/>
      <c r="NH908" s="85"/>
      <c r="NI908" s="85"/>
      <c r="NJ908" s="85"/>
      <c r="NK908" s="85"/>
      <c r="NL908" s="85"/>
      <c r="NM908" s="85"/>
      <c r="NN908" s="85"/>
      <c r="NO908" s="85"/>
      <c r="NP908" s="85"/>
      <c r="NQ908" s="85"/>
      <c r="NR908" s="85"/>
      <c r="NS908" s="85"/>
      <c r="NT908" s="85"/>
      <c r="NU908" s="85"/>
      <c r="NV908" s="85"/>
      <c r="NW908" s="85"/>
      <c r="NX908" s="85"/>
      <c r="NY908" s="85"/>
      <c r="NZ908" s="85"/>
      <c r="OA908" s="85"/>
      <c r="OB908" s="85"/>
      <c r="OC908" s="85"/>
      <c r="OD908" s="85"/>
      <c r="OE908" s="85"/>
      <c r="OF908" s="85"/>
      <c r="OG908" s="85"/>
      <c r="OH908" s="85"/>
      <c r="OI908" s="85"/>
      <c r="OJ908" s="85"/>
      <c r="OK908" s="85"/>
      <c r="OL908" s="85"/>
      <c r="OM908" s="85"/>
      <c r="ON908" s="85"/>
      <c r="OO908" s="85"/>
      <c r="OP908" s="85"/>
      <c r="OQ908" s="85"/>
      <c r="OR908" s="85"/>
      <c r="OS908" s="85"/>
      <c r="OT908" s="85"/>
      <c r="OU908" s="85"/>
      <c r="OV908" s="85"/>
      <c r="OW908" s="85"/>
      <c r="OX908" s="85"/>
      <c r="OY908" s="85"/>
      <c r="OZ908" s="85"/>
      <c r="PA908" s="85"/>
      <c r="PB908" s="85"/>
      <c r="PC908" s="85"/>
      <c r="PD908" s="85"/>
      <c r="PE908" s="85"/>
      <c r="PF908" s="85"/>
      <c r="PG908" s="85"/>
      <c r="PH908" s="85"/>
      <c r="PI908" s="85"/>
      <c r="PJ908" s="85"/>
      <c r="PK908" s="85"/>
      <c r="PL908" s="85"/>
      <c r="PM908" s="85"/>
      <c r="PN908" s="85"/>
      <c r="PO908" s="85"/>
      <c r="PP908" s="85"/>
      <c r="PQ908" s="85"/>
      <c r="PR908" s="85"/>
      <c r="PS908" s="85"/>
      <c r="PT908" s="85"/>
      <c r="PU908" s="85"/>
      <c r="PV908" s="85"/>
      <c r="PW908" s="85"/>
      <c r="PX908" s="85"/>
      <c r="PY908" s="85"/>
      <c r="PZ908" s="85"/>
      <c r="QA908" s="85"/>
      <c r="QB908" s="85"/>
      <c r="QC908" s="85"/>
      <c r="QD908" s="85"/>
      <c r="QE908" s="85"/>
      <c r="QF908" s="85"/>
      <c r="QG908" s="85"/>
      <c r="QH908" s="85"/>
      <c r="QI908" s="85"/>
      <c r="QJ908" s="85"/>
      <c r="QK908" s="85"/>
      <c r="QL908" s="85"/>
      <c r="QM908" s="85"/>
      <c r="QN908" s="85"/>
      <c r="QO908" s="85"/>
      <c r="QP908" s="85"/>
      <c r="QQ908" s="85"/>
      <c r="QR908" s="85"/>
      <c r="QS908" s="85"/>
      <c r="QT908" s="85"/>
      <c r="QU908" s="85"/>
      <c r="QV908" s="85"/>
      <c r="QW908" s="85"/>
      <c r="QX908" s="85"/>
      <c r="QY908" s="85"/>
      <c r="QZ908" s="85"/>
      <c r="RA908" s="85"/>
      <c r="RB908" s="85"/>
      <c r="RC908" s="85"/>
      <c r="RD908" s="85"/>
      <c r="RE908" s="85"/>
      <c r="RF908" s="85"/>
      <c r="RG908" s="85"/>
      <c r="RH908" s="85"/>
      <c r="RI908" s="85"/>
      <c r="RJ908" s="85"/>
      <c r="RK908" s="85"/>
      <c r="RL908" s="85"/>
      <c r="RM908" s="85"/>
      <c r="RN908" s="85"/>
      <c r="RO908" s="85"/>
      <c r="RP908" s="85"/>
      <c r="RQ908" s="85"/>
      <c r="RR908" s="85"/>
      <c r="RS908" s="85"/>
      <c r="RT908" s="85"/>
      <c r="RU908" s="85"/>
      <c r="RV908" s="85"/>
      <c r="RW908" s="85"/>
      <c r="RX908" s="85"/>
      <c r="RY908" s="85"/>
      <c r="RZ908" s="85"/>
      <c r="SA908" s="85"/>
      <c r="SB908" s="85"/>
      <c r="SC908" s="85"/>
      <c r="SD908" s="85"/>
      <c r="SE908" s="85"/>
      <c r="SF908" s="85"/>
      <c r="SG908" s="85"/>
      <c r="SH908" s="85"/>
      <c r="SI908" s="85"/>
      <c r="SJ908" s="85"/>
      <c r="SK908" s="85"/>
      <c r="SL908" s="85"/>
      <c r="SM908" s="85"/>
      <c r="SN908" s="85"/>
      <c r="SO908" s="85"/>
      <c r="SP908" s="85"/>
      <c r="SQ908" s="85"/>
      <c r="SR908" s="85"/>
      <c r="SS908" s="85"/>
      <c r="ST908" s="85"/>
      <c r="SU908" s="85"/>
      <c r="SV908" s="85"/>
      <c r="SW908" s="85"/>
      <c r="SX908" s="85"/>
      <c r="SY908" s="85"/>
      <c r="SZ908" s="85"/>
      <c r="TA908" s="85"/>
      <c r="TB908" s="85"/>
      <c r="TC908" s="85"/>
      <c r="TD908" s="85"/>
      <c r="TE908" s="85"/>
      <c r="TF908" s="85"/>
      <c r="TG908" s="85"/>
      <c r="TH908" s="85"/>
      <c r="TI908" s="85"/>
      <c r="TJ908" s="85"/>
      <c r="TK908" s="85"/>
      <c r="TL908" s="85"/>
    </row>
    <row r="909" spans="1:532" s="85" customFormat="1" ht="12.75" customHeight="1">
      <c r="A909" s="122" t="s">
        <v>492</v>
      </c>
      <c r="B909" s="240" t="s">
        <v>495</v>
      </c>
      <c r="C909" s="124"/>
      <c r="D909" s="124"/>
      <c r="E909" s="173">
        <v>11224944.119999999</v>
      </c>
      <c r="F909" s="146"/>
      <c r="G909" s="138"/>
      <c r="H909" s="98"/>
      <c r="I909" s="140">
        <f t="shared" ref="I909:N909" si="48">SUM(I910)</f>
        <v>0</v>
      </c>
      <c r="J909" s="140">
        <f t="shared" si="48"/>
        <v>0</v>
      </c>
      <c r="K909" s="140">
        <f t="shared" si="48"/>
        <v>0</v>
      </c>
      <c r="L909" s="140">
        <f t="shared" si="48"/>
        <v>0</v>
      </c>
      <c r="M909" s="140">
        <f t="shared" si="48"/>
        <v>0</v>
      </c>
      <c r="N909" s="140">
        <f t="shared" si="48"/>
        <v>11224944.119999999</v>
      </c>
    </row>
    <row r="910" spans="1:532" s="85" customFormat="1" ht="12.75" customHeight="1">
      <c r="A910" s="122"/>
      <c r="B910" s="240"/>
      <c r="C910" s="124"/>
      <c r="D910" s="124"/>
      <c r="E910" s="124"/>
      <c r="F910" s="146" t="s">
        <v>484</v>
      </c>
      <c r="G910" s="138"/>
      <c r="H910" s="98"/>
      <c r="I910" s="125"/>
      <c r="J910" s="125"/>
      <c r="K910" s="125"/>
      <c r="L910" s="125"/>
      <c r="M910" s="125"/>
      <c r="N910" s="124">
        <f>+E909-D909</f>
        <v>11224944.119999999</v>
      </c>
    </row>
    <row r="911" spans="1:532" s="135" customFormat="1" ht="12.75" customHeight="1">
      <c r="A911" s="111"/>
      <c r="B911" s="243"/>
      <c r="C911" s="112"/>
      <c r="D911" s="112"/>
      <c r="E911" s="112"/>
      <c r="F911" s="253"/>
      <c r="G911" s="134"/>
      <c r="H911" s="114"/>
      <c r="I911" s="115"/>
      <c r="J911" s="115"/>
      <c r="K911" s="115"/>
      <c r="L911" s="115"/>
      <c r="M911" s="115"/>
      <c r="N911" s="116"/>
      <c r="O911" s="85"/>
      <c r="P911" s="85"/>
      <c r="Q911" s="85"/>
      <c r="R911" s="85"/>
      <c r="S911" s="85"/>
      <c r="T911" s="85"/>
      <c r="U911" s="85"/>
      <c r="V911" s="85"/>
      <c r="W911" s="85"/>
      <c r="X911" s="85"/>
      <c r="Y911" s="85"/>
      <c r="Z911" s="85"/>
      <c r="AA911" s="85"/>
      <c r="AB911" s="85"/>
      <c r="AC911" s="85"/>
      <c r="AD911" s="85"/>
      <c r="AE911" s="85"/>
      <c r="AF911" s="85"/>
      <c r="AG911" s="85"/>
      <c r="AH911" s="85"/>
      <c r="AI911" s="85"/>
      <c r="AJ911" s="85"/>
      <c r="AK911" s="85"/>
      <c r="AL911" s="85"/>
      <c r="AM911" s="85"/>
      <c r="AN911" s="85"/>
      <c r="AO911" s="85"/>
      <c r="AP911" s="85"/>
      <c r="AQ911" s="85"/>
      <c r="AR911" s="85"/>
      <c r="AS911" s="85"/>
      <c r="AT911" s="85"/>
      <c r="AU911" s="85"/>
      <c r="AV911" s="85"/>
      <c r="AW911" s="85"/>
      <c r="AX911" s="85"/>
      <c r="AY911" s="85"/>
      <c r="AZ911" s="85"/>
      <c r="BA911" s="85"/>
      <c r="BB911" s="85"/>
      <c r="BC911" s="85"/>
      <c r="BD911" s="85"/>
      <c r="BE911" s="85"/>
      <c r="BF911" s="85"/>
      <c r="BG911" s="85"/>
      <c r="BH911" s="85"/>
      <c r="BI911" s="85"/>
      <c r="BJ911" s="85"/>
      <c r="BK911" s="85"/>
      <c r="BL911" s="85"/>
      <c r="BM911" s="85"/>
      <c r="BN911" s="85"/>
      <c r="BO911" s="85"/>
      <c r="BP911" s="85"/>
      <c r="BQ911" s="85"/>
      <c r="BR911" s="85"/>
      <c r="BS911" s="85"/>
      <c r="BT911" s="85"/>
      <c r="BU911" s="85"/>
      <c r="BV911" s="85"/>
      <c r="BW911" s="85"/>
      <c r="BX911" s="85"/>
      <c r="BY911" s="85"/>
      <c r="BZ911" s="85"/>
      <c r="CA911" s="85"/>
      <c r="CB911" s="85"/>
      <c r="CC911" s="85"/>
      <c r="CD911" s="85"/>
      <c r="CE911" s="85"/>
      <c r="CF911" s="85"/>
      <c r="CG911" s="85"/>
      <c r="CH911" s="85"/>
      <c r="CI911" s="85"/>
      <c r="CJ911" s="85"/>
      <c r="CK911" s="85"/>
      <c r="CL911" s="85"/>
      <c r="CM911" s="85"/>
      <c r="CN911" s="85"/>
      <c r="CO911" s="85"/>
      <c r="CP911" s="85"/>
      <c r="CQ911" s="85"/>
      <c r="CR911" s="85"/>
      <c r="CS911" s="85"/>
      <c r="CT911" s="85"/>
      <c r="CU911" s="85"/>
      <c r="CV911" s="85"/>
      <c r="CW911" s="85"/>
      <c r="CX911" s="85"/>
      <c r="CY911" s="85"/>
      <c r="CZ911" s="85"/>
      <c r="DA911" s="85"/>
      <c r="DB911" s="85"/>
      <c r="DC911" s="85"/>
      <c r="DD911" s="85"/>
      <c r="DE911" s="85"/>
      <c r="DF911" s="85"/>
      <c r="DG911" s="85"/>
      <c r="DH911" s="85"/>
      <c r="DI911" s="85"/>
      <c r="DJ911" s="85"/>
      <c r="DK911" s="85"/>
      <c r="DL911" s="85"/>
      <c r="DM911" s="85"/>
      <c r="DN911" s="85"/>
      <c r="DO911" s="85"/>
      <c r="DP911" s="85"/>
      <c r="DQ911" s="85"/>
      <c r="DR911" s="85"/>
      <c r="DS911" s="85"/>
      <c r="DT911" s="85"/>
      <c r="DU911" s="85"/>
      <c r="DV911" s="85"/>
      <c r="DW911" s="85"/>
      <c r="DX911" s="85"/>
      <c r="DY911" s="85"/>
      <c r="DZ911" s="85"/>
      <c r="EA911" s="85"/>
      <c r="EB911" s="85"/>
      <c r="EC911" s="85"/>
      <c r="ED911" s="85"/>
      <c r="EE911" s="85"/>
      <c r="EF911" s="85"/>
      <c r="EG911" s="85"/>
      <c r="EH911" s="85"/>
      <c r="EI911" s="85"/>
      <c r="EJ911" s="85"/>
      <c r="EK911" s="85"/>
      <c r="EL911" s="85"/>
      <c r="EM911" s="85"/>
      <c r="EN911" s="85"/>
      <c r="EO911" s="85"/>
      <c r="EP911" s="85"/>
      <c r="EQ911" s="85"/>
      <c r="ER911" s="85"/>
      <c r="ES911" s="85"/>
      <c r="ET911" s="85"/>
      <c r="EU911" s="85"/>
      <c r="EV911" s="85"/>
      <c r="EW911" s="85"/>
      <c r="EX911" s="85"/>
      <c r="EY911" s="85"/>
      <c r="EZ911" s="85"/>
      <c r="FA911" s="85"/>
      <c r="FB911" s="85"/>
      <c r="FC911" s="85"/>
      <c r="FD911" s="85"/>
      <c r="FE911" s="85"/>
      <c r="FF911" s="85"/>
      <c r="FG911" s="85"/>
      <c r="FH911" s="85"/>
      <c r="FI911" s="85"/>
      <c r="FJ911" s="85"/>
      <c r="FK911" s="85"/>
      <c r="FL911" s="85"/>
      <c r="FM911" s="85"/>
      <c r="FN911" s="85"/>
      <c r="FO911" s="85"/>
      <c r="FP911" s="85"/>
      <c r="FQ911" s="85"/>
      <c r="FR911" s="85"/>
      <c r="FS911" s="85"/>
      <c r="FT911" s="85"/>
      <c r="FU911" s="85"/>
      <c r="FV911" s="85"/>
      <c r="FW911" s="85"/>
      <c r="FX911" s="85"/>
      <c r="FY911" s="85"/>
      <c r="FZ911" s="85"/>
      <c r="GA911" s="85"/>
      <c r="GB911" s="85"/>
      <c r="GC911" s="85"/>
      <c r="GD911" s="85"/>
      <c r="GE911" s="85"/>
      <c r="GF911" s="85"/>
      <c r="GG911" s="85"/>
      <c r="GH911" s="85"/>
      <c r="GI911" s="85"/>
      <c r="GJ911" s="85"/>
      <c r="GK911" s="85"/>
      <c r="GL911" s="85"/>
      <c r="GM911" s="85"/>
      <c r="GN911" s="85"/>
      <c r="GO911" s="85"/>
      <c r="GP911" s="85"/>
      <c r="GQ911" s="85"/>
      <c r="GR911" s="85"/>
      <c r="GS911" s="85"/>
      <c r="GT911" s="85"/>
      <c r="GU911" s="85"/>
      <c r="GV911" s="85"/>
      <c r="GW911" s="85"/>
      <c r="GX911" s="85"/>
      <c r="GY911" s="85"/>
      <c r="GZ911" s="85"/>
      <c r="HA911" s="85"/>
      <c r="HB911" s="85"/>
      <c r="HC911" s="85"/>
      <c r="HD911" s="85"/>
      <c r="HE911" s="85"/>
      <c r="HF911" s="85"/>
      <c r="HG911" s="85"/>
      <c r="HH911" s="85"/>
      <c r="HI911" s="85"/>
      <c r="HJ911" s="85"/>
      <c r="HK911" s="85"/>
      <c r="HL911" s="85"/>
      <c r="HM911" s="85"/>
      <c r="HN911" s="85"/>
      <c r="HO911" s="85"/>
      <c r="HP911" s="85"/>
      <c r="HQ911" s="85"/>
      <c r="HR911" s="85"/>
      <c r="HS911" s="85"/>
      <c r="HT911" s="85"/>
      <c r="HU911" s="85"/>
      <c r="HV911" s="85"/>
      <c r="HW911" s="85"/>
      <c r="HX911" s="85"/>
      <c r="HY911" s="85"/>
      <c r="HZ911" s="85"/>
      <c r="IA911" s="85"/>
      <c r="IB911" s="85"/>
      <c r="IC911" s="85"/>
      <c r="ID911" s="85"/>
      <c r="IE911" s="85"/>
      <c r="IF911" s="85"/>
      <c r="IG911" s="85"/>
      <c r="IH911" s="85"/>
      <c r="II911" s="85"/>
      <c r="IJ911" s="85"/>
      <c r="IK911" s="85"/>
      <c r="IL911" s="85"/>
      <c r="IM911" s="85"/>
      <c r="IN911" s="85"/>
      <c r="IO911" s="85"/>
      <c r="IP911" s="85"/>
      <c r="IQ911" s="85"/>
      <c r="IR911" s="85"/>
      <c r="IS911" s="85"/>
      <c r="IT911" s="85"/>
      <c r="IU911" s="85"/>
      <c r="IV911" s="85"/>
      <c r="IW911" s="85"/>
      <c r="IX911" s="85"/>
      <c r="IY911" s="85"/>
      <c r="IZ911" s="85"/>
      <c r="JA911" s="85"/>
      <c r="JB911" s="85"/>
      <c r="JC911" s="85"/>
      <c r="JD911" s="85"/>
      <c r="JE911" s="85"/>
      <c r="JF911" s="85"/>
      <c r="JG911" s="85"/>
      <c r="JH911" s="85"/>
      <c r="JI911" s="85"/>
      <c r="JJ911" s="85"/>
      <c r="JK911" s="85"/>
      <c r="JL911" s="85"/>
      <c r="JM911" s="85"/>
      <c r="JN911" s="85"/>
      <c r="JO911" s="85"/>
      <c r="JP911" s="85"/>
      <c r="JQ911" s="85"/>
      <c r="JR911" s="85"/>
      <c r="JS911" s="85"/>
      <c r="JT911" s="85"/>
      <c r="JU911" s="85"/>
      <c r="JV911" s="85"/>
      <c r="JW911" s="85"/>
      <c r="JX911" s="85"/>
      <c r="JY911" s="85"/>
      <c r="JZ911" s="85"/>
      <c r="KA911" s="85"/>
      <c r="KB911" s="85"/>
      <c r="KC911" s="85"/>
      <c r="KD911" s="85"/>
      <c r="KE911" s="85"/>
      <c r="KF911" s="85"/>
      <c r="KG911" s="85"/>
      <c r="KH911" s="85"/>
      <c r="KI911" s="85"/>
      <c r="KJ911" s="85"/>
      <c r="KK911" s="85"/>
      <c r="KL911" s="85"/>
      <c r="KM911" s="85"/>
      <c r="KN911" s="85"/>
      <c r="KO911" s="85"/>
      <c r="KP911" s="85"/>
      <c r="KQ911" s="85"/>
      <c r="KR911" s="85"/>
      <c r="KS911" s="85"/>
      <c r="KT911" s="85"/>
      <c r="KU911" s="85"/>
      <c r="KV911" s="85"/>
      <c r="KW911" s="85"/>
      <c r="KX911" s="85"/>
      <c r="KY911" s="85"/>
      <c r="KZ911" s="85"/>
      <c r="LA911" s="85"/>
      <c r="LB911" s="85"/>
      <c r="LC911" s="85"/>
      <c r="LD911" s="85"/>
      <c r="LE911" s="85"/>
      <c r="LF911" s="85"/>
      <c r="LG911" s="85"/>
      <c r="LH911" s="85"/>
      <c r="LI911" s="85"/>
      <c r="LJ911" s="85"/>
      <c r="LK911" s="85"/>
      <c r="LL911" s="85"/>
      <c r="LM911" s="85"/>
      <c r="LN911" s="85"/>
      <c r="LO911" s="85"/>
      <c r="LP911" s="85"/>
      <c r="LQ911" s="85"/>
      <c r="LR911" s="85"/>
      <c r="LS911" s="85"/>
      <c r="LT911" s="85"/>
      <c r="LU911" s="85"/>
      <c r="LV911" s="85"/>
      <c r="LW911" s="85"/>
      <c r="LX911" s="85"/>
      <c r="LY911" s="85"/>
      <c r="LZ911" s="85"/>
      <c r="MA911" s="85"/>
      <c r="MB911" s="85"/>
      <c r="MC911" s="85"/>
      <c r="MD911" s="85"/>
      <c r="ME911" s="85"/>
      <c r="MF911" s="85"/>
      <c r="MG911" s="85"/>
      <c r="MH911" s="85"/>
      <c r="MI911" s="85"/>
      <c r="MJ911" s="85"/>
      <c r="MK911" s="85"/>
      <c r="ML911" s="85"/>
      <c r="MM911" s="85"/>
      <c r="MN911" s="85"/>
      <c r="MO911" s="85"/>
      <c r="MP911" s="85"/>
      <c r="MQ911" s="85"/>
      <c r="MR911" s="85"/>
      <c r="MS911" s="85"/>
      <c r="MT911" s="85"/>
      <c r="MU911" s="85"/>
      <c r="MV911" s="85"/>
      <c r="MW911" s="85"/>
      <c r="MX911" s="85"/>
      <c r="MY911" s="85"/>
      <c r="MZ911" s="85"/>
      <c r="NA911" s="85"/>
      <c r="NB911" s="85"/>
      <c r="NC911" s="85"/>
      <c r="ND911" s="85"/>
      <c r="NE911" s="85"/>
      <c r="NF911" s="85"/>
      <c r="NG911" s="85"/>
      <c r="NH911" s="85"/>
      <c r="NI911" s="85"/>
      <c r="NJ911" s="85"/>
      <c r="NK911" s="85"/>
      <c r="NL911" s="85"/>
      <c r="NM911" s="85"/>
      <c r="NN911" s="85"/>
      <c r="NO911" s="85"/>
      <c r="NP911" s="85"/>
      <c r="NQ911" s="85"/>
      <c r="NR911" s="85"/>
      <c r="NS911" s="85"/>
      <c r="NT911" s="85"/>
      <c r="NU911" s="85"/>
      <c r="NV911" s="85"/>
      <c r="NW911" s="85"/>
      <c r="NX911" s="85"/>
      <c r="NY911" s="85"/>
      <c r="NZ911" s="85"/>
      <c r="OA911" s="85"/>
      <c r="OB911" s="85"/>
      <c r="OC911" s="85"/>
      <c r="OD911" s="85"/>
      <c r="OE911" s="85"/>
      <c r="OF911" s="85"/>
      <c r="OG911" s="85"/>
      <c r="OH911" s="85"/>
      <c r="OI911" s="85"/>
      <c r="OJ911" s="85"/>
      <c r="OK911" s="85"/>
      <c r="OL911" s="85"/>
      <c r="OM911" s="85"/>
      <c r="ON911" s="85"/>
      <c r="OO911" s="85"/>
      <c r="OP911" s="85"/>
      <c r="OQ911" s="85"/>
      <c r="OR911" s="85"/>
      <c r="OS911" s="85"/>
      <c r="OT911" s="85"/>
      <c r="OU911" s="85"/>
      <c r="OV911" s="85"/>
      <c r="OW911" s="85"/>
      <c r="OX911" s="85"/>
      <c r="OY911" s="85"/>
      <c r="OZ911" s="85"/>
      <c r="PA911" s="85"/>
      <c r="PB911" s="85"/>
      <c r="PC911" s="85"/>
      <c r="PD911" s="85"/>
      <c r="PE911" s="85"/>
      <c r="PF911" s="85"/>
      <c r="PG911" s="85"/>
      <c r="PH911" s="85"/>
      <c r="PI911" s="85"/>
      <c r="PJ911" s="85"/>
      <c r="PK911" s="85"/>
      <c r="PL911" s="85"/>
      <c r="PM911" s="85"/>
      <c r="PN911" s="85"/>
      <c r="PO911" s="85"/>
      <c r="PP911" s="85"/>
      <c r="PQ911" s="85"/>
      <c r="PR911" s="85"/>
      <c r="PS911" s="85"/>
      <c r="PT911" s="85"/>
      <c r="PU911" s="85"/>
      <c r="PV911" s="85"/>
      <c r="PW911" s="85"/>
      <c r="PX911" s="85"/>
      <c r="PY911" s="85"/>
      <c r="PZ911" s="85"/>
      <c r="QA911" s="85"/>
      <c r="QB911" s="85"/>
      <c r="QC911" s="85"/>
      <c r="QD911" s="85"/>
      <c r="QE911" s="85"/>
      <c r="QF911" s="85"/>
      <c r="QG911" s="85"/>
      <c r="QH911" s="85"/>
      <c r="QI911" s="85"/>
      <c r="QJ911" s="85"/>
      <c r="QK911" s="85"/>
      <c r="QL911" s="85"/>
      <c r="QM911" s="85"/>
      <c r="QN911" s="85"/>
      <c r="QO911" s="85"/>
      <c r="QP911" s="85"/>
      <c r="QQ911" s="85"/>
      <c r="QR911" s="85"/>
      <c r="QS911" s="85"/>
      <c r="QT911" s="85"/>
      <c r="QU911" s="85"/>
      <c r="QV911" s="85"/>
      <c r="QW911" s="85"/>
      <c r="QX911" s="85"/>
      <c r="QY911" s="85"/>
      <c r="QZ911" s="85"/>
      <c r="RA911" s="85"/>
      <c r="RB911" s="85"/>
      <c r="RC911" s="85"/>
      <c r="RD911" s="85"/>
      <c r="RE911" s="85"/>
      <c r="RF911" s="85"/>
      <c r="RG911" s="85"/>
      <c r="RH911" s="85"/>
      <c r="RI911" s="85"/>
      <c r="RJ911" s="85"/>
      <c r="RK911" s="85"/>
      <c r="RL911" s="85"/>
      <c r="RM911" s="85"/>
      <c r="RN911" s="85"/>
      <c r="RO911" s="85"/>
      <c r="RP911" s="85"/>
      <c r="RQ911" s="85"/>
      <c r="RR911" s="85"/>
      <c r="RS911" s="85"/>
      <c r="RT911" s="85"/>
      <c r="RU911" s="85"/>
      <c r="RV911" s="85"/>
      <c r="RW911" s="85"/>
      <c r="RX911" s="85"/>
      <c r="RY911" s="85"/>
      <c r="RZ911" s="85"/>
      <c r="SA911" s="85"/>
      <c r="SB911" s="85"/>
      <c r="SC911" s="85"/>
      <c r="SD911" s="85"/>
      <c r="SE911" s="85"/>
      <c r="SF911" s="85"/>
      <c r="SG911" s="85"/>
      <c r="SH911" s="85"/>
      <c r="SI911" s="85"/>
      <c r="SJ911" s="85"/>
      <c r="SK911" s="85"/>
      <c r="SL911" s="85"/>
      <c r="SM911" s="85"/>
      <c r="SN911" s="85"/>
      <c r="SO911" s="85"/>
      <c r="SP911" s="85"/>
      <c r="SQ911" s="85"/>
      <c r="SR911" s="85"/>
      <c r="SS911" s="85"/>
      <c r="ST911" s="85"/>
      <c r="SU911" s="85"/>
      <c r="SV911" s="85"/>
      <c r="SW911" s="85"/>
      <c r="SX911" s="85"/>
      <c r="SY911" s="85"/>
      <c r="SZ911" s="85"/>
      <c r="TA911" s="85"/>
      <c r="TB911" s="85"/>
      <c r="TC911" s="85"/>
      <c r="TD911" s="85"/>
      <c r="TE911" s="85"/>
      <c r="TF911" s="85"/>
      <c r="TG911" s="85"/>
      <c r="TH911" s="85"/>
      <c r="TI911" s="85"/>
      <c r="TJ911" s="85"/>
      <c r="TK911" s="85"/>
      <c r="TL911" s="85"/>
    </row>
    <row r="912" spans="1:532" s="85" customFormat="1" ht="12.75" customHeight="1">
      <c r="A912" s="122" t="s">
        <v>492</v>
      </c>
      <c r="B912" s="240" t="s">
        <v>562</v>
      </c>
      <c r="C912" s="124"/>
      <c r="D912" s="173">
        <v>44.03</v>
      </c>
      <c r="E912" s="252">
        <f>+D912</f>
        <v>44.03</v>
      </c>
      <c r="F912" s="146"/>
      <c r="G912" s="138"/>
      <c r="H912" s="98"/>
      <c r="I912" s="140">
        <f t="shared" ref="I912:N912" si="49">SUM(I913)</f>
        <v>0</v>
      </c>
      <c r="J912" s="140">
        <f t="shared" si="49"/>
        <v>0</v>
      </c>
      <c r="K912" s="140">
        <f t="shared" si="49"/>
        <v>0</v>
      </c>
      <c r="L912" s="140">
        <f t="shared" si="49"/>
        <v>0</v>
      </c>
      <c r="M912" s="140">
        <f t="shared" si="49"/>
        <v>0</v>
      </c>
      <c r="N912" s="140">
        <f t="shared" si="49"/>
        <v>44.03</v>
      </c>
    </row>
    <row r="913" spans="1:532" s="85" customFormat="1" ht="12.75" customHeight="1">
      <c r="A913" s="122"/>
      <c r="B913" s="240"/>
      <c r="C913" s="124"/>
      <c r="D913" s="124"/>
      <c r="E913" s="124"/>
      <c r="F913" s="146" t="s">
        <v>394</v>
      </c>
      <c r="G913" s="138" t="s">
        <v>496</v>
      </c>
      <c r="H913" s="98" t="s">
        <v>81</v>
      </c>
      <c r="I913" s="124"/>
      <c r="J913" s="125"/>
      <c r="K913" s="125">
        <f>+I913</f>
        <v>0</v>
      </c>
      <c r="L913" s="125"/>
      <c r="M913" s="125"/>
      <c r="N913" s="126">
        <v>44.03</v>
      </c>
    </row>
    <row r="914" spans="1:532" s="135" customFormat="1" ht="12.75" customHeight="1">
      <c r="A914" s="111"/>
      <c r="B914" s="243"/>
      <c r="C914" s="112"/>
      <c r="D914" s="112"/>
      <c r="E914" s="112"/>
      <c r="F914" s="242"/>
      <c r="G914" s="113"/>
      <c r="H914" s="114"/>
      <c r="I914" s="115"/>
      <c r="J914" s="115"/>
      <c r="K914" s="115"/>
      <c r="L914" s="115"/>
      <c r="M914" s="115"/>
      <c r="N914" s="116"/>
      <c r="O914" s="85"/>
      <c r="P914" s="85"/>
      <c r="Q914" s="85"/>
      <c r="R914" s="85"/>
      <c r="S914" s="85"/>
      <c r="T914" s="85"/>
      <c r="U914" s="85"/>
      <c r="V914" s="85"/>
      <c r="W914" s="85"/>
      <c r="X914" s="85"/>
      <c r="Y914" s="85"/>
      <c r="Z914" s="85"/>
      <c r="AA914" s="85"/>
      <c r="AB914" s="85"/>
      <c r="AC914" s="85"/>
      <c r="AD914" s="85"/>
      <c r="AE914" s="85"/>
      <c r="AF914" s="85"/>
      <c r="AG914" s="85"/>
      <c r="AH914" s="85"/>
      <c r="AI914" s="85"/>
      <c r="AJ914" s="85"/>
      <c r="AK914" s="85"/>
      <c r="AL914" s="85"/>
      <c r="AM914" s="85"/>
      <c r="AN914" s="85"/>
      <c r="AO914" s="85"/>
      <c r="AP914" s="85"/>
      <c r="AQ914" s="85"/>
      <c r="AR914" s="85"/>
      <c r="AS914" s="85"/>
      <c r="AT914" s="85"/>
      <c r="AU914" s="85"/>
      <c r="AV914" s="85"/>
      <c r="AW914" s="85"/>
      <c r="AX914" s="85"/>
      <c r="AY914" s="85"/>
      <c r="AZ914" s="85"/>
      <c r="BA914" s="85"/>
      <c r="BB914" s="85"/>
      <c r="BC914" s="85"/>
      <c r="BD914" s="85"/>
      <c r="BE914" s="85"/>
      <c r="BF914" s="85"/>
      <c r="BG914" s="85"/>
      <c r="BH914" s="85"/>
      <c r="BI914" s="85"/>
      <c r="BJ914" s="85"/>
      <c r="BK914" s="85"/>
      <c r="BL914" s="85"/>
      <c r="BM914" s="85"/>
      <c r="BN914" s="85"/>
      <c r="BO914" s="85"/>
      <c r="BP914" s="85"/>
      <c r="BQ914" s="85"/>
      <c r="BR914" s="85"/>
      <c r="BS914" s="85"/>
      <c r="BT914" s="85"/>
      <c r="BU914" s="85"/>
      <c r="BV914" s="85"/>
      <c r="BW914" s="85"/>
      <c r="BX914" s="85"/>
      <c r="BY914" s="85"/>
      <c r="BZ914" s="85"/>
      <c r="CA914" s="85"/>
      <c r="CB914" s="85"/>
      <c r="CC914" s="85"/>
      <c r="CD914" s="85"/>
      <c r="CE914" s="85"/>
      <c r="CF914" s="85"/>
      <c r="CG914" s="85"/>
      <c r="CH914" s="85"/>
      <c r="CI914" s="85"/>
      <c r="CJ914" s="85"/>
      <c r="CK914" s="85"/>
      <c r="CL914" s="85"/>
      <c r="CM914" s="85"/>
      <c r="CN914" s="85"/>
      <c r="CO914" s="85"/>
      <c r="CP914" s="85"/>
      <c r="CQ914" s="85"/>
      <c r="CR914" s="85"/>
      <c r="CS914" s="85"/>
      <c r="CT914" s="85"/>
      <c r="CU914" s="85"/>
      <c r="CV914" s="85"/>
      <c r="CW914" s="85"/>
      <c r="CX914" s="85"/>
      <c r="CY914" s="85"/>
      <c r="CZ914" s="85"/>
      <c r="DA914" s="85"/>
      <c r="DB914" s="85"/>
      <c r="DC914" s="85"/>
      <c r="DD914" s="85"/>
      <c r="DE914" s="85"/>
      <c r="DF914" s="85"/>
      <c r="DG914" s="85"/>
      <c r="DH914" s="85"/>
      <c r="DI914" s="85"/>
      <c r="DJ914" s="85"/>
      <c r="DK914" s="85"/>
      <c r="DL914" s="85"/>
      <c r="DM914" s="85"/>
      <c r="DN914" s="85"/>
      <c r="DO914" s="85"/>
      <c r="DP914" s="85"/>
      <c r="DQ914" s="85"/>
      <c r="DR914" s="85"/>
      <c r="DS914" s="85"/>
      <c r="DT914" s="85"/>
      <c r="DU914" s="85"/>
      <c r="DV914" s="85"/>
      <c r="DW914" s="85"/>
      <c r="DX914" s="85"/>
      <c r="DY914" s="85"/>
      <c r="DZ914" s="85"/>
      <c r="EA914" s="85"/>
      <c r="EB914" s="85"/>
      <c r="EC914" s="85"/>
      <c r="ED914" s="85"/>
      <c r="EE914" s="85"/>
      <c r="EF914" s="85"/>
      <c r="EG914" s="85"/>
      <c r="EH914" s="85"/>
      <c r="EI914" s="85"/>
      <c r="EJ914" s="85"/>
      <c r="EK914" s="85"/>
      <c r="EL914" s="85"/>
      <c r="EM914" s="85"/>
      <c r="EN914" s="85"/>
      <c r="EO914" s="85"/>
      <c r="EP914" s="85"/>
      <c r="EQ914" s="85"/>
      <c r="ER914" s="85"/>
      <c r="ES914" s="85"/>
      <c r="ET914" s="85"/>
      <c r="EU914" s="85"/>
      <c r="EV914" s="85"/>
      <c r="EW914" s="85"/>
      <c r="EX914" s="85"/>
      <c r="EY914" s="85"/>
      <c r="EZ914" s="85"/>
      <c r="FA914" s="85"/>
      <c r="FB914" s="85"/>
      <c r="FC914" s="85"/>
      <c r="FD914" s="85"/>
      <c r="FE914" s="85"/>
      <c r="FF914" s="85"/>
      <c r="FG914" s="85"/>
      <c r="FH914" s="85"/>
      <c r="FI914" s="85"/>
      <c r="FJ914" s="85"/>
      <c r="FK914" s="85"/>
      <c r="FL914" s="85"/>
      <c r="FM914" s="85"/>
      <c r="FN914" s="85"/>
      <c r="FO914" s="85"/>
      <c r="FP914" s="85"/>
      <c r="FQ914" s="85"/>
      <c r="FR914" s="85"/>
      <c r="FS914" s="85"/>
      <c r="FT914" s="85"/>
      <c r="FU914" s="85"/>
      <c r="FV914" s="85"/>
      <c r="FW914" s="85"/>
      <c r="FX914" s="85"/>
      <c r="FY914" s="85"/>
      <c r="FZ914" s="85"/>
      <c r="GA914" s="85"/>
      <c r="GB914" s="85"/>
      <c r="GC914" s="85"/>
      <c r="GD914" s="85"/>
      <c r="GE914" s="85"/>
      <c r="GF914" s="85"/>
      <c r="GG914" s="85"/>
      <c r="GH914" s="85"/>
      <c r="GI914" s="85"/>
      <c r="GJ914" s="85"/>
      <c r="GK914" s="85"/>
      <c r="GL914" s="85"/>
      <c r="GM914" s="85"/>
      <c r="GN914" s="85"/>
      <c r="GO914" s="85"/>
      <c r="GP914" s="85"/>
      <c r="GQ914" s="85"/>
      <c r="GR914" s="85"/>
      <c r="GS914" s="85"/>
      <c r="GT914" s="85"/>
      <c r="GU914" s="85"/>
      <c r="GV914" s="85"/>
      <c r="GW914" s="85"/>
      <c r="GX914" s="85"/>
      <c r="GY914" s="85"/>
      <c r="GZ914" s="85"/>
      <c r="HA914" s="85"/>
      <c r="HB914" s="85"/>
      <c r="HC914" s="85"/>
      <c r="HD914" s="85"/>
      <c r="HE914" s="85"/>
      <c r="HF914" s="85"/>
      <c r="HG914" s="85"/>
      <c r="HH914" s="85"/>
      <c r="HI914" s="85"/>
      <c r="HJ914" s="85"/>
      <c r="HK914" s="85"/>
      <c r="HL914" s="85"/>
      <c r="HM914" s="85"/>
      <c r="HN914" s="85"/>
      <c r="HO914" s="85"/>
      <c r="HP914" s="85"/>
      <c r="HQ914" s="85"/>
      <c r="HR914" s="85"/>
      <c r="HS914" s="85"/>
      <c r="HT914" s="85"/>
      <c r="HU914" s="85"/>
      <c r="HV914" s="85"/>
      <c r="HW914" s="85"/>
      <c r="HX914" s="85"/>
      <c r="HY914" s="85"/>
      <c r="HZ914" s="85"/>
      <c r="IA914" s="85"/>
      <c r="IB914" s="85"/>
      <c r="IC914" s="85"/>
      <c r="ID914" s="85"/>
      <c r="IE914" s="85"/>
      <c r="IF914" s="85"/>
      <c r="IG914" s="85"/>
      <c r="IH914" s="85"/>
      <c r="II914" s="85"/>
      <c r="IJ914" s="85"/>
      <c r="IK914" s="85"/>
      <c r="IL914" s="85"/>
      <c r="IM914" s="85"/>
      <c r="IN914" s="85"/>
      <c r="IO914" s="85"/>
      <c r="IP914" s="85"/>
      <c r="IQ914" s="85"/>
      <c r="IR914" s="85"/>
      <c r="IS914" s="85"/>
      <c r="IT914" s="85"/>
      <c r="IU914" s="85"/>
      <c r="IV914" s="85"/>
      <c r="IW914" s="85"/>
      <c r="IX914" s="85"/>
      <c r="IY914" s="85"/>
      <c r="IZ914" s="85"/>
      <c r="JA914" s="85"/>
      <c r="JB914" s="85"/>
      <c r="JC914" s="85"/>
      <c r="JD914" s="85"/>
      <c r="JE914" s="85"/>
      <c r="JF914" s="85"/>
      <c r="JG914" s="85"/>
      <c r="JH914" s="85"/>
      <c r="JI914" s="85"/>
      <c r="JJ914" s="85"/>
      <c r="JK914" s="85"/>
      <c r="JL914" s="85"/>
      <c r="JM914" s="85"/>
      <c r="JN914" s="85"/>
      <c r="JO914" s="85"/>
      <c r="JP914" s="85"/>
      <c r="JQ914" s="85"/>
      <c r="JR914" s="85"/>
      <c r="JS914" s="85"/>
      <c r="JT914" s="85"/>
      <c r="JU914" s="85"/>
      <c r="JV914" s="85"/>
      <c r="JW914" s="85"/>
      <c r="JX914" s="85"/>
      <c r="JY914" s="85"/>
      <c r="JZ914" s="85"/>
      <c r="KA914" s="85"/>
      <c r="KB914" s="85"/>
      <c r="KC914" s="85"/>
      <c r="KD914" s="85"/>
      <c r="KE914" s="85"/>
      <c r="KF914" s="85"/>
      <c r="KG914" s="85"/>
      <c r="KH914" s="85"/>
      <c r="KI914" s="85"/>
      <c r="KJ914" s="85"/>
      <c r="KK914" s="85"/>
      <c r="KL914" s="85"/>
      <c r="KM914" s="85"/>
      <c r="KN914" s="85"/>
      <c r="KO914" s="85"/>
      <c r="KP914" s="85"/>
      <c r="KQ914" s="85"/>
      <c r="KR914" s="85"/>
      <c r="KS914" s="85"/>
      <c r="KT914" s="85"/>
      <c r="KU914" s="85"/>
      <c r="KV914" s="85"/>
      <c r="KW914" s="85"/>
      <c r="KX914" s="85"/>
      <c r="KY914" s="85"/>
      <c r="KZ914" s="85"/>
      <c r="LA914" s="85"/>
      <c r="LB914" s="85"/>
      <c r="LC914" s="85"/>
      <c r="LD914" s="85"/>
      <c r="LE914" s="85"/>
      <c r="LF914" s="85"/>
      <c r="LG914" s="85"/>
      <c r="LH914" s="85"/>
      <c r="LI914" s="85"/>
      <c r="LJ914" s="85"/>
      <c r="LK914" s="85"/>
      <c r="LL914" s="85"/>
      <c r="LM914" s="85"/>
      <c r="LN914" s="85"/>
      <c r="LO914" s="85"/>
      <c r="LP914" s="85"/>
      <c r="LQ914" s="85"/>
      <c r="LR914" s="85"/>
      <c r="LS914" s="85"/>
      <c r="LT914" s="85"/>
      <c r="LU914" s="85"/>
      <c r="LV914" s="85"/>
      <c r="LW914" s="85"/>
      <c r="LX914" s="85"/>
      <c r="LY914" s="85"/>
      <c r="LZ914" s="85"/>
      <c r="MA914" s="85"/>
      <c r="MB914" s="85"/>
      <c r="MC914" s="85"/>
      <c r="MD914" s="85"/>
      <c r="ME914" s="85"/>
      <c r="MF914" s="85"/>
      <c r="MG914" s="85"/>
      <c r="MH914" s="85"/>
      <c r="MI914" s="85"/>
      <c r="MJ914" s="85"/>
      <c r="MK914" s="85"/>
      <c r="ML914" s="85"/>
      <c r="MM914" s="85"/>
      <c r="MN914" s="85"/>
      <c r="MO914" s="85"/>
      <c r="MP914" s="85"/>
      <c r="MQ914" s="85"/>
      <c r="MR914" s="85"/>
      <c r="MS914" s="85"/>
      <c r="MT914" s="85"/>
      <c r="MU914" s="85"/>
      <c r="MV914" s="85"/>
      <c r="MW914" s="85"/>
      <c r="MX914" s="85"/>
      <c r="MY914" s="85"/>
      <c r="MZ914" s="85"/>
      <c r="NA914" s="85"/>
      <c r="NB914" s="85"/>
      <c r="NC914" s="85"/>
      <c r="ND914" s="85"/>
      <c r="NE914" s="85"/>
      <c r="NF914" s="85"/>
      <c r="NG914" s="85"/>
      <c r="NH914" s="85"/>
      <c r="NI914" s="85"/>
      <c r="NJ914" s="85"/>
      <c r="NK914" s="85"/>
      <c r="NL914" s="85"/>
      <c r="NM914" s="85"/>
      <c r="NN914" s="85"/>
      <c r="NO914" s="85"/>
      <c r="NP914" s="85"/>
      <c r="NQ914" s="85"/>
      <c r="NR914" s="85"/>
      <c r="NS914" s="85"/>
      <c r="NT914" s="85"/>
      <c r="NU914" s="85"/>
      <c r="NV914" s="85"/>
      <c r="NW914" s="85"/>
      <c r="NX914" s="85"/>
      <c r="NY914" s="85"/>
      <c r="NZ914" s="85"/>
      <c r="OA914" s="85"/>
      <c r="OB914" s="85"/>
      <c r="OC914" s="85"/>
      <c r="OD914" s="85"/>
      <c r="OE914" s="85"/>
      <c r="OF914" s="85"/>
      <c r="OG914" s="85"/>
      <c r="OH914" s="85"/>
      <c r="OI914" s="85"/>
      <c r="OJ914" s="85"/>
      <c r="OK914" s="85"/>
      <c r="OL914" s="85"/>
      <c r="OM914" s="85"/>
      <c r="ON914" s="85"/>
      <c r="OO914" s="85"/>
      <c r="OP914" s="85"/>
      <c r="OQ914" s="85"/>
      <c r="OR914" s="85"/>
      <c r="OS914" s="85"/>
      <c r="OT914" s="85"/>
      <c r="OU914" s="85"/>
      <c r="OV914" s="85"/>
      <c r="OW914" s="85"/>
      <c r="OX914" s="85"/>
      <c r="OY914" s="85"/>
      <c r="OZ914" s="85"/>
      <c r="PA914" s="85"/>
      <c r="PB914" s="85"/>
      <c r="PC914" s="85"/>
      <c r="PD914" s="85"/>
      <c r="PE914" s="85"/>
      <c r="PF914" s="85"/>
      <c r="PG914" s="85"/>
      <c r="PH914" s="85"/>
      <c r="PI914" s="85"/>
      <c r="PJ914" s="85"/>
      <c r="PK914" s="85"/>
      <c r="PL914" s="85"/>
      <c r="PM914" s="85"/>
      <c r="PN914" s="85"/>
      <c r="PO914" s="85"/>
      <c r="PP914" s="85"/>
      <c r="PQ914" s="85"/>
      <c r="PR914" s="85"/>
      <c r="PS914" s="85"/>
      <c r="PT914" s="85"/>
      <c r="PU914" s="85"/>
      <c r="PV914" s="85"/>
      <c r="PW914" s="85"/>
      <c r="PX914" s="85"/>
      <c r="PY914" s="85"/>
      <c r="PZ914" s="85"/>
      <c r="QA914" s="85"/>
      <c r="QB914" s="85"/>
      <c r="QC914" s="85"/>
      <c r="QD914" s="85"/>
      <c r="QE914" s="85"/>
      <c r="QF914" s="85"/>
      <c r="QG914" s="85"/>
      <c r="QH914" s="85"/>
      <c r="QI914" s="85"/>
      <c r="QJ914" s="85"/>
      <c r="QK914" s="85"/>
      <c r="QL914" s="85"/>
      <c r="QM914" s="85"/>
      <c r="QN914" s="85"/>
      <c r="QO914" s="85"/>
      <c r="QP914" s="85"/>
      <c r="QQ914" s="85"/>
      <c r="QR914" s="85"/>
      <c r="QS914" s="85"/>
      <c r="QT914" s="85"/>
      <c r="QU914" s="85"/>
      <c r="QV914" s="85"/>
      <c r="QW914" s="85"/>
      <c r="QX914" s="85"/>
      <c r="QY914" s="85"/>
      <c r="QZ914" s="85"/>
      <c r="RA914" s="85"/>
      <c r="RB914" s="85"/>
      <c r="RC914" s="85"/>
      <c r="RD914" s="85"/>
      <c r="RE914" s="85"/>
      <c r="RF914" s="85"/>
      <c r="RG914" s="85"/>
      <c r="RH914" s="85"/>
      <c r="RI914" s="85"/>
      <c r="RJ914" s="85"/>
      <c r="RK914" s="85"/>
      <c r="RL914" s="85"/>
      <c r="RM914" s="85"/>
      <c r="RN914" s="85"/>
      <c r="RO914" s="85"/>
      <c r="RP914" s="85"/>
      <c r="RQ914" s="85"/>
      <c r="RR914" s="85"/>
      <c r="RS914" s="85"/>
      <c r="RT914" s="85"/>
      <c r="RU914" s="85"/>
      <c r="RV914" s="85"/>
      <c r="RW914" s="85"/>
      <c r="RX914" s="85"/>
      <c r="RY914" s="85"/>
      <c r="RZ914" s="85"/>
      <c r="SA914" s="85"/>
      <c r="SB914" s="85"/>
      <c r="SC914" s="85"/>
      <c r="SD914" s="85"/>
      <c r="SE914" s="85"/>
      <c r="SF914" s="85"/>
      <c r="SG914" s="85"/>
      <c r="SH914" s="85"/>
      <c r="SI914" s="85"/>
      <c r="SJ914" s="85"/>
      <c r="SK914" s="85"/>
      <c r="SL914" s="85"/>
      <c r="SM914" s="85"/>
      <c r="SN914" s="85"/>
      <c r="SO914" s="85"/>
      <c r="SP914" s="85"/>
      <c r="SQ914" s="85"/>
      <c r="SR914" s="85"/>
      <c r="SS914" s="85"/>
      <c r="ST914" s="85"/>
      <c r="SU914" s="85"/>
      <c r="SV914" s="85"/>
      <c r="SW914" s="85"/>
      <c r="SX914" s="85"/>
      <c r="SY914" s="85"/>
      <c r="SZ914" s="85"/>
      <c r="TA914" s="85"/>
      <c r="TB914" s="85"/>
      <c r="TC914" s="85"/>
      <c r="TD914" s="85"/>
      <c r="TE914" s="85"/>
      <c r="TF914" s="85"/>
      <c r="TG914" s="85"/>
      <c r="TH914" s="85"/>
      <c r="TI914" s="85"/>
      <c r="TJ914" s="85"/>
      <c r="TK914" s="85"/>
      <c r="TL914" s="85"/>
    </row>
    <row r="915" spans="1:532" s="85" customFormat="1" ht="12.75" customHeight="1">
      <c r="A915" s="122" t="s">
        <v>497</v>
      </c>
      <c r="B915" s="240" t="s">
        <v>498</v>
      </c>
      <c r="C915" s="124"/>
      <c r="D915" s="124">
        <f>+[2]ordinario!C716+'[2]Extra 01'!C780+'[2]EXTRA 2'!C790</f>
        <v>685289264.20000005</v>
      </c>
      <c r="E915" s="124">
        <v>685309508.78999996</v>
      </c>
      <c r="F915" s="146"/>
      <c r="G915" s="138"/>
      <c r="H915" s="98"/>
      <c r="I915" s="140">
        <f t="shared" ref="I915:N915" si="50">SUM(I916:I920)</f>
        <v>649083967.76999998</v>
      </c>
      <c r="J915" s="140">
        <f t="shared" si="50"/>
        <v>648797250.76999998</v>
      </c>
      <c r="K915" s="140">
        <f t="shared" si="50"/>
        <v>286717</v>
      </c>
      <c r="L915" s="140">
        <f t="shared" si="50"/>
        <v>0</v>
      </c>
      <c r="M915" s="140">
        <f t="shared" si="50"/>
        <v>0</v>
      </c>
      <c r="N915" s="140">
        <f t="shared" si="50"/>
        <v>36225541.019999981</v>
      </c>
    </row>
    <row r="916" spans="1:532" s="85" customFormat="1" ht="12.75" customHeight="1">
      <c r="A916" s="122"/>
      <c r="B916" s="240"/>
      <c r="C916" s="124"/>
      <c r="D916" s="124"/>
      <c r="E916" s="124"/>
      <c r="F916" s="146" t="s">
        <v>153</v>
      </c>
      <c r="G916" s="138" t="s">
        <v>300</v>
      </c>
      <c r="H916" s="98" t="s">
        <v>77</v>
      </c>
      <c r="I916" s="249"/>
      <c r="J916" s="125">
        <f>+I916</f>
        <v>0</v>
      </c>
      <c r="K916" s="125"/>
      <c r="L916" s="125"/>
      <c r="M916" s="125"/>
      <c r="N916" s="126"/>
    </row>
    <row r="917" spans="1:532" s="85" customFormat="1" ht="12.75" customHeight="1">
      <c r="A917" s="122"/>
      <c r="B917" s="240"/>
      <c r="C917" s="124"/>
      <c r="D917" s="124"/>
      <c r="E917" s="124"/>
      <c r="F917" s="146"/>
      <c r="G917" s="138"/>
      <c r="H917" s="98" t="s">
        <v>78</v>
      </c>
      <c r="I917" s="249">
        <f>92637146.48+66660470.57+37677872.49+449276761.23</f>
        <v>646252250.76999998</v>
      </c>
      <c r="J917" s="125">
        <f>+I917</f>
        <v>646252250.76999998</v>
      </c>
      <c r="K917" s="125"/>
      <c r="L917" s="125"/>
      <c r="M917" s="125"/>
      <c r="N917" s="149">
        <f>-I917+[2]ordinario!I717+'[2]Extra 01'!H782+'[2]EXTRA 2'!H792</f>
        <v>26832013.430000067</v>
      </c>
    </row>
    <row r="918" spans="1:532" s="85" customFormat="1" ht="12.75" customHeight="1">
      <c r="A918" s="122"/>
      <c r="B918" s="240"/>
      <c r="C918" s="124"/>
      <c r="D918" s="124"/>
      <c r="E918" s="124"/>
      <c r="F918" s="146"/>
      <c r="G918" s="138"/>
      <c r="H918" s="98" t="s">
        <v>79</v>
      </c>
      <c r="I918" s="249">
        <f>1677038+132086+36456+699420</f>
        <v>2545000</v>
      </c>
      <c r="J918" s="125">
        <f>+I918</f>
        <v>2545000</v>
      </c>
      <c r="K918" s="125"/>
      <c r="L918" s="125"/>
      <c r="M918" s="125"/>
      <c r="N918" s="89">
        <f>+'[2]Extra 01'!H783-'3_Detalle Origen y Aplicación'!I918+'[2]EXTRA 2'!H793</f>
        <v>0</v>
      </c>
    </row>
    <row r="919" spans="1:532" s="85" customFormat="1" ht="12.75" customHeight="1">
      <c r="A919" s="122"/>
      <c r="B919" s="240"/>
      <c r="C919" s="124"/>
      <c r="D919" s="124"/>
      <c r="E919" s="124"/>
      <c r="F919" s="146"/>
      <c r="G919" s="138"/>
      <c r="H919" s="98" t="s">
        <v>81</v>
      </c>
      <c r="I919" s="125">
        <v>286717</v>
      </c>
      <c r="J919" s="125"/>
      <c r="K919" s="125">
        <f>+I919</f>
        <v>286717</v>
      </c>
      <c r="L919" s="125"/>
      <c r="M919" s="125"/>
      <c r="N919" s="149">
        <f>-I919+[2]ordinario!I718+'[2]Extra 01'!H784</f>
        <v>9373283</v>
      </c>
    </row>
    <row r="920" spans="1:532" s="85" customFormat="1" ht="12.75" customHeight="1">
      <c r="A920" s="122"/>
      <c r="B920" s="240"/>
      <c r="C920" s="124"/>
      <c r="D920" s="124"/>
      <c r="E920" s="124"/>
      <c r="F920" s="146" t="s">
        <v>499</v>
      </c>
      <c r="G920" s="138"/>
      <c r="H920" s="98"/>
      <c r="I920" s="125"/>
      <c r="J920" s="125"/>
      <c r="K920" s="125"/>
      <c r="L920" s="125"/>
      <c r="M920" s="125"/>
      <c r="N920" s="126">
        <f>+E915-D915</f>
        <v>20244.589999914169</v>
      </c>
    </row>
    <row r="921" spans="1:532" s="135" customFormat="1" ht="12.75" customHeight="1">
      <c r="A921" s="111"/>
      <c r="B921" s="243"/>
      <c r="C921" s="112"/>
      <c r="D921" s="112"/>
      <c r="E921" s="112"/>
      <c r="F921" s="242"/>
      <c r="G921" s="113"/>
      <c r="H921" s="114"/>
      <c r="I921" s="115"/>
      <c r="J921" s="115"/>
      <c r="K921" s="115"/>
      <c r="L921" s="115"/>
      <c r="M921" s="115"/>
      <c r="N921" s="116"/>
      <c r="O921" s="85"/>
      <c r="P921" s="85"/>
      <c r="Q921" s="85"/>
      <c r="R921" s="85"/>
      <c r="S921" s="85"/>
      <c r="T921" s="85"/>
      <c r="U921" s="85"/>
      <c r="V921" s="85"/>
      <c r="W921" s="85"/>
      <c r="X921" s="85"/>
      <c r="Y921" s="85"/>
      <c r="Z921" s="85"/>
      <c r="AA921" s="85"/>
      <c r="AB921" s="85"/>
      <c r="AC921" s="85"/>
      <c r="AD921" s="85"/>
      <c r="AE921" s="85"/>
      <c r="AF921" s="85"/>
      <c r="AG921" s="85"/>
      <c r="AH921" s="85"/>
      <c r="AI921" s="85"/>
      <c r="AJ921" s="85"/>
      <c r="AK921" s="85"/>
      <c r="AL921" s="85"/>
      <c r="AM921" s="85"/>
      <c r="AN921" s="85"/>
      <c r="AO921" s="85"/>
      <c r="AP921" s="85"/>
      <c r="AQ921" s="85"/>
      <c r="AR921" s="85"/>
      <c r="AS921" s="85"/>
      <c r="AT921" s="85"/>
      <c r="AU921" s="85"/>
      <c r="AV921" s="85"/>
      <c r="AW921" s="85"/>
      <c r="AX921" s="85"/>
      <c r="AY921" s="85"/>
      <c r="AZ921" s="85"/>
      <c r="BA921" s="85"/>
      <c r="BB921" s="85"/>
      <c r="BC921" s="85"/>
      <c r="BD921" s="85"/>
      <c r="BE921" s="85"/>
      <c r="BF921" s="85"/>
      <c r="BG921" s="85"/>
      <c r="BH921" s="85"/>
      <c r="BI921" s="85"/>
      <c r="BJ921" s="85"/>
      <c r="BK921" s="85"/>
      <c r="BL921" s="85"/>
      <c r="BM921" s="85"/>
      <c r="BN921" s="85"/>
      <c r="BO921" s="85"/>
      <c r="BP921" s="85"/>
      <c r="BQ921" s="85"/>
      <c r="BR921" s="85"/>
      <c r="BS921" s="85"/>
      <c r="BT921" s="85"/>
      <c r="BU921" s="85"/>
      <c r="BV921" s="85"/>
      <c r="BW921" s="85"/>
      <c r="BX921" s="85"/>
      <c r="BY921" s="85"/>
      <c r="BZ921" s="85"/>
      <c r="CA921" s="85"/>
      <c r="CB921" s="85"/>
      <c r="CC921" s="85"/>
      <c r="CD921" s="85"/>
      <c r="CE921" s="85"/>
      <c r="CF921" s="85"/>
      <c r="CG921" s="85"/>
      <c r="CH921" s="85"/>
      <c r="CI921" s="85"/>
      <c r="CJ921" s="85"/>
      <c r="CK921" s="85"/>
      <c r="CL921" s="85"/>
      <c r="CM921" s="85"/>
      <c r="CN921" s="85"/>
      <c r="CO921" s="85"/>
      <c r="CP921" s="85"/>
      <c r="CQ921" s="85"/>
      <c r="CR921" s="85"/>
      <c r="CS921" s="85"/>
      <c r="CT921" s="85"/>
      <c r="CU921" s="85"/>
      <c r="CV921" s="85"/>
      <c r="CW921" s="85"/>
      <c r="CX921" s="85"/>
      <c r="CY921" s="85"/>
      <c r="CZ921" s="85"/>
      <c r="DA921" s="85"/>
      <c r="DB921" s="85"/>
      <c r="DC921" s="85"/>
      <c r="DD921" s="85"/>
      <c r="DE921" s="85"/>
      <c r="DF921" s="85"/>
      <c r="DG921" s="85"/>
      <c r="DH921" s="85"/>
      <c r="DI921" s="85"/>
      <c r="DJ921" s="85"/>
      <c r="DK921" s="85"/>
      <c r="DL921" s="85"/>
      <c r="DM921" s="85"/>
      <c r="DN921" s="85"/>
      <c r="DO921" s="85"/>
      <c r="DP921" s="85"/>
      <c r="DQ921" s="85"/>
      <c r="DR921" s="85"/>
      <c r="DS921" s="85"/>
      <c r="DT921" s="85"/>
      <c r="DU921" s="85"/>
      <c r="DV921" s="85"/>
      <c r="DW921" s="85"/>
      <c r="DX921" s="85"/>
      <c r="DY921" s="85"/>
      <c r="DZ921" s="85"/>
      <c r="EA921" s="85"/>
      <c r="EB921" s="85"/>
      <c r="EC921" s="85"/>
      <c r="ED921" s="85"/>
      <c r="EE921" s="85"/>
      <c r="EF921" s="85"/>
      <c r="EG921" s="85"/>
      <c r="EH921" s="85"/>
      <c r="EI921" s="85"/>
      <c r="EJ921" s="85"/>
      <c r="EK921" s="85"/>
      <c r="EL921" s="85"/>
      <c r="EM921" s="85"/>
      <c r="EN921" s="85"/>
      <c r="EO921" s="85"/>
      <c r="EP921" s="85"/>
      <c r="EQ921" s="85"/>
      <c r="ER921" s="85"/>
      <c r="ES921" s="85"/>
      <c r="ET921" s="85"/>
      <c r="EU921" s="85"/>
      <c r="EV921" s="85"/>
      <c r="EW921" s="85"/>
      <c r="EX921" s="85"/>
      <c r="EY921" s="85"/>
      <c r="EZ921" s="85"/>
      <c r="FA921" s="85"/>
      <c r="FB921" s="85"/>
      <c r="FC921" s="85"/>
      <c r="FD921" s="85"/>
      <c r="FE921" s="85"/>
      <c r="FF921" s="85"/>
      <c r="FG921" s="85"/>
      <c r="FH921" s="85"/>
      <c r="FI921" s="85"/>
      <c r="FJ921" s="85"/>
      <c r="FK921" s="85"/>
      <c r="FL921" s="85"/>
      <c r="FM921" s="85"/>
      <c r="FN921" s="85"/>
      <c r="FO921" s="85"/>
      <c r="FP921" s="85"/>
      <c r="FQ921" s="85"/>
      <c r="FR921" s="85"/>
      <c r="FS921" s="85"/>
      <c r="FT921" s="85"/>
      <c r="FU921" s="85"/>
      <c r="FV921" s="85"/>
      <c r="FW921" s="85"/>
      <c r="FX921" s="85"/>
      <c r="FY921" s="85"/>
      <c r="FZ921" s="85"/>
      <c r="GA921" s="85"/>
      <c r="GB921" s="85"/>
      <c r="GC921" s="85"/>
      <c r="GD921" s="85"/>
      <c r="GE921" s="85"/>
      <c r="GF921" s="85"/>
      <c r="GG921" s="85"/>
      <c r="GH921" s="85"/>
      <c r="GI921" s="85"/>
      <c r="GJ921" s="85"/>
      <c r="GK921" s="85"/>
      <c r="GL921" s="85"/>
      <c r="GM921" s="85"/>
      <c r="GN921" s="85"/>
      <c r="GO921" s="85"/>
      <c r="GP921" s="85"/>
      <c r="GQ921" s="85"/>
      <c r="GR921" s="85"/>
      <c r="GS921" s="85"/>
      <c r="GT921" s="85"/>
      <c r="GU921" s="85"/>
      <c r="GV921" s="85"/>
      <c r="GW921" s="85"/>
      <c r="GX921" s="85"/>
      <c r="GY921" s="85"/>
      <c r="GZ921" s="85"/>
      <c r="HA921" s="85"/>
      <c r="HB921" s="85"/>
      <c r="HC921" s="85"/>
      <c r="HD921" s="85"/>
      <c r="HE921" s="85"/>
      <c r="HF921" s="85"/>
      <c r="HG921" s="85"/>
      <c r="HH921" s="85"/>
      <c r="HI921" s="85"/>
      <c r="HJ921" s="85"/>
      <c r="HK921" s="85"/>
      <c r="HL921" s="85"/>
      <c r="HM921" s="85"/>
      <c r="HN921" s="85"/>
      <c r="HO921" s="85"/>
      <c r="HP921" s="85"/>
      <c r="HQ921" s="85"/>
      <c r="HR921" s="85"/>
      <c r="HS921" s="85"/>
      <c r="HT921" s="85"/>
      <c r="HU921" s="85"/>
      <c r="HV921" s="85"/>
      <c r="HW921" s="85"/>
      <c r="HX921" s="85"/>
      <c r="HY921" s="85"/>
      <c r="HZ921" s="85"/>
      <c r="IA921" s="85"/>
      <c r="IB921" s="85"/>
      <c r="IC921" s="85"/>
      <c r="ID921" s="85"/>
      <c r="IE921" s="85"/>
      <c r="IF921" s="85"/>
      <c r="IG921" s="85"/>
      <c r="IH921" s="85"/>
      <c r="II921" s="85"/>
      <c r="IJ921" s="85"/>
      <c r="IK921" s="85"/>
      <c r="IL921" s="85"/>
      <c r="IM921" s="85"/>
      <c r="IN921" s="85"/>
      <c r="IO921" s="85"/>
      <c r="IP921" s="85"/>
      <c r="IQ921" s="85"/>
      <c r="IR921" s="85"/>
      <c r="IS921" s="85"/>
      <c r="IT921" s="85"/>
      <c r="IU921" s="85"/>
      <c r="IV921" s="85"/>
      <c r="IW921" s="85"/>
      <c r="IX921" s="85"/>
      <c r="IY921" s="85"/>
      <c r="IZ921" s="85"/>
      <c r="JA921" s="85"/>
      <c r="JB921" s="85"/>
      <c r="JC921" s="85"/>
      <c r="JD921" s="85"/>
      <c r="JE921" s="85"/>
      <c r="JF921" s="85"/>
      <c r="JG921" s="85"/>
      <c r="JH921" s="85"/>
      <c r="JI921" s="85"/>
      <c r="JJ921" s="85"/>
      <c r="JK921" s="85"/>
      <c r="JL921" s="85"/>
      <c r="JM921" s="85"/>
      <c r="JN921" s="85"/>
      <c r="JO921" s="85"/>
      <c r="JP921" s="85"/>
      <c r="JQ921" s="85"/>
      <c r="JR921" s="85"/>
      <c r="JS921" s="85"/>
      <c r="JT921" s="85"/>
      <c r="JU921" s="85"/>
      <c r="JV921" s="85"/>
      <c r="JW921" s="85"/>
      <c r="JX921" s="85"/>
      <c r="JY921" s="85"/>
      <c r="JZ921" s="85"/>
      <c r="KA921" s="85"/>
      <c r="KB921" s="85"/>
      <c r="KC921" s="85"/>
      <c r="KD921" s="85"/>
      <c r="KE921" s="85"/>
      <c r="KF921" s="85"/>
      <c r="KG921" s="85"/>
      <c r="KH921" s="85"/>
      <c r="KI921" s="85"/>
      <c r="KJ921" s="85"/>
      <c r="KK921" s="85"/>
      <c r="KL921" s="85"/>
      <c r="KM921" s="85"/>
      <c r="KN921" s="85"/>
      <c r="KO921" s="85"/>
      <c r="KP921" s="85"/>
      <c r="KQ921" s="85"/>
      <c r="KR921" s="85"/>
      <c r="KS921" s="85"/>
      <c r="KT921" s="85"/>
      <c r="KU921" s="85"/>
      <c r="KV921" s="85"/>
      <c r="KW921" s="85"/>
      <c r="KX921" s="85"/>
      <c r="KY921" s="85"/>
      <c r="KZ921" s="85"/>
      <c r="LA921" s="85"/>
      <c r="LB921" s="85"/>
      <c r="LC921" s="85"/>
      <c r="LD921" s="85"/>
      <c r="LE921" s="85"/>
      <c r="LF921" s="85"/>
      <c r="LG921" s="85"/>
      <c r="LH921" s="85"/>
      <c r="LI921" s="85"/>
      <c r="LJ921" s="85"/>
      <c r="LK921" s="85"/>
      <c r="LL921" s="85"/>
      <c r="LM921" s="85"/>
      <c r="LN921" s="85"/>
      <c r="LO921" s="85"/>
      <c r="LP921" s="85"/>
      <c r="LQ921" s="85"/>
      <c r="LR921" s="85"/>
      <c r="LS921" s="85"/>
      <c r="LT921" s="85"/>
      <c r="LU921" s="85"/>
      <c r="LV921" s="85"/>
      <c r="LW921" s="85"/>
      <c r="LX921" s="85"/>
      <c r="LY921" s="85"/>
      <c r="LZ921" s="85"/>
      <c r="MA921" s="85"/>
      <c r="MB921" s="85"/>
      <c r="MC921" s="85"/>
      <c r="MD921" s="85"/>
      <c r="ME921" s="85"/>
      <c r="MF921" s="85"/>
      <c r="MG921" s="85"/>
      <c r="MH921" s="85"/>
      <c r="MI921" s="85"/>
      <c r="MJ921" s="85"/>
      <c r="MK921" s="85"/>
      <c r="ML921" s="85"/>
      <c r="MM921" s="85"/>
      <c r="MN921" s="85"/>
      <c r="MO921" s="85"/>
      <c r="MP921" s="85"/>
      <c r="MQ921" s="85"/>
      <c r="MR921" s="85"/>
      <c r="MS921" s="85"/>
      <c r="MT921" s="85"/>
      <c r="MU921" s="85"/>
      <c r="MV921" s="85"/>
      <c r="MW921" s="85"/>
      <c r="MX921" s="85"/>
      <c r="MY921" s="85"/>
      <c r="MZ921" s="85"/>
      <c r="NA921" s="85"/>
      <c r="NB921" s="85"/>
      <c r="NC921" s="85"/>
      <c r="ND921" s="85"/>
      <c r="NE921" s="85"/>
      <c r="NF921" s="85"/>
      <c r="NG921" s="85"/>
      <c r="NH921" s="85"/>
      <c r="NI921" s="85"/>
      <c r="NJ921" s="85"/>
      <c r="NK921" s="85"/>
      <c r="NL921" s="85"/>
      <c r="NM921" s="85"/>
      <c r="NN921" s="85"/>
      <c r="NO921" s="85"/>
      <c r="NP921" s="85"/>
      <c r="NQ921" s="85"/>
      <c r="NR921" s="85"/>
      <c r="NS921" s="85"/>
      <c r="NT921" s="85"/>
      <c r="NU921" s="85"/>
      <c r="NV921" s="85"/>
      <c r="NW921" s="85"/>
      <c r="NX921" s="85"/>
      <c r="NY921" s="85"/>
      <c r="NZ921" s="85"/>
      <c r="OA921" s="85"/>
      <c r="OB921" s="85"/>
      <c r="OC921" s="85"/>
      <c r="OD921" s="85"/>
      <c r="OE921" s="85"/>
      <c r="OF921" s="85"/>
      <c r="OG921" s="85"/>
      <c r="OH921" s="85"/>
      <c r="OI921" s="85"/>
      <c r="OJ921" s="85"/>
      <c r="OK921" s="85"/>
      <c r="OL921" s="85"/>
      <c r="OM921" s="85"/>
      <c r="ON921" s="85"/>
      <c r="OO921" s="85"/>
      <c r="OP921" s="85"/>
      <c r="OQ921" s="85"/>
      <c r="OR921" s="85"/>
      <c r="OS921" s="85"/>
      <c r="OT921" s="85"/>
      <c r="OU921" s="85"/>
      <c r="OV921" s="85"/>
      <c r="OW921" s="85"/>
      <c r="OX921" s="85"/>
      <c r="OY921" s="85"/>
      <c r="OZ921" s="85"/>
      <c r="PA921" s="85"/>
      <c r="PB921" s="85"/>
      <c r="PC921" s="85"/>
      <c r="PD921" s="85"/>
      <c r="PE921" s="85"/>
      <c r="PF921" s="85"/>
      <c r="PG921" s="85"/>
      <c r="PH921" s="85"/>
      <c r="PI921" s="85"/>
      <c r="PJ921" s="85"/>
      <c r="PK921" s="85"/>
      <c r="PL921" s="85"/>
      <c r="PM921" s="85"/>
      <c r="PN921" s="85"/>
      <c r="PO921" s="85"/>
      <c r="PP921" s="85"/>
      <c r="PQ921" s="85"/>
      <c r="PR921" s="85"/>
      <c r="PS921" s="85"/>
      <c r="PT921" s="85"/>
      <c r="PU921" s="85"/>
      <c r="PV921" s="85"/>
      <c r="PW921" s="85"/>
      <c r="PX921" s="85"/>
      <c r="PY921" s="85"/>
      <c r="PZ921" s="85"/>
      <c r="QA921" s="85"/>
      <c r="QB921" s="85"/>
      <c r="QC921" s="85"/>
      <c r="QD921" s="85"/>
      <c r="QE921" s="85"/>
      <c r="QF921" s="85"/>
      <c r="QG921" s="85"/>
      <c r="QH921" s="85"/>
      <c r="QI921" s="85"/>
      <c r="QJ921" s="85"/>
      <c r="QK921" s="85"/>
      <c r="QL921" s="85"/>
      <c r="QM921" s="85"/>
      <c r="QN921" s="85"/>
      <c r="QO921" s="85"/>
      <c r="QP921" s="85"/>
      <c r="QQ921" s="85"/>
      <c r="QR921" s="85"/>
      <c r="QS921" s="85"/>
      <c r="QT921" s="85"/>
      <c r="QU921" s="85"/>
      <c r="QV921" s="85"/>
      <c r="QW921" s="85"/>
      <c r="QX921" s="85"/>
      <c r="QY921" s="85"/>
      <c r="QZ921" s="85"/>
      <c r="RA921" s="85"/>
      <c r="RB921" s="85"/>
      <c r="RC921" s="85"/>
      <c r="RD921" s="85"/>
      <c r="RE921" s="85"/>
      <c r="RF921" s="85"/>
      <c r="RG921" s="85"/>
      <c r="RH921" s="85"/>
      <c r="RI921" s="85"/>
      <c r="RJ921" s="85"/>
      <c r="RK921" s="85"/>
      <c r="RL921" s="85"/>
      <c r="RM921" s="85"/>
      <c r="RN921" s="85"/>
      <c r="RO921" s="85"/>
      <c r="RP921" s="85"/>
      <c r="RQ921" s="85"/>
      <c r="RR921" s="85"/>
      <c r="RS921" s="85"/>
      <c r="RT921" s="85"/>
      <c r="RU921" s="85"/>
      <c r="RV921" s="85"/>
      <c r="RW921" s="85"/>
      <c r="RX921" s="85"/>
      <c r="RY921" s="85"/>
      <c r="RZ921" s="85"/>
      <c r="SA921" s="85"/>
      <c r="SB921" s="85"/>
      <c r="SC921" s="85"/>
      <c r="SD921" s="85"/>
      <c r="SE921" s="85"/>
      <c r="SF921" s="85"/>
      <c r="SG921" s="85"/>
      <c r="SH921" s="85"/>
      <c r="SI921" s="85"/>
      <c r="SJ921" s="85"/>
      <c r="SK921" s="85"/>
      <c r="SL921" s="85"/>
      <c r="SM921" s="85"/>
      <c r="SN921" s="85"/>
      <c r="SO921" s="85"/>
      <c r="SP921" s="85"/>
      <c r="SQ921" s="85"/>
      <c r="SR921" s="85"/>
      <c r="SS921" s="85"/>
      <c r="ST921" s="85"/>
      <c r="SU921" s="85"/>
      <c r="SV921" s="85"/>
      <c r="SW921" s="85"/>
      <c r="SX921" s="85"/>
      <c r="SY921" s="85"/>
      <c r="SZ921" s="85"/>
      <c r="TA921" s="85"/>
      <c r="TB921" s="85"/>
      <c r="TC921" s="85"/>
      <c r="TD921" s="85"/>
      <c r="TE921" s="85"/>
      <c r="TF921" s="85"/>
      <c r="TG921" s="85"/>
      <c r="TH921" s="85"/>
      <c r="TI921" s="85"/>
      <c r="TJ921" s="85"/>
      <c r="TK921" s="85"/>
      <c r="TL921" s="85"/>
    </row>
    <row r="922" spans="1:532" s="85" customFormat="1" ht="12.75" customHeight="1">
      <c r="A922" s="122" t="s">
        <v>500</v>
      </c>
      <c r="B922" s="240" t="s">
        <v>501</v>
      </c>
      <c r="C922" s="124"/>
      <c r="D922" s="124">
        <f>+[2]ordinario!C723+'[2]Extra 01'!C682+'[2]EXTRA 2'!C685</f>
        <v>2826017178.5799999</v>
      </c>
      <c r="E922" s="124">
        <v>3080409335.3699999</v>
      </c>
      <c r="F922" s="146"/>
      <c r="G922" s="138"/>
      <c r="H922" s="98"/>
      <c r="I922" s="140">
        <f t="shared" ref="I922:N922" si="51">SUM(I923:I929)</f>
        <v>2816229103.7399998</v>
      </c>
      <c r="J922" s="140">
        <f t="shared" si="51"/>
        <v>2809986520.6399999</v>
      </c>
      <c r="K922" s="140">
        <f t="shared" si="51"/>
        <v>6242583.0999999996</v>
      </c>
      <c r="L922" s="140">
        <f t="shared" si="51"/>
        <v>0</v>
      </c>
      <c r="M922" s="140">
        <f t="shared" si="51"/>
        <v>0</v>
      </c>
      <c r="N922" s="140">
        <f t="shared" si="51"/>
        <v>264180231.62999997</v>
      </c>
    </row>
    <row r="923" spans="1:532" s="85" customFormat="1" ht="12.75" customHeight="1">
      <c r="A923" s="122"/>
      <c r="B923" s="240"/>
      <c r="C923" s="124"/>
      <c r="D923" s="124"/>
      <c r="E923" s="124"/>
      <c r="F923" s="146" t="s">
        <v>154</v>
      </c>
      <c r="G923" s="138" t="s">
        <v>501</v>
      </c>
      <c r="H923" s="98" t="s">
        <v>78</v>
      </c>
      <c r="I923" s="125">
        <f>721642317.66+431408735.49+55119517.2+1282030452.93</f>
        <v>2490201023.2800002</v>
      </c>
      <c r="J923" s="125">
        <f>+I923</f>
        <v>2490201023.2800002</v>
      </c>
      <c r="K923" s="125"/>
      <c r="L923" s="125"/>
      <c r="M923" s="125"/>
      <c r="N923" s="126">
        <f>-I923+[2]ordinario!I724+'[2]Extra 01'!H683+'[2]EXTRA 2'!H686</f>
        <v>0</v>
      </c>
    </row>
    <row r="924" spans="1:532" s="85" customFormat="1" ht="12.75" customHeight="1">
      <c r="A924" s="122"/>
      <c r="B924" s="240"/>
      <c r="C924" s="124"/>
      <c r="D924" s="124"/>
      <c r="E924" s="124"/>
      <c r="F924" s="146"/>
      <c r="G924" s="138"/>
      <c r="H924" s="98" t="s">
        <v>79</v>
      </c>
      <c r="I924" s="125">
        <v>0</v>
      </c>
      <c r="J924" s="125">
        <f>+I924</f>
        <v>0</v>
      </c>
      <c r="K924" s="125"/>
      <c r="L924" s="125"/>
      <c r="M924" s="125"/>
      <c r="N924" s="126"/>
    </row>
    <row r="925" spans="1:532" s="85" customFormat="1" ht="12.75" customHeight="1">
      <c r="A925" s="122"/>
      <c r="B925" s="240"/>
      <c r="C925" s="124"/>
      <c r="D925" s="124"/>
      <c r="E925" s="124"/>
      <c r="F925" s="146"/>
      <c r="G925" s="138"/>
      <c r="H925" s="98" t="s">
        <v>81</v>
      </c>
      <c r="I925" s="125">
        <v>6242583.0999999996</v>
      </c>
      <c r="J925" s="125"/>
      <c r="K925" s="125">
        <f>+I925</f>
        <v>6242583.0999999996</v>
      </c>
      <c r="L925" s="125"/>
      <c r="M925" s="125"/>
      <c r="N925" s="126">
        <f>-I925+'[2]Extra 01'!H685+'[2]EXTRA 2'!H688</f>
        <v>8580000</v>
      </c>
    </row>
    <row r="926" spans="1:532" s="85" customFormat="1" ht="12.75" customHeight="1">
      <c r="A926" s="122"/>
      <c r="B926" s="240"/>
      <c r="C926" s="124"/>
      <c r="D926" s="124"/>
      <c r="E926" s="124"/>
      <c r="F926" s="146"/>
      <c r="G926" s="138"/>
      <c r="H926" s="98" t="s">
        <v>82</v>
      </c>
      <c r="I926" s="125">
        <f>1277316.63+175174.3+86184.23</f>
        <v>1538675.16</v>
      </c>
      <c r="J926" s="125">
        <f>+I926</f>
        <v>1538675.16</v>
      </c>
      <c r="K926" s="125"/>
      <c r="L926" s="125"/>
      <c r="M926" s="125"/>
      <c r="N926" s="126">
        <f>-I926+'[2]Extra 01'!H686</f>
        <v>1208074.8400000001</v>
      </c>
    </row>
    <row r="927" spans="1:532" s="85" customFormat="1" ht="12.65" customHeight="1">
      <c r="A927" s="122"/>
      <c r="B927" s="240"/>
      <c r="C927" s="124"/>
      <c r="D927" s="124"/>
      <c r="E927" s="124"/>
      <c r="F927" s="146"/>
      <c r="G927" s="138"/>
      <c r="H927" s="98"/>
      <c r="I927" s="125"/>
      <c r="J927" s="125"/>
      <c r="K927" s="125"/>
      <c r="L927" s="125"/>
      <c r="M927" s="125"/>
      <c r="N927" s="126"/>
    </row>
    <row r="928" spans="1:532" s="85" customFormat="1" ht="12.75" customHeight="1">
      <c r="A928" s="122"/>
      <c r="B928" s="240"/>
      <c r="C928" s="124"/>
      <c r="D928" s="124"/>
      <c r="E928" s="124"/>
      <c r="F928" s="146" t="s">
        <v>264</v>
      </c>
      <c r="G928" s="179" t="s">
        <v>503</v>
      </c>
      <c r="H928" s="98" t="s">
        <v>78</v>
      </c>
      <c r="I928" s="125">
        <f>69865687+7794313+29799897.77+210786924.43</f>
        <v>318246822.19999999</v>
      </c>
      <c r="J928" s="125">
        <f>+I928</f>
        <v>318246822.19999999</v>
      </c>
      <c r="K928" s="125"/>
      <c r="L928" s="125"/>
      <c r="M928" s="125"/>
      <c r="N928" s="125">
        <f>-I928+'[2]Extra 01'!H688+'[2]EXTRA 2'!H691</f>
        <v>0</v>
      </c>
    </row>
    <row r="929" spans="1:532" s="85" customFormat="1" ht="12.75" customHeight="1">
      <c r="A929" s="122"/>
      <c r="B929" s="240"/>
      <c r="C929" s="124"/>
      <c r="D929" s="124"/>
      <c r="E929" s="124"/>
      <c r="F929" s="146" t="s">
        <v>499</v>
      </c>
      <c r="G929" s="138"/>
      <c r="H929" s="98"/>
      <c r="I929" s="125"/>
      <c r="J929" s="125"/>
      <c r="K929" s="125"/>
      <c r="L929" s="125"/>
      <c r="M929" s="125"/>
      <c r="N929" s="251">
        <f>+E922-D922</f>
        <v>254392156.78999996</v>
      </c>
    </row>
    <row r="930" spans="1:532" s="135" customFormat="1" ht="12.75" customHeight="1">
      <c r="A930" s="111"/>
      <c r="B930" s="243"/>
      <c r="C930" s="112"/>
      <c r="D930" s="112"/>
      <c r="E930" s="112"/>
      <c r="F930" s="242"/>
      <c r="G930" s="113"/>
      <c r="H930" s="114"/>
      <c r="I930" s="115"/>
      <c r="J930" s="115"/>
      <c r="K930" s="115"/>
      <c r="L930" s="115"/>
      <c r="M930" s="115"/>
      <c r="N930" s="116"/>
      <c r="O930" s="85"/>
      <c r="P930" s="85"/>
      <c r="Q930" s="85"/>
      <c r="R930" s="85"/>
      <c r="S930" s="85"/>
      <c r="T930" s="85"/>
      <c r="U930" s="85"/>
      <c r="V930" s="85"/>
      <c r="W930" s="85"/>
      <c r="X930" s="85"/>
      <c r="Y930" s="85"/>
      <c r="Z930" s="85"/>
      <c r="AA930" s="85"/>
      <c r="AB930" s="85"/>
      <c r="AC930" s="85"/>
      <c r="AD930" s="85"/>
      <c r="AE930" s="85"/>
      <c r="AF930" s="85"/>
      <c r="AG930" s="85"/>
      <c r="AH930" s="85"/>
      <c r="AI930" s="85"/>
      <c r="AJ930" s="85"/>
      <c r="AK930" s="85"/>
      <c r="AL930" s="85"/>
      <c r="AM930" s="85"/>
      <c r="AN930" s="85"/>
      <c r="AO930" s="85"/>
      <c r="AP930" s="85"/>
      <c r="AQ930" s="85"/>
      <c r="AR930" s="85"/>
      <c r="AS930" s="85"/>
      <c r="AT930" s="85"/>
      <c r="AU930" s="85"/>
      <c r="AV930" s="85"/>
      <c r="AW930" s="85"/>
      <c r="AX930" s="85"/>
      <c r="AY930" s="85"/>
      <c r="AZ930" s="85"/>
      <c r="BA930" s="85"/>
      <c r="BB930" s="85"/>
      <c r="BC930" s="85"/>
      <c r="BD930" s="85"/>
      <c r="BE930" s="85"/>
      <c r="BF930" s="85"/>
      <c r="BG930" s="85"/>
      <c r="BH930" s="85"/>
      <c r="BI930" s="85"/>
      <c r="BJ930" s="85"/>
      <c r="BK930" s="85"/>
      <c r="BL930" s="85"/>
      <c r="BM930" s="85"/>
      <c r="BN930" s="85"/>
      <c r="BO930" s="85"/>
      <c r="BP930" s="85"/>
      <c r="BQ930" s="85"/>
      <c r="BR930" s="85"/>
      <c r="BS930" s="85"/>
      <c r="BT930" s="85"/>
      <c r="BU930" s="85"/>
      <c r="BV930" s="85"/>
      <c r="BW930" s="85"/>
      <c r="BX930" s="85"/>
      <c r="BY930" s="85"/>
      <c r="BZ930" s="85"/>
      <c r="CA930" s="85"/>
      <c r="CB930" s="85"/>
      <c r="CC930" s="85"/>
      <c r="CD930" s="85"/>
      <c r="CE930" s="85"/>
      <c r="CF930" s="85"/>
      <c r="CG930" s="85"/>
      <c r="CH930" s="85"/>
      <c r="CI930" s="85"/>
      <c r="CJ930" s="85"/>
      <c r="CK930" s="85"/>
      <c r="CL930" s="85"/>
      <c r="CM930" s="85"/>
      <c r="CN930" s="85"/>
      <c r="CO930" s="85"/>
      <c r="CP930" s="85"/>
      <c r="CQ930" s="85"/>
      <c r="CR930" s="85"/>
      <c r="CS930" s="85"/>
      <c r="CT930" s="85"/>
      <c r="CU930" s="85"/>
      <c r="CV930" s="85"/>
      <c r="CW930" s="85"/>
      <c r="CX930" s="85"/>
      <c r="CY930" s="85"/>
      <c r="CZ930" s="85"/>
      <c r="DA930" s="85"/>
      <c r="DB930" s="85"/>
      <c r="DC930" s="85"/>
      <c r="DD930" s="85"/>
      <c r="DE930" s="85"/>
      <c r="DF930" s="85"/>
      <c r="DG930" s="85"/>
      <c r="DH930" s="85"/>
      <c r="DI930" s="85"/>
      <c r="DJ930" s="85"/>
      <c r="DK930" s="85"/>
      <c r="DL930" s="85"/>
      <c r="DM930" s="85"/>
      <c r="DN930" s="85"/>
      <c r="DO930" s="85"/>
      <c r="DP930" s="85"/>
      <c r="DQ930" s="85"/>
      <c r="DR930" s="85"/>
      <c r="DS930" s="85"/>
      <c r="DT930" s="85"/>
      <c r="DU930" s="85"/>
      <c r="DV930" s="85"/>
      <c r="DW930" s="85"/>
      <c r="DX930" s="85"/>
      <c r="DY930" s="85"/>
      <c r="DZ930" s="85"/>
      <c r="EA930" s="85"/>
      <c r="EB930" s="85"/>
      <c r="EC930" s="85"/>
      <c r="ED930" s="85"/>
      <c r="EE930" s="85"/>
      <c r="EF930" s="85"/>
      <c r="EG930" s="85"/>
      <c r="EH930" s="85"/>
      <c r="EI930" s="85"/>
      <c r="EJ930" s="85"/>
      <c r="EK930" s="85"/>
      <c r="EL930" s="85"/>
      <c r="EM930" s="85"/>
      <c r="EN930" s="85"/>
      <c r="EO930" s="85"/>
      <c r="EP930" s="85"/>
      <c r="EQ930" s="85"/>
      <c r="ER930" s="85"/>
      <c r="ES930" s="85"/>
      <c r="ET930" s="85"/>
      <c r="EU930" s="85"/>
      <c r="EV930" s="85"/>
      <c r="EW930" s="85"/>
      <c r="EX930" s="85"/>
      <c r="EY930" s="85"/>
      <c r="EZ930" s="85"/>
      <c r="FA930" s="85"/>
      <c r="FB930" s="85"/>
      <c r="FC930" s="85"/>
      <c r="FD930" s="85"/>
      <c r="FE930" s="85"/>
      <c r="FF930" s="85"/>
      <c r="FG930" s="85"/>
      <c r="FH930" s="85"/>
      <c r="FI930" s="85"/>
      <c r="FJ930" s="85"/>
      <c r="FK930" s="85"/>
      <c r="FL930" s="85"/>
      <c r="FM930" s="85"/>
      <c r="FN930" s="85"/>
      <c r="FO930" s="85"/>
      <c r="FP930" s="85"/>
      <c r="FQ930" s="85"/>
      <c r="FR930" s="85"/>
      <c r="FS930" s="85"/>
      <c r="FT930" s="85"/>
      <c r="FU930" s="85"/>
      <c r="FV930" s="85"/>
      <c r="FW930" s="85"/>
      <c r="FX930" s="85"/>
      <c r="FY930" s="85"/>
      <c r="FZ930" s="85"/>
      <c r="GA930" s="85"/>
      <c r="GB930" s="85"/>
      <c r="GC930" s="85"/>
      <c r="GD930" s="85"/>
      <c r="GE930" s="85"/>
      <c r="GF930" s="85"/>
      <c r="GG930" s="85"/>
      <c r="GH930" s="85"/>
      <c r="GI930" s="85"/>
      <c r="GJ930" s="85"/>
      <c r="GK930" s="85"/>
      <c r="GL930" s="85"/>
      <c r="GM930" s="85"/>
      <c r="GN930" s="85"/>
      <c r="GO930" s="85"/>
      <c r="GP930" s="85"/>
      <c r="GQ930" s="85"/>
      <c r="GR930" s="85"/>
      <c r="GS930" s="85"/>
      <c r="GT930" s="85"/>
      <c r="GU930" s="85"/>
      <c r="GV930" s="85"/>
      <c r="GW930" s="85"/>
      <c r="GX930" s="85"/>
      <c r="GY930" s="85"/>
      <c r="GZ930" s="85"/>
      <c r="HA930" s="85"/>
      <c r="HB930" s="85"/>
      <c r="HC930" s="85"/>
      <c r="HD930" s="85"/>
      <c r="HE930" s="85"/>
      <c r="HF930" s="85"/>
      <c r="HG930" s="85"/>
      <c r="HH930" s="85"/>
      <c r="HI930" s="85"/>
      <c r="HJ930" s="85"/>
      <c r="HK930" s="85"/>
      <c r="HL930" s="85"/>
      <c r="HM930" s="85"/>
      <c r="HN930" s="85"/>
      <c r="HO930" s="85"/>
      <c r="HP930" s="85"/>
      <c r="HQ930" s="85"/>
      <c r="HR930" s="85"/>
      <c r="HS930" s="85"/>
      <c r="HT930" s="85"/>
      <c r="HU930" s="85"/>
      <c r="HV930" s="85"/>
      <c r="HW930" s="85"/>
      <c r="HX930" s="85"/>
      <c r="HY930" s="85"/>
      <c r="HZ930" s="85"/>
      <c r="IA930" s="85"/>
      <c r="IB930" s="85"/>
      <c r="IC930" s="85"/>
      <c r="ID930" s="85"/>
      <c r="IE930" s="85"/>
      <c r="IF930" s="85"/>
      <c r="IG930" s="85"/>
      <c r="IH930" s="85"/>
      <c r="II930" s="85"/>
      <c r="IJ930" s="85"/>
      <c r="IK930" s="85"/>
      <c r="IL930" s="85"/>
      <c r="IM930" s="85"/>
      <c r="IN930" s="85"/>
      <c r="IO930" s="85"/>
      <c r="IP930" s="85"/>
      <c r="IQ930" s="85"/>
      <c r="IR930" s="85"/>
      <c r="IS930" s="85"/>
      <c r="IT930" s="85"/>
      <c r="IU930" s="85"/>
      <c r="IV930" s="85"/>
      <c r="IW930" s="85"/>
      <c r="IX930" s="85"/>
      <c r="IY930" s="85"/>
      <c r="IZ930" s="85"/>
      <c r="JA930" s="85"/>
      <c r="JB930" s="85"/>
      <c r="JC930" s="85"/>
      <c r="JD930" s="85"/>
      <c r="JE930" s="85"/>
      <c r="JF930" s="85"/>
      <c r="JG930" s="85"/>
      <c r="JH930" s="85"/>
      <c r="JI930" s="85"/>
      <c r="JJ930" s="85"/>
      <c r="JK930" s="85"/>
      <c r="JL930" s="85"/>
      <c r="JM930" s="85"/>
      <c r="JN930" s="85"/>
      <c r="JO930" s="85"/>
      <c r="JP930" s="85"/>
      <c r="JQ930" s="85"/>
      <c r="JR930" s="85"/>
      <c r="JS930" s="85"/>
      <c r="JT930" s="85"/>
      <c r="JU930" s="85"/>
      <c r="JV930" s="85"/>
      <c r="JW930" s="85"/>
      <c r="JX930" s="85"/>
      <c r="JY930" s="85"/>
      <c r="JZ930" s="85"/>
      <c r="KA930" s="85"/>
      <c r="KB930" s="85"/>
      <c r="KC930" s="85"/>
      <c r="KD930" s="85"/>
      <c r="KE930" s="85"/>
      <c r="KF930" s="85"/>
      <c r="KG930" s="85"/>
      <c r="KH930" s="85"/>
      <c r="KI930" s="85"/>
      <c r="KJ930" s="85"/>
      <c r="KK930" s="85"/>
      <c r="KL930" s="85"/>
      <c r="KM930" s="85"/>
      <c r="KN930" s="85"/>
      <c r="KO930" s="85"/>
      <c r="KP930" s="85"/>
      <c r="KQ930" s="85"/>
      <c r="KR930" s="85"/>
      <c r="KS930" s="85"/>
      <c r="KT930" s="85"/>
      <c r="KU930" s="85"/>
      <c r="KV930" s="85"/>
      <c r="KW930" s="85"/>
      <c r="KX930" s="85"/>
      <c r="KY930" s="85"/>
      <c r="KZ930" s="85"/>
      <c r="LA930" s="85"/>
      <c r="LB930" s="85"/>
      <c r="LC930" s="85"/>
      <c r="LD930" s="85"/>
      <c r="LE930" s="85"/>
      <c r="LF930" s="85"/>
      <c r="LG930" s="85"/>
      <c r="LH930" s="85"/>
      <c r="LI930" s="85"/>
      <c r="LJ930" s="85"/>
      <c r="LK930" s="85"/>
      <c r="LL930" s="85"/>
      <c r="LM930" s="85"/>
      <c r="LN930" s="85"/>
      <c r="LO930" s="85"/>
      <c r="LP930" s="85"/>
      <c r="LQ930" s="85"/>
      <c r="LR930" s="85"/>
      <c r="LS930" s="85"/>
      <c r="LT930" s="85"/>
      <c r="LU930" s="85"/>
      <c r="LV930" s="85"/>
      <c r="LW930" s="85"/>
      <c r="LX930" s="85"/>
      <c r="LY930" s="85"/>
      <c r="LZ930" s="85"/>
      <c r="MA930" s="85"/>
      <c r="MB930" s="85"/>
      <c r="MC930" s="85"/>
      <c r="MD930" s="85"/>
      <c r="ME930" s="85"/>
      <c r="MF930" s="85"/>
      <c r="MG930" s="85"/>
      <c r="MH930" s="85"/>
      <c r="MI930" s="85"/>
      <c r="MJ930" s="85"/>
      <c r="MK930" s="85"/>
      <c r="ML930" s="85"/>
      <c r="MM930" s="85"/>
      <c r="MN930" s="85"/>
      <c r="MO930" s="85"/>
      <c r="MP930" s="85"/>
      <c r="MQ930" s="85"/>
      <c r="MR930" s="85"/>
      <c r="MS930" s="85"/>
      <c r="MT930" s="85"/>
      <c r="MU930" s="85"/>
      <c r="MV930" s="85"/>
      <c r="MW930" s="85"/>
      <c r="MX930" s="85"/>
      <c r="MY930" s="85"/>
      <c r="MZ930" s="85"/>
      <c r="NA930" s="85"/>
      <c r="NB930" s="85"/>
      <c r="NC930" s="85"/>
      <c r="ND930" s="85"/>
      <c r="NE930" s="85"/>
      <c r="NF930" s="85"/>
      <c r="NG930" s="85"/>
      <c r="NH930" s="85"/>
      <c r="NI930" s="85"/>
      <c r="NJ930" s="85"/>
      <c r="NK930" s="85"/>
      <c r="NL930" s="85"/>
      <c r="NM930" s="85"/>
      <c r="NN930" s="85"/>
      <c r="NO930" s="85"/>
      <c r="NP930" s="85"/>
      <c r="NQ930" s="85"/>
      <c r="NR930" s="85"/>
      <c r="NS930" s="85"/>
      <c r="NT930" s="85"/>
      <c r="NU930" s="85"/>
      <c r="NV930" s="85"/>
      <c r="NW930" s="85"/>
      <c r="NX930" s="85"/>
      <c r="NY930" s="85"/>
      <c r="NZ930" s="85"/>
      <c r="OA930" s="85"/>
      <c r="OB930" s="85"/>
      <c r="OC930" s="85"/>
      <c r="OD930" s="85"/>
      <c r="OE930" s="85"/>
      <c r="OF930" s="85"/>
      <c r="OG930" s="85"/>
      <c r="OH930" s="85"/>
      <c r="OI930" s="85"/>
      <c r="OJ930" s="85"/>
      <c r="OK930" s="85"/>
      <c r="OL930" s="85"/>
      <c r="OM930" s="85"/>
      <c r="ON930" s="85"/>
      <c r="OO930" s="85"/>
      <c r="OP930" s="85"/>
      <c r="OQ930" s="85"/>
      <c r="OR930" s="85"/>
      <c r="OS930" s="85"/>
      <c r="OT930" s="85"/>
      <c r="OU930" s="85"/>
      <c r="OV930" s="85"/>
      <c r="OW930" s="85"/>
      <c r="OX930" s="85"/>
      <c r="OY930" s="85"/>
      <c r="OZ930" s="85"/>
      <c r="PA930" s="85"/>
      <c r="PB930" s="85"/>
      <c r="PC930" s="85"/>
      <c r="PD930" s="85"/>
      <c r="PE930" s="85"/>
      <c r="PF930" s="85"/>
      <c r="PG930" s="85"/>
      <c r="PH930" s="85"/>
      <c r="PI930" s="85"/>
      <c r="PJ930" s="85"/>
      <c r="PK930" s="85"/>
      <c r="PL930" s="85"/>
      <c r="PM930" s="85"/>
      <c r="PN930" s="85"/>
      <c r="PO930" s="85"/>
      <c r="PP930" s="85"/>
      <c r="PQ930" s="85"/>
      <c r="PR930" s="85"/>
      <c r="PS930" s="85"/>
      <c r="PT930" s="85"/>
      <c r="PU930" s="85"/>
      <c r="PV930" s="85"/>
      <c r="PW930" s="85"/>
      <c r="PX930" s="85"/>
      <c r="PY930" s="85"/>
      <c r="PZ930" s="85"/>
      <c r="QA930" s="85"/>
      <c r="QB930" s="85"/>
      <c r="QC930" s="85"/>
      <c r="QD930" s="85"/>
      <c r="QE930" s="85"/>
      <c r="QF930" s="85"/>
      <c r="QG930" s="85"/>
      <c r="QH930" s="85"/>
      <c r="QI930" s="85"/>
      <c r="QJ930" s="85"/>
      <c r="QK930" s="85"/>
      <c r="QL930" s="85"/>
      <c r="QM930" s="85"/>
      <c r="QN930" s="85"/>
      <c r="QO930" s="85"/>
      <c r="QP930" s="85"/>
      <c r="QQ930" s="85"/>
      <c r="QR930" s="85"/>
      <c r="QS930" s="85"/>
      <c r="QT930" s="85"/>
      <c r="QU930" s="85"/>
      <c r="QV930" s="85"/>
      <c r="QW930" s="85"/>
      <c r="QX930" s="85"/>
      <c r="QY930" s="85"/>
      <c r="QZ930" s="85"/>
      <c r="RA930" s="85"/>
      <c r="RB930" s="85"/>
      <c r="RC930" s="85"/>
      <c r="RD930" s="85"/>
      <c r="RE930" s="85"/>
      <c r="RF930" s="85"/>
      <c r="RG930" s="85"/>
      <c r="RH930" s="85"/>
      <c r="RI930" s="85"/>
      <c r="RJ930" s="85"/>
      <c r="RK930" s="85"/>
      <c r="RL930" s="85"/>
      <c r="RM930" s="85"/>
      <c r="RN930" s="85"/>
      <c r="RO930" s="85"/>
      <c r="RP930" s="85"/>
      <c r="RQ930" s="85"/>
      <c r="RR930" s="85"/>
      <c r="RS930" s="85"/>
      <c r="RT930" s="85"/>
      <c r="RU930" s="85"/>
      <c r="RV930" s="85"/>
      <c r="RW930" s="85"/>
      <c r="RX930" s="85"/>
      <c r="RY930" s="85"/>
      <c r="RZ930" s="85"/>
      <c r="SA930" s="85"/>
      <c r="SB930" s="85"/>
      <c r="SC930" s="85"/>
      <c r="SD930" s="85"/>
      <c r="SE930" s="85"/>
      <c r="SF930" s="85"/>
      <c r="SG930" s="85"/>
      <c r="SH930" s="85"/>
      <c r="SI930" s="85"/>
      <c r="SJ930" s="85"/>
      <c r="SK930" s="85"/>
      <c r="SL930" s="85"/>
      <c r="SM930" s="85"/>
      <c r="SN930" s="85"/>
      <c r="SO930" s="85"/>
      <c r="SP930" s="85"/>
      <c r="SQ930" s="85"/>
      <c r="SR930" s="85"/>
      <c r="SS930" s="85"/>
      <c r="ST930" s="85"/>
      <c r="SU930" s="85"/>
      <c r="SV930" s="85"/>
      <c r="SW930" s="85"/>
      <c r="SX930" s="85"/>
      <c r="SY930" s="85"/>
      <c r="SZ930" s="85"/>
      <c r="TA930" s="85"/>
      <c r="TB930" s="85"/>
      <c r="TC930" s="85"/>
      <c r="TD930" s="85"/>
      <c r="TE930" s="85"/>
      <c r="TF930" s="85"/>
      <c r="TG930" s="85"/>
      <c r="TH930" s="85"/>
      <c r="TI930" s="85"/>
      <c r="TJ930" s="85"/>
      <c r="TK930" s="85"/>
      <c r="TL930" s="85"/>
    </row>
    <row r="931" spans="1:532" s="85" customFormat="1" ht="12.75" customHeight="1">
      <c r="A931" s="180" t="s">
        <v>504</v>
      </c>
      <c r="B931" s="177" t="s">
        <v>505</v>
      </c>
      <c r="C931" s="124"/>
      <c r="D931" s="124">
        <f>+'[2]Extra 01'!C691+'[2]EXTRA 2'!C694</f>
        <v>103470293.90000001</v>
      </c>
      <c r="E931" s="124">
        <v>127239705.81999999</v>
      </c>
      <c r="F931" s="146"/>
      <c r="G931" s="138"/>
      <c r="H931" s="98"/>
      <c r="I931" s="140">
        <f t="shared" ref="I931:N931" si="52">SUM(I932:I935)</f>
        <v>103470293.90000001</v>
      </c>
      <c r="J931" s="140">
        <f t="shared" si="52"/>
        <v>82332197.900000006</v>
      </c>
      <c r="K931" s="140">
        <f t="shared" si="52"/>
        <v>21138096</v>
      </c>
      <c r="L931" s="140">
        <f t="shared" si="52"/>
        <v>0</v>
      </c>
      <c r="M931" s="140">
        <f t="shared" si="52"/>
        <v>0</v>
      </c>
      <c r="N931" s="140">
        <f t="shared" si="52"/>
        <v>23769411.919999987</v>
      </c>
    </row>
    <row r="932" spans="1:532" s="85" customFormat="1" ht="12.75" customHeight="1">
      <c r="A932" s="122"/>
      <c r="B932" s="240"/>
      <c r="C932" s="124"/>
      <c r="D932" s="124"/>
      <c r="E932" s="124"/>
      <c r="F932" s="146" t="s">
        <v>156</v>
      </c>
      <c r="G932" s="138" t="s">
        <v>303</v>
      </c>
      <c r="H932" s="98" t="s">
        <v>78</v>
      </c>
      <c r="I932" s="125">
        <f>37904308.22+18826028.68+25601861</f>
        <v>82332197.900000006</v>
      </c>
      <c r="J932" s="125">
        <f>+I932</f>
        <v>82332197.900000006</v>
      </c>
      <c r="K932" s="125"/>
      <c r="L932" s="125"/>
      <c r="M932" s="125"/>
      <c r="N932" s="125">
        <f>-I932+'[2]Extra 01'!H693+'[3]Origen y Aplicación'!$H$697</f>
        <v>0</v>
      </c>
    </row>
    <row r="933" spans="1:532" s="85" customFormat="1" ht="12.75" customHeight="1">
      <c r="A933" s="122"/>
      <c r="B933" s="240"/>
      <c r="C933" s="124"/>
      <c r="D933" s="124"/>
      <c r="E933" s="124"/>
      <c r="F933" s="146"/>
      <c r="G933" s="138"/>
      <c r="H933" s="98" t="s">
        <v>79</v>
      </c>
      <c r="I933" s="125"/>
      <c r="J933" s="125">
        <f>+I933</f>
        <v>0</v>
      </c>
      <c r="K933" s="125"/>
      <c r="L933" s="125"/>
      <c r="M933" s="125"/>
      <c r="N933" s="125">
        <v>0</v>
      </c>
    </row>
    <row r="934" spans="1:532" s="85" customFormat="1" ht="12.75" customHeight="1">
      <c r="A934" s="122"/>
      <c r="B934" s="240"/>
      <c r="C934" s="124"/>
      <c r="D934" s="124"/>
      <c r="E934" s="124"/>
      <c r="F934" s="146"/>
      <c r="G934" s="138"/>
      <c r="H934" s="98" t="s">
        <v>81</v>
      </c>
      <c r="I934" s="125">
        <f>18405072+2733024</f>
        <v>21138096</v>
      </c>
      <c r="J934" s="125"/>
      <c r="K934" s="125">
        <f>+I934</f>
        <v>21138096</v>
      </c>
      <c r="L934" s="125"/>
      <c r="M934" s="125"/>
      <c r="N934" s="125">
        <f>+'[2]EXTRA 2'!H698-I934</f>
        <v>0</v>
      </c>
    </row>
    <row r="935" spans="1:532" s="85" customFormat="1" ht="12.75" customHeight="1">
      <c r="A935" s="122"/>
      <c r="B935" s="240"/>
      <c r="C935" s="124"/>
      <c r="D935" s="124"/>
      <c r="E935" s="124"/>
      <c r="F935" s="146" t="s">
        <v>499</v>
      </c>
      <c r="G935" s="138"/>
      <c r="H935" s="98"/>
      <c r="I935" s="125"/>
      <c r="J935" s="125"/>
      <c r="K935" s="125"/>
      <c r="L935" s="125"/>
      <c r="M935" s="125"/>
      <c r="N935" s="251">
        <f>+E931-D931</f>
        <v>23769411.919999987</v>
      </c>
    </row>
    <row r="936" spans="1:532" s="135" customFormat="1" ht="12.75" customHeight="1">
      <c r="A936" s="111"/>
      <c r="B936" s="243"/>
      <c r="C936" s="112"/>
      <c r="D936" s="112"/>
      <c r="E936" s="112"/>
      <c r="F936" s="242"/>
      <c r="G936" s="113"/>
      <c r="H936" s="114"/>
      <c r="I936" s="115"/>
      <c r="J936" s="115"/>
      <c r="K936" s="115"/>
      <c r="L936" s="115"/>
      <c r="M936" s="115"/>
      <c r="N936" s="116"/>
      <c r="O936" s="85"/>
      <c r="P936" s="85"/>
      <c r="Q936" s="85"/>
      <c r="R936" s="85"/>
      <c r="S936" s="85"/>
      <c r="T936" s="85"/>
      <c r="U936" s="85"/>
      <c r="V936" s="85"/>
      <c r="W936" s="85"/>
      <c r="X936" s="85"/>
      <c r="Y936" s="85"/>
      <c r="Z936" s="85"/>
      <c r="AA936" s="85"/>
      <c r="AB936" s="85"/>
      <c r="AC936" s="85"/>
      <c r="AD936" s="85"/>
      <c r="AE936" s="85"/>
      <c r="AF936" s="85"/>
      <c r="AG936" s="85"/>
      <c r="AH936" s="85"/>
      <c r="AI936" s="85"/>
      <c r="AJ936" s="85"/>
      <c r="AK936" s="85"/>
      <c r="AL936" s="85"/>
      <c r="AM936" s="85"/>
      <c r="AN936" s="85"/>
      <c r="AO936" s="85"/>
      <c r="AP936" s="85"/>
      <c r="AQ936" s="85"/>
      <c r="AR936" s="85"/>
      <c r="AS936" s="85"/>
      <c r="AT936" s="85"/>
      <c r="AU936" s="85"/>
      <c r="AV936" s="85"/>
      <c r="AW936" s="85"/>
      <c r="AX936" s="85"/>
      <c r="AY936" s="85"/>
      <c r="AZ936" s="85"/>
      <c r="BA936" s="85"/>
      <c r="BB936" s="85"/>
      <c r="BC936" s="85"/>
      <c r="BD936" s="85"/>
      <c r="BE936" s="85"/>
      <c r="BF936" s="85"/>
      <c r="BG936" s="85"/>
      <c r="BH936" s="85"/>
      <c r="BI936" s="85"/>
      <c r="BJ936" s="85"/>
      <c r="BK936" s="85"/>
      <c r="BL936" s="85"/>
      <c r="BM936" s="85"/>
      <c r="BN936" s="85"/>
      <c r="BO936" s="85"/>
      <c r="BP936" s="85"/>
      <c r="BQ936" s="85"/>
      <c r="BR936" s="85"/>
      <c r="BS936" s="85"/>
      <c r="BT936" s="85"/>
      <c r="BU936" s="85"/>
      <c r="BV936" s="85"/>
      <c r="BW936" s="85"/>
      <c r="BX936" s="85"/>
      <c r="BY936" s="85"/>
      <c r="BZ936" s="85"/>
      <c r="CA936" s="85"/>
      <c r="CB936" s="85"/>
      <c r="CC936" s="85"/>
      <c r="CD936" s="85"/>
      <c r="CE936" s="85"/>
      <c r="CF936" s="85"/>
      <c r="CG936" s="85"/>
      <c r="CH936" s="85"/>
      <c r="CI936" s="85"/>
      <c r="CJ936" s="85"/>
      <c r="CK936" s="85"/>
      <c r="CL936" s="85"/>
      <c r="CM936" s="85"/>
      <c r="CN936" s="85"/>
      <c r="CO936" s="85"/>
      <c r="CP936" s="85"/>
      <c r="CQ936" s="85"/>
      <c r="CR936" s="85"/>
      <c r="CS936" s="85"/>
      <c r="CT936" s="85"/>
      <c r="CU936" s="85"/>
      <c r="CV936" s="85"/>
      <c r="CW936" s="85"/>
      <c r="CX936" s="85"/>
      <c r="CY936" s="85"/>
      <c r="CZ936" s="85"/>
      <c r="DA936" s="85"/>
      <c r="DB936" s="85"/>
      <c r="DC936" s="85"/>
      <c r="DD936" s="85"/>
      <c r="DE936" s="85"/>
      <c r="DF936" s="85"/>
      <c r="DG936" s="85"/>
      <c r="DH936" s="85"/>
      <c r="DI936" s="85"/>
      <c r="DJ936" s="85"/>
      <c r="DK936" s="85"/>
      <c r="DL936" s="85"/>
      <c r="DM936" s="85"/>
      <c r="DN936" s="85"/>
      <c r="DO936" s="85"/>
      <c r="DP936" s="85"/>
      <c r="DQ936" s="85"/>
      <c r="DR936" s="85"/>
      <c r="DS936" s="85"/>
      <c r="DT936" s="85"/>
      <c r="DU936" s="85"/>
      <c r="DV936" s="85"/>
      <c r="DW936" s="85"/>
      <c r="DX936" s="85"/>
      <c r="DY936" s="85"/>
      <c r="DZ936" s="85"/>
      <c r="EA936" s="85"/>
      <c r="EB936" s="85"/>
      <c r="EC936" s="85"/>
      <c r="ED936" s="85"/>
      <c r="EE936" s="85"/>
      <c r="EF936" s="85"/>
      <c r="EG936" s="85"/>
      <c r="EH936" s="85"/>
      <c r="EI936" s="85"/>
      <c r="EJ936" s="85"/>
      <c r="EK936" s="85"/>
      <c r="EL936" s="85"/>
      <c r="EM936" s="85"/>
      <c r="EN936" s="85"/>
      <c r="EO936" s="85"/>
      <c r="EP936" s="85"/>
      <c r="EQ936" s="85"/>
      <c r="ER936" s="85"/>
      <c r="ES936" s="85"/>
      <c r="ET936" s="85"/>
      <c r="EU936" s="85"/>
      <c r="EV936" s="85"/>
      <c r="EW936" s="85"/>
      <c r="EX936" s="85"/>
      <c r="EY936" s="85"/>
      <c r="EZ936" s="85"/>
      <c r="FA936" s="85"/>
      <c r="FB936" s="85"/>
      <c r="FC936" s="85"/>
      <c r="FD936" s="85"/>
      <c r="FE936" s="85"/>
      <c r="FF936" s="85"/>
      <c r="FG936" s="85"/>
      <c r="FH936" s="85"/>
      <c r="FI936" s="85"/>
      <c r="FJ936" s="85"/>
      <c r="FK936" s="85"/>
      <c r="FL936" s="85"/>
      <c r="FM936" s="85"/>
      <c r="FN936" s="85"/>
      <c r="FO936" s="85"/>
      <c r="FP936" s="85"/>
      <c r="FQ936" s="85"/>
      <c r="FR936" s="85"/>
      <c r="FS936" s="85"/>
      <c r="FT936" s="85"/>
      <c r="FU936" s="85"/>
      <c r="FV936" s="85"/>
      <c r="FW936" s="85"/>
      <c r="FX936" s="85"/>
      <c r="FY936" s="85"/>
      <c r="FZ936" s="85"/>
      <c r="GA936" s="85"/>
      <c r="GB936" s="85"/>
      <c r="GC936" s="85"/>
      <c r="GD936" s="85"/>
      <c r="GE936" s="85"/>
      <c r="GF936" s="85"/>
      <c r="GG936" s="85"/>
      <c r="GH936" s="85"/>
      <c r="GI936" s="85"/>
      <c r="GJ936" s="85"/>
      <c r="GK936" s="85"/>
      <c r="GL936" s="85"/>
      <c r="GM936" s="85"/>
      <c r="GN936" s="85"/>
      <c r="GO936" s="85"/>
      <c r="GP936" s="85"/>
      <c r="GQ936" s="85"/>
      <c r="GR936" s="85"/>
      <c r="GS936" s="85"/>
      <c r="GT936" s="85"/>
      <c r="GU936" s="85"/>
      <c r="GV936" s="85"/>
      <c r="GW936" s="85"/>
      <c r="GX936" s="85"/>
      <c r="GY936" s="85"/>
      <c r="GZ936" s="85"/>
      <c r="HA936" s="85"/>
      <c r="HB936" s="85"/>
      <c r="HC936" s="85"/>
      <c r="HD936" s="85"/>
      <c r="HE936" s="85"/>
      <c r="HF936" s="85"/>
      <c r="HG936" s="85"/>
      <c r="HH936" s="85"/>
      <c r="HI936" s="85"/>
      <c r="HJ936" s="85"/>
      <c r="HK936" s="85"/>
      <c r="HL936" s="85"/>
      <c r="HM936" s="85"/>
      <c r="HN936" s="85"/>
      <c r="HO936" s="85"/>
      <c r="HP936" s="85"/>
      <c r="HQ936" s="85"/>
      <c r="HR936" s="85"/>
      <c r="HS936" s="85"/>
      <c r="HT936" s="85"/>
      <c r="HU936" s="85"/>
      <c r="HV936" s="85"/>
      <c r="HW936" s="85"/>
      <c r="HX936" s="85"/>
      <c r="HY936" s="85"/>
      <c r="HZ936" s="85"/>
      <c r="IA936" s="85"/>
      <c r="IB936" s="85"/>
      <c r="IC936" s="85"/>
      <c r="ID936" s="85"/>
      <c r="IE936" s="85"/>
      <c r="IF936" s="85"/>
      <c r="IG936" s="85"/>
      <c r="IH936" s="85"/>
      <c r="II936" s="85"/>
      <c r="IJ936" s="85"/>
      <c r="IK936" s="85"/>
      <c r="IL936" s="85"/>
      <c r="IM936" s="85"/>
      <c r="IN936" s="85"/>
      <c r="IO936" s="85"/>
      <c r="IP936" s="85"/>
      <c r="IQ936" s="85"/>
      <c r="IR936" s="85"/>
      <c r="IS936" s="85"/>
      <c r="IT936" s="85"/>
      <c r="IU936" s="85"/>
      <c r="IV936" s="85"/>
      <c r="IW936" s="85"/>
      <c r="IX936" s="85"/>
      <c r="IY936" s="85"/>
      <c r="IZ936" s="85"/>
      <c r="JA936" s="85"/>
      <c r="JB936" s="85"/>
      <c r="JC936" s="85"/>
      <c r="JD936" s="85"/>
      <c r="JE936" s="85"/>
      <c r="JF936" s="85"/>
      <c r="JG936" s="85"/>
      <c r="JH936" s="85"/>
      <c r="JI936" s="85"/>
      <c r="JJ936" s="85"/>
      <c r="JK936" s="85"/>
      <c r="JL936" s="85"/>
      <c r="JM936" s="85"/>
      <c r="JN936" s="85"/>
      <c r="JO936" s="85"/>
      <c r="JP936" s="85"/>
      <c r="JQ936" s="85"/>
      <c r="JR936" s="85"/>
      <c r="JS936" s="85"/>
      <c r="JT936" s="85"/>
      <c r="JU936" s="85"/>
      <c r="JV936" s="85"/>
      <c r="JW936" s="85"/>
      <c r="JX936" s="85"/>
      <c r="JY936" s="85"/>
      <c r="JZ936" s="85"/>
      <c r="KA936" s="85"/>
      <c r="KB936" s="85"/>
      <c r="KC936" s="85"/>
      <c r="KD936" s="85"/>
      <c r="KE936" s="85"/>
      <c r="KF936" s="85"/>
      <c r="KG936" s="85"/>
      <c r="KH936" s="85"/>
      <c r="KI936" s="85"/>
      <c r="KJ936" s="85"/>
      <c r="KK936" s="85"/>
      <c r="KL936" s="85"/>
      <c r="KM936" s="85"/>
      <c r="KN936" s="85"/>
      <c r="KO936" s="85"/>
      <c r="KP936" s="85"/>
      <c r="KQ936" s="85"/>
      <c r="KR936" s="85"/>
      <c r="KS936" s="85"/>
      <c r="KT936" s="85"/>
      <c r="KU936" s="85"/>
      <c r="KV936" s="85"/>
      <c r="KW936" s="85"/>
      <c r="KX936" s="85"/>
      <c r="KY936" s="85"/>
      <c r="KZ936" s="85"/>
      <c r="LA936" s="85"/>
      <c r="LB936" s="85"/>
      <c r="LC936" s="85"/>
      <c r="LD936" s="85"/>
      <c r="LE936" s="85"/>
      <c r="LF936" s="85"/>
      <c r="LG936" s="85"/>
      <c r="LH936" s="85"/>
      <c r="LI936" s="85"/>
      <c r="LJ936" s="85"/>
      <c r="LK936" s="85"/>
      <c r="LL936" s="85"/>
      <c r="LM936" s="85"/>
      <c r="LN936" s="85"/>
      <c r="LO936" s="85"/>
      <c r="LP936" s="85"/>
      <c r="LQ936" s="85"/>
      <c r="LR936" s="85"/>
      <c r="LS936" s="85"/>
      <c r="LT936" s="85"/>
      <c r="LU936" s="85"/>
      <c r="LV936" s="85"/>
      <c r="LW936" s="85"/>
      <c r="LX936" s="85"/>
      <c r="LY936" s="85"/>
      <c r="LZ936" s="85"/>
      <c r="MA936" s="85"/>
      <c r="MB936" s="85"/>
      <c r="MC936" s="85"/>
      <c r="MD936" s="85"/>
      <c r="ME936" s="85"/>
      <c r="MF936" s="85"/>
      <c r="MG936" s="85"/>
      <c r="MH936" s="85"/>
      <c r="MI936" s="85"/>
      <c r="MJ936" s="85"/>
      <c r="MK936" s="85"/>
      <c r="ML936" s="85"/>
      <c r="MM936" s="85"/>
      <c r="MN936" s="85"/>
      <c r="MO936" s="85"/>
      <c r="MP936" s="85"/>
      <c r="MQ936" s="85"/>
      <c r="MR936" s="85"/>
      <c r="MS936" s="85"/>
      <c r="MT936" s="85"/>
      <c r="MU936" s="85"/>
      <c r="MV936" s="85"/>
      <c r="MW936" s="85"/>
      <c r="MX936" s="85"/>
      <c r="MY936" s="85"/>
      <c r="MZ936" s="85"/>
      <c r="NA936" s="85"/>
      <c r="NB936" s="85"/>
      <c r="NC936" s="85"/>
      <c r="ND936" s="85"/>
      <c r="NE936" s="85"/>
      <c r="NF936" s="85"/>
      <c r="NG936" s="85"/>
      <c r="NH936" s="85"/>
      <c r="NI936" s="85"/>
      <c r="NJ936" s="85"/>
      <c r="NK936" s="85"/>
      <c r="NL936" s="85"/>
      <c r="NM936" s="85"/>
      <c r="NN936" s="85"/>
      <c r="NO936" s="85"/>
      <c r="NP936" s="85"/>
      <c r="NQ936" s="85"/>
      <c r="NR936" s="85"/>
      <c r="NS936" s="85"/>
      <c r="NT936" s="85"/>
      <c r="NU936" s="85"/>
      <c r="NV936" s="85"/>
      <c r="NW936" s="85"/>
      <c r="NX936" s="85"/>
      <c r="NY936" s="85"/>
      <c r="NZ936" s="85"/>
      <c r="OA936" s="85"/>
      <c r="OB936" s="85"/>
      <c r="OC936" s="85"/>
      <c r="OD936" s="85"/>
      <c r="OE936" s="85"/>
      <c r="OF936" s="85"/>
      <c r="OG936" s="85"/>
      <c r="OH936" s="85"/>
      <c r="OI936" s="85"/>
      <c r="OJ936" s="85"/>
      <c r="OK936" s="85"/>
      <c r="OL936" s="85"/>
      <c r="OM936" s="85"/>
      <c r="ON936" s="85"/>
      <c r="OO936" s="85"/>
      <c r="OP936" s="85"/>
      <c r="OQ936" s="85"/>
      <c r="OR936" s="85"/>
      <c r="OS936" s="85"/>
      <c r="OT936" s="85"/>
      <c r="OU936" s="85"/>
      <c r="OV936" s="85"/>
      <c r="OW936" s="85"/>
      <c r="OX936" s="85"/>
      <c r="OY936" s="85"/>
      <c r="OZ936" s="85"/>
      <c r="PA936" s="85"/>
      <c r="PB936" s="85"/>
      <c r="PC936" s="85"/>
      <c r="PD936" s="85"/>
      <c r="PE936" s="85"/>
      <c r="PF936" s="85"/>
      <c r="PG936" s="85"/>
      <c r="PH936" s="85"/>
      <c r="PI936" s="85"/>
      <c r="PJ936" s="85"/>
      <c r="PK936" s="85"/>
      <c r="PL936" s="85"/>
      <c r="PM936" s="85"/>
      <c r="PN936" s="85"/>
      <c r="PO936" s="85"/>
      <c r="PP936" s="85"/>
      <c r="PQ936" s="85"/>
      <c r="PR936" s="85"/>
      <c r="PS936" s="85"/>
      <c r="PT936" s="85"/>
      <c r="PU936" s="85"/>
      <c r="PV936" s="85"/>
      <c r="PW936" s="85"/>
      <c r="PX936" s="85"/>
      <c r="PY936" s="85"/>
      <c r="PZ936" s="85"/>
      <c r="QA936" s="85"/>
      <c r="QB936" s="85"/>
      <c r="QC936" s="85"/>
      <c r="QD936" s="85"/>
      <c r="QE936" s="85"/>
      <c r="QF936" s="85"/>
      <c r="QG936" s="85"/>
      <c r="QH936" s="85"/>
      <c r="QI936" s="85"/>
      <c r="QJ936" s="85"/>
      <c r="QK936" s="85"/>
      <c r="QL936" s="85"/>
      <c r="QM936" s="85"/>
      <c r="QN936" s="85"/>
      <c r="QO936" s="85"/>
      <c r="QP936" s="85"/>
      <c r="QQ936" s="85"/>
      <c r="QR936" s="85"/>
      <c r="QS936" s="85"/>
      <c r="QT936" s="85"/>
      <c r="QU936" s="85"/>
      <c r="QV936" s="85"/>
      <c r="QW936" s="85"/>
      <c r="QX936" s="85"/>
      <c r="QY936" s="85"/>
      <c r="QZ936" s="85"/>
      <c r="RA936" s="85"/>
      <c r="RB936" s="85"/>
      <c r="RC936" s="85"/>
      <c r="RD936" s="85"/>
      <c r="RE936" s="85"/>
      <c r="RF936" s="85"/>
      <c r="RG936" s="85"/>
      <c r="RH936" s="85"/>
      <c r="RI936" s="85"/>
      <c r="RJ936" s="85"/>
      <c r="RK936" s="85"/>
      <c r="RL936" s="85"/>
      <c r="RM936" s="85"/>
      <c r="RN936" s="85"/>
      <c r="RO936" s="85"/>
      <c r="RP936" s="85"/>
      <c r="RQ936" s="85"/>
      <c r="RR936" s="85"/>
      <c r="RS936" s="85"/>
      <c r="RT936" s="85"/>
      <c r="RU936" s="85"/>
      <c r="RV936" s="85"/>
      <c r="RW936" s="85"/>
      <c r="RX936" s="85"/>
      <c r="RY936" s="85"/>
      <c r="RZ936" s="85"/>
      <c r="SA936" s="85"/>
      <c r="SB936" s="85"/>
      <c r="SC936" s="85"/>
      <c r="SD936" s="85"/>
      <c r="SE936" s="85"/>
      <c r="SF936" s="85"/>
      <c r="SG936" s="85"/>
      <c r="SH936" s="85"/>
      <c r="SI936" s="85"/>
      <c r="SJ936" s="85"/>
      <c r="SK936" s="85"/>
      <c r="SL936" s="85"/>
      <c r="SM936" s="85"/>
      <c r="SN936" s="85"/>
      <c r="SO936" s="85"/>
      <c r="SP936" s="85"/>
      <c r="SQ936" s="85"/>
      <c r="SR936" s="85"/>
      <c r="SS936" s="85"/>
      <c r="ST936" s="85"/>
      <c r="SU936" s="85"/>
      <c r="SV936" s="85"/>
      <c r="SW936" s="85"/>
      <c r="SX936" s="85"/>
      <c r="SY936" s="85"/>
      <c r="SZ936" s="85"/>
      <c r="TA936" s="85"/>
      <c r="TB936" s="85"/>
      <c r="TC936" s="85"/>
      <c r="TD936" s="85"/>
      <c r="TE936" s="85"/>
      <c r="TF936" s="85"/>
      <c r="TG936" s="85"/>
      <c r="TH936" s="85"/>
      <c r="TI936" s="85"/>
      <c r="TJ936" s="85"/>
      <c r="TK936" s="85"/>
      <c r="TL936" s="85"/>
    </row>
    <row r="937" spans="1:532" s="85" customFormat="1" ht="12.75" customHeight="1">
      <c r="A937" s="122" t="s">
        <v>506</v>
      </c>
      <c r="B937" s="240" t="s">
        <v>507</v>
      </c>
      <c r="C937" s="124"/>
      <c r="D937" s="124">
        <f>+'[2]Extra 01'!C707+'[2]EXTRA 2'!C714</f>
        <v>7843527586.1700001</v>
      </c>
      <c r="E937" s="124">
        <f>+D937</f>
        <v>7843527586.1700001</v>
      </c>
      <c r="F937" s="146"/>
      <c r="G937" s="138"/>
      <c r="H937" s="98"/>
      <c r="I937" s="140">
        <f t="shared" ref="I937:N937" si="53">SUM(I938:I951)</f>
        <v>2851137674.4099998</v>
      </c>
      <c r="J937" s="140">
        <f t="shared" si="53"/>
        <v>224772693.75999999</v>
      </c>
      <c r="K937" s="140">
        <f t="shared" si="53"/>
        <v>2626364980.6499996</v>
      </c>
      <c r="L937" s="140">
        <f t="shared" si="53"/>
        <v>0</v>
      </c>
      <c r="M937" s="140">
        <f t="shared" si="53"/>
        <v>0</v>
      </c>
      <c r="N937" s="140">
        <f t="shared" si="53"/>
        <v>4992389911.7599993</v>
      </c>
    </row>
    <row r="938" spans="1:532" s="85" customFormat="1" ht="12.75" customHeight="1">
      <c r="A938" s="122"/>
      <c r="B938" s="240"/>
      <c r="C938" s="124"/>
      <c r="D938" s="124"/>
      <c r="E938" s="124"/>
      <c r="F938" s="146" t="s">
        <v>157</v>
      </c>
      <c r="G938" s="138" t="s">
        <v>274</v>
      </c>
      <c r="H938" s="98" t="s">
        <v>78</v>
      </c>
      <c r="I938" s="125">
        <v>153772693.75999999</v>
      </c>
      <c r="J938" s="125">
        <f>+I938</f>
        <v>153772693.75999999</v>
      </c>
      <c r="K938" s="125"/>
      <c r="L938" s="125"/>
      <c r="M938" s="125"/>
      <c r="N938" s="125">
        <f>-I938+'[2]Extra 01'!H708+'[2]EXTRA 2'!H715</f>
        <v>0</v>
      </c>
    </row>
    <row r="939" spans="1:532" s="85" customFormat="1" ht="12.75" customHeight="1">
      <c r="A939" s="122"/>
      <c r="B939" s="240"/>
      <c r="C939" s="124"/>
      <c r="D939" s="124"/>
      <c r="E939" s="124"/>
      <c r="F939" s="146"/>
      <c r="G939" s="138"/>
      <c r="H939" s="98" t="s">
        <v>79</v>
      </c>
      <c r="I939" s="125">
        <f>1000000+2684757+39478839.16+20902192+6934211.84</f>
        <v>71000000</v>
      </c>
      <c r="J939" s="125">
        <f>+I939</f>
        <v>71000000</v>
      </c>
      <c r="K939" s="125"/>
      <c r="L939" s="125"/>
      <c r="M939" s="125"/>
      <c r="N939" s="125">
        <f>-I939+'[2]Extra 01'!H709+'[2]EXTRA 2'!H716</f>
        <v>0</v>
      </c>
    </row>
    <row r="940" spans="1:532" s="85" customFormat="1" ht="12.75" customHeight="1">
      <c r="A940" s="122"/>
      <c r="B940" s="240"/>
      <c r="C940" s="124"/>
      <c r="D940" s="124"/>
      <c r="E940" s="124"/>
      <c r="F940" s="146"/>
      <c r="G940" s="138"/>
      <c r="H940" s="98" t="s">
        <v>81</v>
      </c>
      <c r="I940" s="125">
        <f>6000000+107993022.6</f>
        <v>113993022.59999999</v>
      </c>
      <c r="J940" s="125"/>
      <c r="K940" s="125">
        <f>+I940</f>
        <v>113993022.59999999</v>
      </c>
      <c r="L940" s="125"/>
      <c r="M940" s="125"/>
      <c r="N940" s="125">
        <f>-I940+'[2]Extra 01'!H710+'[2]EXTRA 2'!H717</f>
        <v>0</v>
      </c>
    </row>
    <row r="941" spans="1:532" s="85" customFormat="1" ht="12.75" customHeight="1">
      <c r="A941" s="122"/>
      <c r="B941" s="240"/>
      <c r="C941" s="124"/>
      <c r="D941" s="124"/>
      <c r="E941" s="124"/>
      <c r="F941" s="146"/>
      <c r="G941" s="138"/>
      <c r="H941" s="98" t="s">
        <v>82</v>
      </c>
      <c r="I941" s="125"/>
      <c r="J941" s="125">
        <f>+I941</f>
        <v>0</v>
      </c>
      <c r="K941" s="125"/>
      <c r="L941" s="125"/>
      <c r="M941" s="125"/>
      <c r="N941" s="125"/>
    </row>
    <row r="942" spans="1:532" s="85" customFormat="1" ht="12.75" customHeight="1">
      <c r="A942" s="122"/>
      <c r="B942" s="240"/>
      <c r="C942" s="124"/>
      <c r="D942" s="124"/>
      <c r="E942" s="124"/>
      <c r="F942" s="146"/>
      <c r="G942" s="138"/>
      <c r="H942" s="98"/>
      <c r="I942" s="125"/>
      <c r="J942" s="125"/>
      <c r="K942" s="125"/>
      <c r="L942" s="125"/>
      <c r="M942" s="125"/>
      <c r="N942" s="125"/>
    </row>
    <row r="943" spans="1:532" s="85" customFormat="1" ht="12.75" customHeight="1">
      <c r="A943" s="122"/>
      <c r="B943" s="240"/>
      <c r="C943" s="124"/>
      <c r="D943" s="124"/>
      <c r="E943" s="124"/>
      <c r="F943" s="146" t="s">
        <v>275</v>
      </c>
      <c r="G943" s="138" t="s">
        <v>508</v>
      </c>
      <c r="H943" s="98" t="s">
        <v>78</v>
      </c>
      <c r="I943" s="249">
        <f>19086580.96+17112149.9+148869666.98+272623417.03</f>
        <v>457691814.86999995</v>
      </c>
      <c r="J943" s="125"/>
      <c r="K943" s="125">
        <v>457691814.86999995</v>
      </c>
      <c r="L943" s="125"/>
      <c r="M943" s="125"/>
      <c r="N943" s="148">
        <f>-I943+'[2]Extra 01'!H713+'[2]EXTRA 2'!H720</f>
        <v>238699935.64000005</v>
      </c>
    </row>
    <row r="944" spans="1:532" s="85" customFormat="1" ht="12.75" customHeight="1">
      <c r="A944" s="122"/>
      <c r="B944" s="240"/>
      <c r="C944" s="124"/>
      <c r="D944" s="124"/>
      <c r="E944" s="124"/>
      <c r="F944" s="146"/>
      <c r="G944" s="138"/>
      <c r="H944" s="98" t="s">
        <v>79</v>
      </c>
      <c r="I944" s="249">
        <f>94343536.15+105557529+154464336.28</f>
        <v>354365401.43000001</v>
      </c>
      <c r="J944" s="125"/>
      <c r="K944" s="125">
        <v>354365401.43000001</v>
      </c>
      <c r="L944" s="125"/>
      <c r="M944" s="125"/>
      <c r="N944" s="148">
        <f>-I944+'[2]Extra 01'!H714+'[2]EXTRA 2'!H721</f>
        <v>203838960.56</v>
      </c>
    </row>
    <row r="945" spans="1:532" s="85" customFormat="1" ht="12.75" customHeight="1">
      <c r="A945" s="122"/>
      <c r="B945" s="240"/>
      <c r="C945" s="124"/>
      <c r="D945" s="124"/>
      <c r="E945" s="124"/>
      <c r="F945" s="146"/>
      <c r="G945" s="138"/>
      <c r="H945" s="98" t="s">
        <v>81</v>
      </c>
      <c r="I945" s="249">
        <f>298985769.81+26035000+199776839.49+1175517132.45</f>
        <v>1700314741.75</v>
      </c>
      <c r="J945" s="125"/>
      <c r="K945" s="125">
        <f>+I945</f>
        <v>1700314741.75</v>
      </c>
      <c r="L945" s="125"/>
      <c r="M945" s="125"/>
      <c r="N945" s="148">
        <f>-I945+'[2]Extra 01'!H715+'[2]EXTRA 2'!H722</f>
        <v>4529851015.5599995</v>
      </c>
    </row>
    <row r="946" spans="1:532" s="85" customFormat="1" ht="12.75" customHeight="1">
      <c r="A946" s="122"/>
      <c r="B946" s="240"/>
      <c r="C946" s="124"/>
      <c r="D946" s="124"/>
      <c r="E946" s="124"/>
      <c r="F946" s="146"/>
      <c r="G946" s="138"/>
      <c r="H946" s="98" t="s">
        <v>82</v>
      </c>
      <c r="I946" s="125"/>
      <c r="J946" s="125"/>
      <c r="K946" s="125"/>
      <c r="L946" s="125"/>
      <c r="M946" s="125"/>
      <c r="N946" s="125">
        <f>+'[2]EXTRA 2'!H723-'3_Detalle Origen y Aplicación'!I946</f>
        <v>20000000</v>
      </c>
    </row>
    <row r="947" spans="1:532" s="85" customFormat="1" ht="12.75" customHeight="1">
      <c r="A947" s="122"/>
      <c r="B947" s="240"/>
      <c r="C947" s="124"/>
      <c r="D947" s="124"/>
      <c r="E947" s="124"/>
      <c r="F947" s="146"/>
      <c r="G947" s="138"/>
      <c r="H947" s="98"/>
      <c r="I947" s="125"/>
      <c r="J947" s="125"/>
      <c r="K947" s="125"/>
      <c r="L947" s="125"/>
      <c r="M947" s="125"/>
      <c r="N947" s="125"/>
    </row>
    <row r="948" spans="1:532" s="85" customFormat="1" ht="12.75" hidden="1" customHeight="1">
      <c r="A948" s="122"/>
      <c r="B948" s="240"/>
      <c r="C948" s="124"/>
      <c r="D948" s="124"/>
      <c r="E948" s="124"/>
      <c r="F948" s="146" t="s">
        <v>561</v>
      </c>
      <c r="G948" s="138" t="s">
        <v>560</v>
      </c>
      <c r="H948" s="98" t="s">
        <v>81</v>
      </c>
      <c r="I948" s="249"/>
      <c r="J948" s="125"/>
      <c r="K948" s="125"/>
      <c r="L948" s="125"/>
      <c r="M948" s="125"/>
      <c r="N948" s="148"/>
    </row>
    <row r="949" spans="1:532" s="85" customFormat="1" ht="12.75" hidden="1" customHeight="1">
      <c r="A949" s="122"/>
      <c r="B949" s="240"/>
      <c r="C949" s="124"/>
      <c r="D949" s="124"/>
      <c r="E949" s="124"/>
      <c r="F949" s="146"/>
      <c r="G949" s="138"/>
      <c r="H949" s="98"/>
      <c r="I949" s="125"/>
      <c r="J949" s="125"/>
      <c r="K949" s="125"/>
      <c r="L949" s="125"/>
      <c r="M949" s="125"/>
      <c r="N949" s="125"/>
    </row>
    <row r="950" spans="1:532" s="85" customFormat="1" ht="12.75" hidden="1" customHeight="1">
      <c r="A950" s="122"/>
      <c r="B950" s="240"/>
      <c r="C950" s="124"/>
      <c r="D950" s="124"/>
      <c r="E950" s="124"/>
      <c r="F950" s="146" t="s">
        <v>425</v>
      </c>
      <c r="G950" s="138" t="s">
        <v>559</v>
      </c>
      <c r="H950" s="98" t="s">
        <v>81</v>
      </c>
      <c r="I950" s="125"/>
      <c r="J950" s="125"/>
      <c r="K950" s="125"/>
      <c r="L950" s="125"/>
      <c r="M950" s="125"/>
      <c r="N950" s="125"/>
    </row>
    <row r="951" spans="1:532" s="85" customFormat="1" ht="12.75" customHeight="1">
      <c r="A951" s="122"/>
      <c r="B951" s="240"/>
      <c r="C951" s="124"/>
      <c r="D951" s="124"/>
      <c r="E951" s="124"/>
      <c r="F951" s="146" t="s">
        <v>499</v>
      </c>
      <c r="G951" s="138"/>
      <c r="H951" s="98"/>
      <c r="I951" s="125"/>
      <c r="J951" s="125"/>
      <c r="K951" s="125"/>
      <c r="L951" s="125"/>
      <c r="M951" s="125"/>
      <c r="N951" s="126"/>
    </row>
    <row r="952" spans="1:532" s="135" customFormat="1" ht="12.75" customHeight="1">
      <c r="A952" s="111"/>
      <c r="B952" s="243"/>
      <c r="C952" s="112"/>
      <c r="D952" s="112"/>
      <c r="E952" s="112"/>
      <c r="F952" s="242"/>
      <c r="G952" s="113"/>
      <c r="H952" s="114"/>
      <c r="I952" s="115"/>
      <c r="J952" s="115"/>
      <c r="K952" s="115"/>
      <c r="L952" s="115"/>
      <c r="M952" s="115"/>
      <c r="N952" s="116"/>
      <c r="O952" s="85"/>
      <c r="P952" s="85"/>
      <c r="Q952" s="85"/>
      <c r="R952" s="85"/>
      <c r="S952" s="85"/>
      <c r="T952" s="85"/>
      <c r="U952" s="85"/>
      <c r="V952" s="85"/>
      <c r="W952" s="85"/>
      <c r="X952" s="85"/>
      <c r="Y952" s="85"/>
      <c r="Z952" s="85"/>
      <c r="AA952" s="85"/>
      <c r="AB952" s="85"/>
      <c r="AC952" s="85"/>
      <c r="AD952" s="85"/>
      <c r="AE952" s="85"/>
      <c r="AF952" s="85"/>
      <c r="AG952" s="85"/>
      <c r="AH952" s="85"/>
      <c r="AI952" s="85"/>
      <c r="AJ952" s="85"/>
      <c r="AK952" s="85"/>
      <c r="AL952" s="85"/>
      <c r="AM952" s="85"/>
      <c r="AN952" s="85"/>
      <c r="AO952" s="85"/>
      <c r="AP952" s="85"/>
      <c r="AQ952" s="85"/>
      <c r="AR952" s="85"/>
      <c r="AS952" s="85"/>
      <c r="AT952" s="85"/>
      <c r="AU952" s="85"/>
      <c r="AV952" s="85"/>
      <c r="AW952" s="85"/>
      <c r="AX952" s="85"/>
      <c r="AY952" s="85"/>
      <c r="AZ952" s="85"/>
      <c r="BA952" s="85"/>
      <c r="BB952" s="85"/>
      <c r="BC952" s="85"/>
      <c r="BD952" s="85"/>
      <c r="BE952" s="85"/>
      <c r="BF952" s="85"/>
      <c r="BG952" s="85"/>
      <c r="BH952" s="85"/>
      <c r="BI952" s="85"/>
      <c r="BJ952" s="85"/>
      <c r="BK952" s="85"/>
      <c r="BL952" s="85"/>
      <c r="BM952" s="85"/>
      <c r="BN952" s="85"/>
      <c r="BO952" s="85"/>
      <c r="BP952" s="85"/>
      <c r="BQ952" s="85"/>
      <c r="BR952" s="85"/>
      <c r="BS952" s="85"/>
      <c r="BT952" s="85"/>
      <c r="BU952" s="85"/>
      <c r="BV952" s="85"/>
      <c r="BW952" s="85"/>
      <c r="BX952" s="85"/>
      <c r="BY952" s="85"/>
      <c r="BZ952" s="85"/>
      <c r="CA952" s="85"/>
      <c r="CB952" s="85"/>
      <c r="CC952" s="85"/>
      <c r="CD952" s="85"/>
      <c r="CE952" s="85"/>
      <c r="CF952" s="85"/>
      <c r="CG952" s="85"/>
      <c r="CH952" s="85"/>
      <c r="CI952" s="85"/>
      <c r="CJ952" s="85"/>
      <c r="CK952" s="85"/>
      <c r="CL952" s="85"/>
      <c r="CM952" s="85"/>
      <c r="CN952" s="85"/>
      <c r="CO952" s="85"/>
      <c r="CP952" s="85"/>
      <c r="CQ952" s="85"/>
      <c r="CR952" s="85"/>
      <c r="CS952" s="85"/>
      <c r="CT952" s="85"/>
      <c r="CU952" s="85"/>
      <c r="CV952" s="85"/>
      <c r="CW952" s="85"/>
      <c r="CX952" s="85"/>
      <c r="CY952" s="85"/>
      <c r="CZ952" s="85"/>
      <c r="DA952" s="85"/>
      <c r="DB952" s="85"/>
      <c r="DC952" s="85"/>
      <c r="DD952" s="85"/>
      <c r="DE952" s="85"/>
      <c r="DF952" s="85"/>
      <c r="DG952" s="85"/>
      <c r="DH952" s="85"/>
      <c r="DI952" s="85"/>
      <c r="DJ952" s="85"/>
      <c r="DK952" s="85"/>
      <c r="DL952" s="85"/>
      <c r="DM952" s="85"/>
      <c r="DN952" s="85"/>
      <c r="DO952" s="85"/>
      <c r="DP952" s="85"/>
      <c r="DQ952" s="85"/>
      <c r="DR952" s="85"/>
      <c r="DS952" s="85"/>
      <c r="DT952" s="85"/>
      <c r="DU952" s="85"/>
      <c r="DV952" s="85"/>
      <c r="DW952" s="85"/>
      <c r="DX952" s="85"/>
      <c r="DY952" s="85"/>
      <c r="DZ952" s="85"/>
      <c r="EA952" s="85"/>
      <c r="EB952" s="85"/>
      <c r="EC952" s="85"/>
      <c r="ED952" s="85"/>
      <c r="EE952" s="85"/>
      <c r="EF952" s="85"/>
      <c r="EG952" s="85"/>
      <c r="EH952" s="85"/>
      <c r="EI952" s="85"/>
      <c r="EJ952" s="85"/>
      <c r="EK952" s="85"/>
      <c r="EL952" s="85"/>
      <c r="EM952" s="85"/>
      <c r="EN952" s="85"/>
      <c r="EO952" s="85"/>
      <c r="EP952" s="85"/>
      <c r="EQ952" s="85"/>
      <c r="ER952" s="85"/>
      <c r="ES952" s="85"/>
      <c r="ET952" s="85"/>
      <c r="EU952" s="85"/>
      <c r="EV952" s="85"/>
      <c r="EW952" s="85"/>
      <c r="EX952" s="85"/>
      <c r="EY952" s="85"/>
      <c r="EZ952" s="85"/>
      <c r="FA952" s="85"/>
      <c r="FB952" s="85"/>
      <c r="FC952" s="85"/>
      <c r="FD952" s="85"/>
      <c r="FE952" s="85"/>
      <c r="FF952" s="85"/>
      <c r="FG952" s="85"/>
      <c r="FH952" s="85"/>
      <c r="FI952" s="85"/>
      <c r="FJ952" s="85"/>
      <c r="FK952" s="85"/>
      <c r="FL952" s="85"/>
      <c r="FM952" s="85"/>
      <c r="FN952" s="85"/>
      <c r="FO952" s="85"/>
      <c r="FP952" s="85"/>
      <c r="FQ952" s="85"/>
      <c r="FR952" s="85"/>
      <c r="FS952" s="85"/>
      <c r="FT952" s="85"/>
      <c r="FU952" s="85"/>
      <c r="FV952" s="85"/>
      <c r="FW952" s="85"/>
      <c r="FX952" s="85"/>
      <c r="FY952" s="85"/>
      <c r="FZ952" s="85"/>
      <c r="GA952" s="85"/>
      <c r="GB952" s="85"/>
      <c r="GC952" s="85"/>
      <c r="GD952" s="85"/>
      <c r="GE952" s="85"/>
      <c r="GF952" s="85"/>
      <c r="GG952" s="85"/>
      <c r="GH952" s="85"/>
      <c r="GI952" s="85"/>
      <c r="GJ952" s="85"/>
      <c r="GK952" s="85"/>
      <c r="GL952" s="85"/>
      <c r="GM952" s="85"/>
      <c r="GN952" s="85"/>
      <c r="GO952" s="85"/>
      <c r="GP952" s="85"/>
      <c r="GQ952" s="85"/>
      <c r="GR952" s="85"/>
      <c r="GS952" s="85"/>
      <c r="GT952" s="85"/>
      <c r="GU952" s="85"/>
      <c r="GV952" s="85"/>
      <c r="GW952" s="85"/>
      <c r="GX952" s="85"/>
      <c r="GY952" s="85"/>
      <c r="GZ952" s="85"/>
      <c r="HA952" s="85"/>
      <c r="HB952" s="85"/>
      <c r="HC952" s="85"/>
      <c r="HD952" s="85"/>
      <c r="HE952" s="85"/>
      <c r="HF952" s="85"/>
      <c r="HG952" s="85"/>
      <c r="HH952" s="85"/>
      <c r="HI952" s="85"/>
      <c r="HJ952" s="85"/>
      <c r="HK952" s="85"/>
      <c r="HL952" s="85"/>
      <c r="HM952" s="85"/>
      <c r="HN952" s="85"/>
      <c r="HO952" s="85"/>
      <c r="HP952" s="85"/>
      <c r="HQ952" s="85"/>
      <c r="HR952" s="85"/>
      <c r="HS952" s="85"/>
      <c r="HT952" s="85"/>
      <c r="HU952" s="85"/>
      <c r="HV952" s="85"/>
      <c r="HW952" s="85"/>
      <c r="HX952" s="85"/>
      <c r="HY952" s="85"/>
      <c r="HZ952" s="85"/>
      <c r="IA952" s="85"/>
      <c r="IB952" s="85"/>
      <c r="IC952" s="85"/>
      <c r="ID952" s="85"/>
      <c r="IE952" s="85"/>
      <c r="IF952" s="85"/>
      <c r="IG952" s="85"/>
      <c r="IH952" s="85"/>
      <c r="II952" s="85"/>
      <c r="IJ952" s="85"/>
      <c r="IK952" s="85"/>
      <c r="IL952" s="85"/>
      <c r="IM952" s="85"/>
      <c r="IN952" s="85"/>
      <c r="IO952" s="85"/>
      <c r="IP952" s="85"/>
      <c r="IQ952" s="85"/>
      <c r="IR952" s="85"/>
      <c r="IS952" s="85"/>
      <c r="IT952" s="85"/>
      <c r="IU952" s="85"/>
      <c r="IV952" s="85"/>
      <c r="IW952" s="85"/>
      <c r="IX952" s="85"/>
      <c r="IY952" s="85"/>
      <c r="IZ952" s="85"/>
      <c r="JA952" s="85"/>
      <c r="JB952" s="85"/>
      <c r="JC952" s="85"/>
      <c r="JD952" s="85"/>
      <c r="JE952" s="85"/>
      <c r="JF952" s="85"/>
      <c r="JG952" s="85"/>
      <c r="JH952" s="85"/>
      <c r="JI952" s="85"/>
      <c r="JJ952" s="85"/>
      <c r="JK952" s="85"/>
      <c r="JL952" s="85"/>
      <c r="JM952" s="85"/>
      <c r="JN952" s="85"/>
      <c r="JO952" s="85"/>
      <c r="JP952" s="85"/>
      <c r="JQ952" s="85"/>
      <c r="JR952" s="85"/>
      <c r="JS952" s="85"/>
      <c r="JT952" s="85"/>
      <c r="JU952" s="85"/>
      <c r="JV952" s="85"/>
      <c r="JW952" s="85"/>
      <c r="JX952" s="85"/>
      <c r="JY952" s="85"/>
      <c r="JZ952" s="85"/>
      <c r="KA952" s="85"/>
      <c r="KB952" s="85"/>
      <c r="KC952" s="85"/>
      <c r="KD952" s="85"/>
      <c r="KE952" s="85"/>
      <c r="KF952" s="85"/>
      <c r="KG952" s="85"/>
      <c r="KH952" s="85"/>
      <c r="KI952" s="85"/>
      <c r="KJ952" s="85"/>
      <c r="KK952" s="85"/>
      <c r="KL952" s="85"/>
      <c r="KM952" s="85"/>
      <c r="KN952" s="85"/>
      <c r="KO952" s="85"/>
      <c r="KP952" s="85"/>
      <c r="KQ952" s="85"/>
      <c r="KR952" s="85"/>
      <c r="KS952" s="85"/>
      <c r="KT952" s="85"/>
      <c r="KU952" s="85"/>
      <c r="KV952" s="85"/>
      <c r="KW952" s="85"/>
      <c r="KX952" s="85"/>
      <c r="KY952" s="85"/>
      <c r="KZ952" s="85"/>
      <c r="LA952" s="85"/>
      <c r="LB952" s="85"/>
      <c r="LC952" s="85"/>
      <c r="LD952" s="85"/>
      <c r="LE952" s="85"/>
      <c r="LF952" s="85"/>
      <c r="LG952" s="85"/>
      <c r="LH952" s="85"/>
      <c r="LI952" s="85"/>
      <c r="LJ952" s="85"/>
      <c r="LK952" s="85"/>
      <c r="LL952" s="85"/>
      <c r="LM952" s="85"/>
      <c r="LN952" s="85"/>
      <c r="LO952" s="85"/>
      <c r="LP952" s="85"/>
      <c r="LQ952" s="85"/>
      <c r="LR952" s="85"/>
      <c r="LS952" s="85"/>
      <c r="LT952" s="85"/>
      <c r="LU952" s="85"/>
      <c r="LV952" s="85"/>
      <c r="LW952" s="85"/>
      <c r="LX952" s="85"/>
      <c r="LY952" s="85"/>
      <c r="LZ952" s="85"/>
      <c r="MA952" s="85"/>
      <c r="MB952" s="85"/>
      <c r="MC952" s="85"/>
      <c r="MD952" s="85"/>
      <c r="ME952" s="85"/>
      <c r="MF952" s="85"/>
      <c r="MG952" s="85"/>
      <c r="MH952" s="85"/>
      <c r="MI952" s="85"/>
      <c r="MJ952" s="85"/>
      <c r="MK952" s="85"/>
      <c r="ML952" s="85"/>
      <c r="MM952" s="85"/>
      <c r="MN952" s="85"/>
      <c r="MO952" s="85"/>
      <c r="MP952" s="85"/>
      <c r="MQ952" s="85"/>
      <c r="MR952" s="85"/>
      <c r="MS952" s="85"/>
      <c r="MT952" s="85"/>
      <c r="MU952" s="85"/>
      <c r="MV952" s="85"/>
      <c r="MW952" s="85"/>
      <c r="MX952" s="85"/>
      <c r="MY952" s="85"/>
      <c r="MZ952" s="85"/>
      <c r="NA952" s="85"/>
      <c r="NB952" s="85"/>
      <c r="NC952" s="85"/>
      <c r="ND952" s="85"/>
      <c r="NE952" s="85"/>
      <c r="NF952" s="85"/>
      <c r="NG952" s="85"/>
      <c r="NH952" s="85"/>
      <c r="NI952" s="85"/>
      <c r="NJ952" s="85"/>
      <c r="NK952" s="85"/>
      <c r="NL952" s="85"/>
      <c r="NM952" s="85"/>
      <c r="NN952" s="85"/>
      <c r="NO952" s="85"/>
      <c r="NP952" s="85"/>
      <c r="NQ952" s="85"/>
      <c r="NR952" s="85"/>
      <c r="NS952" s="85"/>
      <c r="NT952" s="85"/>
      <c r="NU952" s="85"/>
      <c r="NV952" s="85"/>
      <c r="NW952" s="85"/>
      <c r="NX952" s="85"/>
      <c r="NY952" s="85"/>
      <c r="NZ952" s="85"/>
      <c r="OA952" s="85"/>
      <c r="OB952" s="85"/>
      <c r="OC952" s="85"/>
      <c r="OD952" s="85"/>
      <c r="OE952" s="85"/>
      <c r="OF952" s="85"/>
      <c r="OG952" s="85"/>
      <c r="OH952" s="85"/>
      <c r="OI952" s="85"/>
      <c r="OJ952" s="85"/>
      <c r="OK952" s="85"/>
      <c r="OL952" s="85"/>
      <c r="OM952" s="85"/>
      <c r="ON952" s="85"/>
      <c r="OO952" s="85"/>
      <c r="OP952" s="85"/>
      <c r="OQ952" s="85"/>
      <c r="OR952" s="85"/>
      <c r="OS952" s="85"/>
      <c r="OT952" s="85"/>
      <c r="OU952" s="85"/>
      <c r="OV952" s="85"/>
      <c r="OW952" s="85"/>
      <c r="OX952" s="85"/>
      <c r="OY952" s="85"/>
      <c r="OZ952" s="85"/>
      <c r="PA952" s="85"/>
      <c r="PB952" s="85"/>
      <c r="PC952" s="85"/>
      <c r="PD952" s="85"/>
      <c r="PE952" s="85"/>
      <c r="PF952" s="85"/>
      <c r="PG952" s="85"/>
      <c r="PH952" s="85"/>
      <c r="PI952" s="85"/>
      <c r="PJ952" s="85"/>
      <c r="PK952" s="85"/>
      <c r="PL952" s="85"/>
      <c r="PM952" s="85"/>
      <c r="PN952" s="85"/>
      <c r="PO952" s="85"/>
      <c r="PP952" s="85"/>
      <c r="PQ952" s="85"/>
      <c r="PR952" s="85"/>
      <c r="PS952" s="85"/>
      <c r="PT952" s="85"/>
      <c r="PU952" s="85"/>
      <c r="PV952" s="85"/>
      <c r="PW952" s="85"/>
      <c r="PX952" s="85"/>
      <c r="PY952" s="85"/>
      <c r="PZ952" s="85"/>
      <c r="QA952" s="85"/>
      <c r="QB952" s="85"/>
      <c r="QC952" s="85"/>
      <c r="QD952" s="85"/>
      <c r="QE952" s="85"/>
      <c r="QF952" s="85"/>
      <c r="QG952" s="85"/>
      <c r="QH952" s="85"/>
      <c r="QI952" s="85"/>
      <c r="QJ952" s="85"/>
      <c r="QK952" s="85"/>
      <c r="QL952" s="85"/>
      <c r="QM952" s="85"/>
      <c r="QN952" s="85"/>
      <c r="QO952" s="85"/>
      <c r="QP952" s="85"/>
      <c r="QQ952" s="85"/>
      <c r="QR952" s="85"/>
      <c r="QS952" s="85"/>
      <c r="QT952" s="85"/>
      <c r="QU952" s="85"/>
      <c r="QV952" s="85"/>
      <c r="QW952" s="85"/>
      <c r="QX952" s="85"/>
      <c r="QY952" s="85"/>
      <c r="QZ952" s="85"/>
      <c r="RA952" s="85"/>
      <c r="RB952" s="85"/>
      <c r="RC952" s="85"/>
      <c r="RD952" s="85"/>
      <c r="RE952" s="85"/>
      <c r="RF952" s="85"/>
      <c r="RG952" s="85"/>
      <c r="RH952" s="85"/>
      <c r="RI952" s="85"/>
      <c r="RJ952" s="85"/>
      <c r="RK952" s="85"/>
      <c r="RL952" s="85"/>
      <c r="RM952" s="85"/>
      <c r="RN952" s="85"/>
      <c r="RO952" s="85"/>
      <c r="RP952" s="85"/>
      <c r="RQ952" s="85"/>
      <c r="RR952" s="85"/>
      <c r="RS952" s="85"/>
      <c r="RT952" s="85"/>
      <c r="RU952" s="85"/>
      <c r="RV952" s="85"/>
      <c r="RW952" s="85"/>
      <c r="RX952" s="85"/>
      <c r="RY952" s="85"/>
      <c r="RZ952" s="85"/>
      <c r="SA952" s="85"/>
      <c r="SB952" s="85"/>
      <c r="SC952" s="85"/>
      <c r="SD952" s="85"/>
      <c r="SE952" s="85"/>
      <c r="SF952" s="85"/>
      <c r="SG952" s="85"/>
      <c r="SH952" s="85"/>
      <c r="SI952" s="85"/>
      <c r="SJ952" s="85"/>
      <c r="SK952" s="85"/>
      <c r="SL952" s="85"/>
      <c r="SM952" s="85"/>
      <c r="SN952" s="85"/>
      <c r="SO952" s="85"/>
      <c r="SP952" s="85"/>
      <c r="SQ952" s="85"/>
      <c r="SR952" s="85"/>
      <c r="SS952" s="85"/>
      <c r="ST952" s="85"/>
      <c r="SU952" s="85"/>
      <c r="SV952" s="85"/>
      <c r="SW952" s="85"/>
      <c r="SX952" s="85"/>
      <c r="SY952" s="85"/>
      <c r="SZ952" s="85"/>
      <c r="TA952" s="85"/>
      <c r="TB952" s="85"/>
      <c r="TC952" s="85"/>
      <c r="TD952" s="85"/>
      <c r="TE952" s="85"/>
      <c r="TF952" s="85"/>
      <c r="TG952" s="85"/>
      <c r="TH952" s="85"/>
      <c r="TI952" s="85"/>
      <c r="TJ952" s="85"/>
      <c r="TK952" s="85"/>
      <c r="TL952" s="85"/>
    </row>
    <row r="953" spans="1:532" s="85" customFormat="1" ht="12.75" customHeight="1">
      <c r="A953" s="122" t="s">
        <v>509</v>
      </c>
      <c r="B953" s="240" t="s">
        <v>510</v>
      </c>
      <c r="C953" s="124"/>
      <c r="D953" s="124">
        <f>+'[2]Extra 01'!C818+'[2]EXTRA 2'!C828</f>
        <v>321068485.83999997</v>
      </c>
      <c r="E953" s="173">
        <v>322763985.83999997</v>
      </c>
      <c r="F953" s="146"/>
      <c r="G953" s="138"/>
      <c r="H953" s="98"/>
      <c r="I953" s="140">
        <f>SUM(I954:I956)</f>
        <v>51521507.069999993</v>
      </c>
      <c r="J953" s="140">
        <f>SUM(J954:J956)</f>
        <v>51256020.269999996</v>
      </c>
      <c r="K953" s="140">
        <f>SUM(K954:K956)</f>
        <v>265486.8</v>
      </c>
      <c r="L953" s="140">
        <f>SUM(L954:L956)</f>
        <v>0</v>
      </c>
      <c r="M953" s="140">
        <f>SUM(M954:M956)</f>
        <v>0</v>
      </c>
      <c r="N953" s="140">
        <f>SUM(N954:N957)</f>
        <v>271242478.76999998</v>
      </c>
    </row>
    <row r="954" spans="1:532" s="85" customFormat="1" ht="12.75" customHeight="1">
      <c r="A954" s="122"/>
      <c r="B954" s="240"/>
      <c r="C954" s="124"/>
      <c r="D954" s="124"/>
      <c r="E954" s="124"/>
      <c r="F954" s="146" t="s">
        <v>160</v>
      </c>
      <c r="G954" s="138" t="s">
        <v>192</v>
      </c>
      <c r="H954" s="98" t="s">
        <v>78</v>
      </c>
      <c r="I954" s="125">
        <v>35822894.479999997</v>
      </c>
      <c r="J954" s="125">
        <f>+I954</f>
        <v>35822894.479999997</v>
      </c>
      <c r="K954" s="125"/>
      <c r="L954" s="125"/>
      <c r="M954" s="125"/>
      <c r="N954" s="125">
        <f>-I954+'[2]Extra 01'!H820+'[2]EXTRA 2'!H830</f>
        <v>265707651.35999998</v>
      </c>
    </row>
    <row r="955" spans="1:532" s="85" customFormat="1" ht="12.75" customHeight="1">
      <c r="A955" s="122"/>
      <c r="B955" s="240"/>
      <c r="C955" s="124"/>
      <c r="D955" s="124"/>
      <c r="E955" s="124"/>
      <c r="F955" s="146"/>
      <c r="G955" s="138"/>
      <c r="H955" s="98" t="s">
        <v>79</v>
      </c>
      <c r="I955" s="125">
        <f>11827680+3605445.79</f>
        <v>15433125.789999999</v>
      </c>
      <c r="J955" s="125">
        <f>+I955</f>
        <v>15433125.789999999</v>
      </c>
      <c r="K955" s="125"/>
      <c r="L955" s="125"/>
      <c r="M955" s="125"/>
      <c r="N955" s="125">
        <f>-I955+'[2]Extra 01'!H821+'[2]EXTRA 2'!H831</f>
        <v>3804814.2100000009</v>
      </c>
    </row>
    <row r="956" spans="1:532" s="85" customFormat="1" ht="12.75" customHeight="1">
      <c r="A956" s="122"/>
      <c r="B956" s="240"/>
      <c r="C956" s="124"/>
      <c r="D956" s="124"/>
      <c r="E956" s="124"/>
      <c r="F956" s="146"/>
      <c r="G956" s="138"/>
      <c r="H956" s="98" t="s">
        <v>81</v>
      </c>
      <c r="I956" s="125">
        <v>265486.8</v>
      </c>
      <c r="J956" s="125"/>
      <c r="K956" s="125">
        <f>+I956</f>
        <v>265486.8</v>
      </c>
      <c r="L956" s="125"/>
      <c r="M956" s="125"/>
      <c r="N956" s="125">
        <f>-I956+'[2]Extra 01'!H822</f>
        <v>34513.200000000012</v>
      </c>
    </row>
    <row r="957" spans="1:532" s="85" customFormat="1" ht="12.75" customHeight="1">
      <c r="A957" s="122"/>
      <c r="B957" s="240"/>
      <c r="C957" s="124"/>
      <c r="D957" s="124"/>
      <c r="E957" s="124"/>
      <c r="F957" s="146" t="s">
        <v>516</v>
      </c>
      <c r="G957" s="138"/>
      <c r="H957" s="98"/>
      <c r="I957" s="125"/>
      <c r="J957" s="125"/>
      <c r="K957" s="125"/>
      <c r="L957" s="125"/>
      <c r="M957" s="125"/>
      <c r="N957" s="125">
        <f>+E953-D953</f>
        <v>1695500</v>
      </c>
    </row>
    <row r="958" spans="1:532" s="135" customFormat="1" ht="12.75" customHeight="1">
      <c r="A958" s="111"/>
      <c r="B958" s="243"/>
      <c r="C958" s="112"/>
      <c r="D958" s="112"/>
      <c r="E958" s="112"/>
      <c r="F958" s="242"/>
      <c r="G958" s="113"/>
      <c r="H958" s="114"/>
      <c r="I958" s="115"/>
      <c r="J958" s="115"/>
      <c r="K958" s="115"/>
      <c r="L958" s="115"/>
      <c r="M958" s="115"/>
      <c r="N958" s="116"/>
      <c r="O958" s="85"/>
      <c r="P958" s="85"/>
      <c r="Q958" s="85"/>
      <c r="R958" s="85"/>
      <c r="S958" s="85"/>
      <c r="T958" s="85"/>
      <c r="U958" s="85"/>
      <c r="V958" s="85"/>
      <c r="W958" s="85"/>
      <c r="X958" s="85"/>
      <c r="Y958" s="85"/>
      <c r="Z958" s="85"/>
      <c r="AA958" s="85"/>
      <c r="AB958" s="85"/>
      <c r="AC958" s="85"/>
      <c r="AD958" s="85"/>
      <c r="AE958" s="85"/>
      <c r="AF958" s="85"/>
      <c r="AG958" s="85"/>
      <c r="AH958" s="85"/>
      <c r="AI958" s="85"/>
      <c r="AJ958" s="85"/>
      <c r="AK958" s="85"/>
      <c r="AL958" s="85"/>
      <c r="AM958" s="85"/>
      <c r="AN958" s="85"/>
      <c r="AO958" s="85"/>
      <c r="AP958" s="85"/>
      <c r="AQ958" s="85"/>
      <c r="AR958" s="85"/>
      <c r="AS958" s="85"/>
      <c r="AT958" s="85"/>
      <c r="AU958" s="85"/>
      <c r="AV958" s="85"/>
      <c r="AW958" s="85"/>
      <c r="AX958" s="85"/>
      <c r="AY958" s="85"/>
      <c r="AZ958" s="85"/>
      <c r="BA958" s="85"/>
      <c r="BB958" s="85"/>
      <c r="BC958" s="85"/>
      <c r="BD958" s="85"/>
      <c r="BE958" s="85"/>
      <c r="BF958" s="85"/>
      <c r="BG958" s="85"/>
      <c r="BH958" s="85"/>
      <c r="BI958" s="85"/>
      <c r="BJ958" s="85"/>
      <c r="BK958" s="85"/>
      <c r="BL958" s="85"/>
      <c r="BM958" s="85"/>
      <c r="BN958" s="85"/>
      <c r="BO958" s="85"/>
      <c r="BP958" s="85"/>
      <c r="BQ958" s="85"/>
      <c r="BR958" s="85"/>
      <c r="BS958" s="85"/>
      <c r="BT958" s="85"/>
      <c r="BU958" s="85"/>
      <c r="BV958" s="85"/>
      <c r="BW958" s="85"/>
      <c r="BX958" s="85"/>
      <c r="BY958" s="85"/>
      <c r="BZ958" s="85"/>
      <c r="CA958" s="85"/>
      <c r="CB958" s="85"/>
      <c r="CC958" s="85"/>
      <c r="CD958" s="85"/>
      <c r="CE958" s="85"/>
      <c r="CF958" s="85"/>
      <c r="CG958" s="85"/>
      <c r="CH958" s="85"/>
      <c r="CI958" s="85"/>
      <c r="CJ958" s="85"/>
      <c r="CK958" s="85"/>
      <c r="CL958" s="85"/>
      <c r="CM958" s="85"/>
      <c r="CN958" s="85"/>
      <c r="CO958" s="85"/>
      <c r="CP958" s="85"/>
      <c r="CQ958" s="85"/>
      <c r="CR958" s="85"/>
      <c r="CS958" s="85"/>
      <c r="CT958" s="85"/>
      <c r="CU958" s="85"/>
      <c r="CV958" s="85"/>
      <c r="CW958" s="85"/>
      <c r="CX958" s="85"/>
      <c r="CY958" s="85"/>
      <c r="CZ958" s="85"/>
      <c r="DA958" s="85"/>
      <c r="DB958" s="85"/>
      <c r="DC958" s="85"/>
      <c r="DD958" s="85"/>
      <c r="DE958" s="85"/>
      <c r="DF958" s="85"/>
      <c r="DG958" s="85"/>
      <c r="DH958" s="85"/>
      <c r="DI958" s="85"/>
      <c r="DJ958" s="85"/>
      <c r="DK958" s="85"/>
      <c r="DL958" s="85"/>
      <c r="DM958" s="85"/>
      <c r="DN958" s="85"/>
      <c r="DO958" s="85"/>
      <c r="DP958" s="85"/>
      <c r="DQ958" s="85"/>
      <c r="DR958" s="85"/>
      <c r="DS958" s="85"/>
      <c r="DT958" s="85"/>
      <c r="DU958" s="85"/>
      <c r="DV958" s="85"/>
      <c r="DW958" s="85"/>
      <c r="DX958" s="85"/>
      <c r="DY958" s="85"/>
      <c r="DZ958" s="85"/>
      <c r="EA958" s="85"/>
      <c r="EB958" s="85"/>
      <c r="EC958" s="85"/>
      <c r="ED958" s="85"/>
      <c r="EE958" s="85"/>
      <c r="EF958" s="85"/>
      <c r="EG958" s="85"/>
      <c r="EH958" s="85"/>
      <c r="EI958" s="85"/>
      <c r="EJ958" s="85"/>
      <c r="EK958" s="85"/>
      <c r="EL958" s="85"/>
      <c r="EM958" s="85"/>
      <c r="EN958" s="85"/>
      <c r="EO958" s="85"/>
      <c r="EP958" s="85"/>
      <c r="EQ958" s="85"/>
      <c r="ER958" s="85"/>
      <c r="ES958" s="85"/>
      <c r="ET958" s="85"/>
      <c r="EU958" s="85"/>
      <c r="EV958" s="85"/>
      <c r="EW958" s="85"/>
      <c r="EX958" s="85"/>
      <c r="EY958" s="85"/>
      <c r="EZ958" s="85"/>
      <c r="FA958" s="85"/>
      <c r="FB958" s="85"/>
      <c r="FC958" s="85"/>
      <c r="FD958" s="85"/>
      <c r="FE958" s="85"/>
      <c r="FF958" s="85"/>
      <c r="FG958" s="85"/>
      <c r="FH958" s="85"/>
      <c r="FI958" s="85"/>
      <c r="FJ958" s="85"/>
      <c r="FK958" s="85"/>
      <c r="FL958" s="85"/>
      <c r="FM958" s="85"/>
      <c r="FN958" s="85"/>
      <c r="FO958" s="85"/>
      <c r="FP958" s="85"/>
      <c r="FQ958" s="85"/>
      <c r="FR958" s="85"/>
      <c r="FS958" s="85"/>
      <c r="FT958" s="85"/>
      <c r="FU958" s="85"/>
      <c r="FV958" s="85"/>
      <c r="FW958" s="85"/>
      <c r="FX958" s="85"/>
      <c r="FY958" s="85"/>
      <c r="FZ958" s="85"/>
      <c r="GA958" s="85"/>
      <c r="GB958" s="85"/>
      <c r="GC958" s="85"/>
      <c r="GD958" s="85"/>
      <c r="GE958" s="85"/>
      <c r="GF958" s="85"/>
      <c r="GG958" s="85"/>
      <c r="GH958" s="85"/>
      <c r="GI958" s="85"/>
      <c r="GJ958" s="85"/>
      <c r="GK958" s="85"/>
      <c r="GL958" s="85"/>
      <c r="GM958" s="85"/>
      <c r="GN958" s="85"/>
      <c r="GO958" s="85"/>
      <c r="GP958" s="85"/>
      <c r="GQ958" s="85"/>
      <c r="GR958" s="85"/>
      <c r="GS958" s="85"/>
      <c r="GT958" s="85"/>
      <c r="GU958" s="85"/>
      <c r="GV958" s="85"/>
      <c r="GW958" s="85"/>
      <c r="GX958" s="85"/>
      <c r="GY958" s="85"/>
      <c r="GZ958" s="85"/>
      <c r="HA958" s="85"/>
      <c r="HB958" s="85"/>
      <c r="HC958" s="85"/>
      <c r="HD958" s="85"/>
      <c r="HE958" s="85"/>
      <c r="HF958" s="85"/>
      <c r="HG958" s="85"/>
      <c r="HH958" s="85"/>
      <c r="HI958" s="85"/>
      <c r="HJ958" s="85"/>
      <c r="HK958" s="85"/>
      <c r="HL958" s="85"/>
      <c r="HM958" s="85"/>
      <c r="HN958" s="85"/>
      <c r="HO958" s="85"/>
      <c r="HP958" s="85"/>
      <c r="HQ958" s="85"/>
      <c r="HR958" s="85"/>
      <c r="HS958" s="85"/>
      <c r="HT958" s="85"/>
      <c r="HU958" s="85"/>
      <c r="HV958" s="85"/>
      <c r="HW958" s="85"/>
      <c r="HX958" s="85"/>
      <c r="HY958" s="85"/>
      <c r="HZ958" s="85"/>
      <c r="IA958" s="85"/>
      <c r="IB958" s="85"/>
      <c r="IC958" s="85"/>
      <c r="ID958" s="85"/>
      <c r="IE958" s="85"/>
      <c r="IF958" s="85"/>
      <c r="IG958" s="85"/>
      <c r="IH958" s="85"/>
      <c r="II958" s="85"/>
      <c r="IJ958" s="85"/>
      <c r="IK958" s="85"/>
      <c r="IL958" s="85"/>
      <c r="IM958" s="85"/>
      <c r="IN958" s="85"/>
      <c r="IO958" s="85"/>
      <c r="IP958" s="85"/>
      <c r="IQ958" s="85"/>
      <c r="IR958" s="85"/>
      <c r="IS958" s="85"/>
      <c r="IT958" s="85"/>
      <c r="IU958" s="85"/>
      <c r="IV958" s="85"/>
      <c r="IW958" s="85"/>
      <c r="IX958" s="85"/>
      <c r="IY958" s="85"/>
      <c r="IZ958" s="85"/>
      <c r="JA958" s="85"/>
      <c r="JB958" s="85"/>
      <c r="JC958" s="85"/>
      <c r="JD958" s="85"/>
      <c r="JE958" s="85"/>
      <c r="JF958" s="85"/>
      <c r="JG958" s="85"/>
      <c r="JH958" s="85"/>
      <c r="JI958" s="85"/>
      <c r="JJ958" s="85"/>
      <c r="JK958" s="85"/>
      <c r="JL958" s="85"/>
      <c r="JM958" s="85"/>
      <c r="JN958" s="85"/>
      <c r="JO958" s="85"/>
      <c r="JP958" s="85"/>
      <c r="JQ958" s="85"/>
      <c r="JR958" s="85"/>
      <c r="JS958" s="85"/>
      <c r="JT958" s="85"/>
      <c r="JU958" s="85"/>
      <c r="JV958" s="85"/>
      <c r="JW958" s="85"/>
      <c r="JX958" s="85"/>
      <c r="JY958" s="85"/>
      <c r="JZ958" s="85"/>
      <c r="KA958" s="85"/>
      <c r="KB958" s="85"/>
      <c r="KC958" s="85"/>
      <c r="KD958" s="85"/>
      <c r="KE958" s="85"/>
      <c r="KF958" s="85"/>
      <c r="KG958" s="85"/>
      <c r="KH958" s="85"/>
      <c r="KI958" s="85"/>
      <c r="KJ958" s="85"/>
      <c r="KK958" s="85"/>
      <c r="KL958" s="85"/>
      <c r="KM958" s="85"/>
      <c r="KN958" s="85"/>
      <c r="KO958" s="85"/>
      <c r="KP958" s="85"/>
      <c r="KQ958" s="85"/>
      <c r="KR958" s="85"/>
      <c r="KS958" s="85"/>
      <c r="KT958" s="85"/>
      <c r="KU958" s="85"/>
      <c r="KV958" s="85"/>
      <c r="KW958" s="85"/>
      <c r="KX958" s="85"/>
      <c r="KY958" s="85"/>
      <c r="KZ958" s="85"/>
      <c r="LA958" s="85"/>
      <c r="LB958" s="85"/>
      <c r="LC958" s="85"/>
      <c r="LD958" s="85"/>
      <c r="LE958" s="85"/>
      <c r="LF958" s="85"/>
      <c r="LG958" s="85"/>
      <c r="LH958" s="85"/>
      <c r="LI958" s="85"/>
      <c r="LJ958" s="85"/>
      <c r="LK958" s="85"/>
      <c r="LL958" s="85"/>
      <c r="LM958" s="85"/>
      <c r="LN958" s="85"/>
      <c r="LO958" s="85"/>
      <c r="LP958" s="85"/>
      <c r="LQ958" s="85"/>
      <c r="LR958" s="85"/>
      <c r="LS958" s="85"/>
      <c r="LT958" s="85"/>
      <c r="LU958" s="85"/>
      <c r="LV958" s="85"/>
      <c r="LW958" s="85"/>
      <c r="LX958" s="85"/>
      <c r="LY958" s="85"/>
      <c r="LZ958" s="85"/>
      <c r="MA958" s="85"/>
      <c r="MB958" s="85"/>
      <c r="MC958" s="85"/>
      <c r="MD958" s="85"/>
      <c r="ME958" s="85"/>
      <c r="MF958" s="85"/>
      <c r="MG958" s="85"/>
      <c r="MH958" s="85"/>
      <c r="MI958" s="85"/>
      <c r="MJ958" s="85"/>
      <c r="MK958" s="85"/>
      <c r="ML958" s="85"/>
      <c r="MM958" s="85"/>
      <c r="MN958" s="85"/>
      <c r="MO958" s="85"/>
      <c r="MP958" s="85"/>
      <c r="MQ958" s="85"/>
      <c r="MR958" s="85"/>
      <c r="MS958" s="85"/>
      <c r="MT958" s="85"/>
      <c r="MU958" s="85"/>
      <c r="MV958" s="85"/>
      <c r="MW958" s="85"/>
      <c r="MX958" s="85"/>
      <c r="MY958" s="85"/>
      <c r="MZ958" s="85"/>
      <c r="NA958" s="85"/>
      <c r="NB958" s="85"/>
      <c r="NC958" s="85"/>
      <c r="ND958" s="85"/>
      <c r="NE958" s="85"/>
      <c r="NF958" s="85"/>
      <c r="NG958" s="85"/>
      <c r="NH958" s="85"/>
      <c r="NI958" s="85"/>
      <c r="NJ958" s="85"/>
      <c r="NK958" s="85"/>
      <c r="NL958" s="85"/>
      <c r="NM958" s="85"/>
      <c r="NN958" s="85"/>
      <c r="NO958" s="85"/>
      <c r="NP958" s="85"/>
      <c r="NQ958" s="85"/>
      <c r="NR958" s="85"/>
      <c r="NS958" s="85"/>
      <c r="NT958" s="85"/>
      <c r="NU958" s="85"/>
      <c r="NV958" s="85"/>
      <c r="NW958" s="85"/>
      <c r="NX958" s="85"/>
      <c r="NY958" s="85"/>
      <c r="NZ958" s="85"/>
      <c r="OA958" s="85"/>
      <c r="OB958" s="85"/>
      <c r="OC958" s="85"/>
      <c r="OD958" s="85"/>
      <c r="OE958" s="85"/>
      <c r="OF958" s="85"/>
      <c r="OG958" s="85"/>
      <c r="OH958" s="85"/>
      <c r="OI958" s="85"/>
      <c r="OJ958" s="85"/>
      <c r="OK958" s="85"/>
      <c r="OL958" s="85"/>
      <c r="OM958" s="85"/>
      <c r="ON958" s="85"/>
      <c r="OO958" s="85"/>
      <c r="OP958" s="85"/>
      <c r="OQ958" s="85"/>
      <c r="OR958" s="85"/>
      <c r="OS958" s="85"/>
      <c r="OT958" s="85"/>
      <c r="OU958" s="85"/>
      <c r="OV958" s="85"/>
      <c r="OW958" s="85"/>
      <c r="OX958" s="85"/>
      <c r="OY958" s="85"/>
      <c r="OZ958" s="85"/>
      <c r="PA958" s="85"/>
      <c r="PB958" s="85"/>
      <c r="PC958" s="85"/>
      <c r="PD958" s="85"/>
      <c r="PE958" s="85"/>
      <c r="PF958" s="85"/>
      <c r="PG958" s="85"/>
      <c r="PH958" s="85"/>
      <c r="PI958" s="85"/>
      <c r="PJ958" s="85"/>
      <c r="PK958" s="85"/>
      <c r="PL958" s="85"/>
      <c r="PM958" s="85"/>
      <c r="PN958" s="85"/>
      <c r="PO958" s="85"/>
      <c r="PP958" s="85"/>
      <c r="PQ958" s="85"/>
      <c r="PR958" s="85"/>
      <c r="PS958" s="85"/>
      <c r="PT958" s="85"/>
      <c r="PU958" s="85"/>
      <c r="PV958" s="85"/>
      <c r="PW958" s="85"/>
      <c r="PX958" s="85"/>
      <c r="PY958" s="85"/>
      <c r="PZ958" s="85"/>
      <c r="QA958" s="85"/>
      <c r="QB958" s="85"/>
      <c r="QC958" s="85"/>
      <c r="QD958" s="85"/>
      <c r="QE958" s="85"/>
      <c r="QF958" s="85"/>
      <c r="QG958" s="85"/>
      <c r="QH958" s="85"/>
      <c r="QI958" s="85"/>
      <c r="QJ958" s="85"/>
      <c r="QK958" s="85"/>
      <c r="QL958" s="85"/>
      <c r="QM958" s="85"/>
      <c r="QN958" s="85"/>
      <c r="QO958" s="85"/>
      <c r="QP958" s="85"/>
      <c r="QQ958" s="85"/>
      <c r="QR958" s="85"/>
      <c r="QS958" s="85"/>
      <c r="QT958" s="85"/>
      <c r="QU958" s="85"/>
      <c r="QV958" s="85"/>
      <c r="QW958" s="85"/>
      <c r="QX958" s="85"/>
      <c r="QY958" s="85"/>
      <c r="QZ958" s="85"/>
      <c r="RA958" s="85"/>
      <c r="RB958" s="85"/>
      <c r="RC958" s="85"/>
      <c r="RD958" s="85"/>
      <c r="RE958" s="85"/>
      <c r="RF958" s="85"/>
      <c r="RG958" s="85"/>
      <c r="RH958" s="85"/>
      <c r="RI958" s="85"/>
      <c r="RJ958" s="85"/>
      <c r="RK958" s="85"/>
      <c r="RL958" s="85"/>
      <c r="RM958" s="85"/>
      <c r="RN958" s="85"/>
      <c r="RO958" s="85"/>
      <c r="RP958" s="85"/>
      <c r="RQ958" s="85"/>
      <c r="RR958" s="85"/>
      <c r="RS958" s="85"/>
      <c r="RT958" s="85"/>
      <c r="RU958" s="85"/>
      <c r="RV958" s="85"/>
      <c r="RW958" s="85"/>
      <c r="RX958" s="85"/>
      <c r="RY958" s="85"/>
      <c r="RZ958" s="85"/>
      <c r="SA958" s="85"/>
      <c r="SB958" s="85"/>
      <c r="SC958" s="85"/>
      <c r="SD958" s="85"/>
      <c r="SE958" s="85"/>
      <c r="SF958" s="85"/>
      <c r="SG958" s="85"/>
      <c r="SH958" s="85"/>
      <c r="SI958" s="85"/>
      <c r="SJ958" s="85"/>
      <c r="SK958" s="85"/>
      <c r="SL958" s="85"/>
      <c r="SM958" s="85"/>
      <c r="SN958" s="85"/>
      <c r="SO958" s="85"/>
      <c r="SP958" s="85"/>
      <c r="SQ958" s="85"/>
      <c r="SR958" s="85"/>
      <c r="SS958" s="85"/>
      <c r="ST958" s="85"/>
      <c r="SU958" s="85"/>
      <c r="SV958" s="85"/>
      <c r="SW958" s="85"/>
      <c r="SX958" s="85"/>
      <c r="SY958" s="85"/>
      <c r="SZ958" s="85"/>
      <c r="TA958" s="85"/>
      <c r="TB958" s="85"/>
      <c r="TC958" s="85"/>
      <c r="TD958" s="85"/>
      <c r="TE958" s="85"/>
      <c r="TF958" s="85"/>
      <c r="TG958" s="85"/>
      <c r="TH958" s="85"/>
      <c r="TI958" s="85"/>
      <c r="TJ958" s="85"/>
      <c r="TK958" s="85"/>
      <c r="TL958" s="85"/>
    </row>
    <row r="959" spans="1:532" s="85" customFormat="1" ht="12.75" customHeight="1">
      <c r="A959" s="122" t="s">
        <v>511</v>
      </c>
      <c r="B959" s="240" t="s">
        <v>512</v>
      </c>
      <c r="C959" s="124"/>
      <c r="D959" s="124">
        <f>+'[2]Extra 01'!C698+'[2]EXTRA 2'!C701</f>
        <v>693546241.53999996</v>
      </c>
      <c r="E959" s="124">
        <f>+D959</f>
        <v>693546241.53999996</v>
      </c>
      <c r="F959" s="146"/>
      <c r="G959" s="138"/>
      <c r="H959" s="98"/>
      <c r="I959" s="140">
        <f t="shared" ref="I959:N959" si="54">SUM(I960:I967)</f>
        <v>581901412.01000011</v>
      </c>
      <c r="J959" s="140">
        <f t="shared" si="54"/>
        <v>499106816.81000006</v>
      </c>
      <c r="K959" s="140">
        <f t="shared" si="54"/>
        <v>82794595.200000003</v>
      </c>
      <c r="L959" s="140">
        <f t="shared" si="54"/>
        <v>0</v>
      </c>
      <c r="M959" s="140">
        <f t="shared" si="54"/>
        <v>0</v>
      </c>
      <c r="N959" s="140">
        <f t="shared" si="54"/>
        <v>111644829.53</v>
      </c>
    </row>
    <row r="960" spans="1:532" s="85" customFormat="1" ht="12.75" customHeight="1">
      <c r="A960" s="122"/>
      <c r="B960" s="240"/>
      <c r="C960" s="124"/>
      <c r="D960" s="124"/>
      <c r="E960" s="124" t="s">
        <v>558</v>
      </c>
      <c r="F960" s="146" t="s">
        <v>172</v>
      </c>
      <c r="G960" s="138" t="s">
        <v>348</v>
      </c>
      <c r="H960" s="98" t="s">
        <v>78</v>
      </c>
      <c r="I960" s="250">
        <v>129668</v>
      </c>
      <c r="J960" s="125">
        <f>+I960</f>
        <v>129668</v>
      </c>
      <c r="K960" s="125"/>
      <c r="L960" s="125"/>
      <c r="M960" s="125"/>
      <c r="N960" s="126">
        <f>+'[2]EXTRA 2'!H702-'3_Detalle Origen y Aplicación'!I960</f>
        <v>0</v>
      </c>
    </row>
    <row r="961" spans="1:532" s="85" customFormat="1" ht="12.75" customHeight="1">
      <c r="A961" s="122"/>
      <c r="B961" s="240"/>
      <c r="C961" s="124"/>
      <c r="D961" s="124"/>
      <c r="E961" s="124"/>
      <c r="F961" s="146"/>
      <c r="G961" s="138"/>
      <c r="H961" s="98"/>
      <c r="I961" s="125"/>
      <c r="J961" s="125"/>
      <c r="K961" s="125"/>
      <c r="L961" s="125"/>
      <c r="M961" s="125"/>
      <c r="N961" s="126"/>
    </row>
    <row r="962" spans="1:532" s="85" customFormat="1" ht="12.75" customHeight="1">
      <c r="A962" s="122"/>
      <c r="B962" s="240"/>
      <c r="C962" s="124"/>
      <c r="D962" s="124"/>
      <c r="E962" s="124"/>
      <c r="F962" s="146" t="s">
        <v>285</v>
      </c>
      <c r="G962" s="138" t="s">
        <v>513</v>
      </c>
      <c r="H962" s="98" t="s">
        <v>78</v>
      </c>
      <c r="I962" s="125">
        <f>52819157.32+49077247.61+640000+281798276.48</f>
        <v>384334681.41000003</v>
      </c>
      <c r="J962" s="125">
        <f>+I962</f>
        <v>384334681.41000003</v>
      </c>
      <c r="K962" s="125"/>
      <c r="L962" s="125"/>
      <c r="M962" s="125"/>
      <c r="N962" s="126">
        <f>-I962+'[2]Extra 01'!H700+'[2]EXTRA 2'!H704</f>
        <v>0</v>
      </c>
    </row>
    <row r="963" spans="1:532" s="85" customFormat="1" ht="12.75" customHeight="1">
      <c r="A963" s="122"/>
      <c r="B963" s="240"/>
      <c r="C963" s="124"/>
      <c r="D963" s="124"/>
      <c r="E963" s="124"/>
      <c r="F963" s="146"/>
      <c r="G963" s="138"/>
      <c r="H963" s="98" t="s">
        <v>79</v>
      </c>
      <c r="I963" s="125">
        <f>113496535.4+1145932</f>
        <v>114642467.40000001</v>
      </c>
      <c r="J963" s="125">
        <f>+I963</f>
        <v>114642467.40000001</v>
      </c>
      <c r="K963" s="125"/>
      <c r="L963" s="125"/>
      <c r="M963" s="125"/>
      <c r="N963" s="126">
        <f>+'[2]EXTRA 2'!H705-'3_Detalle Origen y Aplicación'!I963</f>
        <v>47477767.620000005</v>
      </c>
    </row>
    <row r="964" spans="1:532" s="85" customFormat="1" ht="12.75" customHeight="1">
      <c r="A964" s="122"/>
      <c r="B964" s="240"/>
      <c r="C964" s="124"/>
      <c r="D964" s="124"/>
      <c r="E964" s="124"/>
      <c r="F964" s="146"/>
      <c r="G964" s="138"/>
      <c r="H964" s="98" t="s">
        <v>81</v>
      </c>
      <c r="I964" s="125">
        <f>149986.14+82644609.06</f>
        <v>82794595.200000003</v>
      </c>
      <c r="J964" s="125"/>
      <c r="K964" s="125">
        <f>+I964</f>
        <v>82794595.200000003</v>
      </c>
      <c r="L964" s="125"/>
      <c r="M964" s="125"/>
      <c r="N964" s="126">
        <f>+'[2]EXTRA 2'!H706-'3_Detalle Origen y Aplicación'!I964</f>
        <v>0</v>
      </c>
    </row>
    <row r="965" spans="1:532" s="85" customFormat="1" ht="12.75" customHeight="1">
      <c r="A965" s="122"/>
      <c r="B965" s="240"/>
      <c r="C965" s="124"/>
      <c r="D965" s="124"/>
      <c r="E965" s="124"/>
      <c r="F965" s="146"/>
      <c r="G965" s="138"/>
      <c r="H965" s="98"/>
      <c r="I965" s="125"/>
      <c r="J965" s="125"/>
      <c r="K965" s="125"/>
      <c r="L965" s="125"/>
      <c r="M965" s="125"/>
      <c r="N965" s="126"/>
    </row>
    <row r="966" spans="1:532" s="85" customFormat="1" ht="12.75" customHeight="1">
      <c r="A966" s="122"/>
      <c r="B966" s="240"/>
      <c r="C966" s="124"/>
      <c r="D966" s="124"/>
      <c r="E966" s="124"/>
      <c r="F966" s="146" t="s">
        <v>426</v>
      </c>
      <c r="G966" s="179" t="s">
        <v>515</v>
      </c>
      <c r="H966" s="98" t="s">
        <v>81</v>
      </c>
      <c r="I966" s="249"/>
      <c r="J966" s="125"/>
      <c r="K966" s="125"/>
      <c r="L966" s="125"/>
      <c r="M966" s="125"/>
      <c r="N966" s="126">
        <f>+'[2]EXTRA 2'!H708-'3_Detalle Origen y Aplicación'!I966</f>
        <v>64167061.909999996</v>
      </c>
    </row>
    <row r="967" spans="1:532" s="85" customFormat="1" ht="12.75" customHeight="1">
      <c r="A967" s="122"/>
      <c r="B967" s="240"/>
      <c r="C967" s="124"/>
      <c r="D967" s="124"/>
      <c r="E967" s="124"/>
      <c r="F967" s="146" t="s">
        <v>516</v>
      </c>
      <c r="G967" s="138"/>
      <c r="H967" s="98"/>
      <c r="I967" s="125"/>
      <c r="J967" s="125"/>
      <c r="K967" s="125"/>
      <c r="L967" s="125"/>
      <c r="M967" s="125"/>
      <c r="N967" s="126">
        <f>+E959-D959</f>
        <v>0</v>
      </c>
    </row>
    <row r="968" spans="1:532" s="135" customFormat="1" ht="12.75" customHeight="1">
      <c r="A968" s="111"/>
      <c r="B968" s="243"/>
      <c r="C968" s="112"/>
      <c r="D968" s="112"/>
      <c r="E968" s="112"/>
      <c r="F968" s="242"/>
      <c r="G968" s="113"/>
      <c r="H968" s="114"/>
      <c r="I968" s="115"/>
      <c r="J968" s="115"/>
      <c r="K968" s="115"/>
      <c r="L968" s="115"/>
      <c r="M968" s="115"/>
      <c r="N968" s="116"/>
      <c r="O968" s="85"/>
      <c r="P968" s="85"/>
      <c r="Q968" s="85"/>
      <c r="R968" s="85"/>
      <c r="S968" s="85"/>
      <c r="T968" s="85"/>
      <c r="U968" s="85"/>
      <c r="V968" s="85"/>
      <c r="W968" s="85"/>
      <c r="X968" s="85"/>
      <c r="Y968" s="85"/>
      <c r="Z968" s="85"/>
      <c r="AA968" s="85"/>
      <c r="AB968" s="85"/>
      <c r="AC968" s="85"/>
      <c r="AD968" s="85"/>
      <c r="AE968" s="85"/>
      <c r="AF968" s="85"/>
      <c r="AG968" s="85"/>
      <c r="AH968" s="85"/>
      <c r="AI968" s="85"/>
      <c r="AJ968" s="85"/>
      <c r="AK968" s="85"/>
      <c r="AL968" s="85"/>
      <c r="AM968" s="85"/>
      <c r="AN968" s="85"/>
      <c r="AO968" s="85"/>
      <c r="AP968" s="85"/>
      <c r="AQ968" s="85"/>
      <c r="AR968" s="85"/>
      <c r="AS968" s="85"/>
      <c r="AT968" s="85"/>
      <c r="AU968" s="85"/>
      <c r="AV968" s="85"/>
      <c r="AW968" s="85"/>
      <c r="AX968" s="85"/>
      <c r="AY968" s="85"/>
      <c r="AZ968" s="85"/>
      <c r="BA968" s="85"/>
      <c r="BB968" s="85"/>
      <c r="BC968" s="85"/>
      <c r="BD968" s="85"/>
      <c r="BE968" s="85"/>
      <c r="BF968" s="85"/>
      <c r="BG968" s="85"/>
      <c r="BH968" s="85"/>
      <c r="BI968" s="85"/>
      <c r="BJ968" s="85"/>
      <c r="BK968" s="85"/>
      <c r="BL968" s="85"/>
      <c r="BM968" s="85"/>
      <c r="BN968" s="85"/>
      <c r="BO968" s="85"/>
      <c r="BP968" s="85"/>
      <c r="BQ968" s="85"/>
      <c r="BR968" s="85"/>
      <c r="BS968" s="85"/>
      <c r="BT968" s="85"/>
      <c r="BU968" s="85"/>
      <c r="BV968" s="85"/>
      <c r="BW968" s="85"/>
      <c r="BX968" s="85"/>
      <c r="BY968" s="85"/>
      <c r="BZ968" s="85"/>
      <c r="CA968" s="85"/>
      <c r="CB968" s="85"/>
      <c r="CC968" s="85"/>
      <c r="CD968" s="85"/>
      <c r="CE968" s="85"/>
      <c r="CF968" s="85"/>
      <c r="CG968" s="85"/>
      <c r="CH968" s="85"/>
      <c r="CI968" s="85"/>
      <c r="CJ968" s="85"/>
      <c r="CK968" s="85"/>
      <c r="CL968" s="85"/>
      <c r="CM968" s="85"/>
      <c r="CN968" s="85"/>
      <c r="CO968" s="85"/>
      <c r="CP968" s="85"/>
      <c r="CQ968" s="85"/>
      <c r="CR968" s="85"/>
      <c r="CS968" s="85"/>
      <c r="CT968" s="85"/>
      <c r="CU968" s="85"/>
      <c r="CV968" s="85"/>
      <c r="CW968" s="85"/>
      <c r="CX968" s="85"/>
      <c r="CY968" s="85"/>
      <c r="CZ968" s="85"/>
      <c r="DA968" s="85"/>
      <c r="DB968" s="85"/>
      <c r="DC968" s="85"/>
      <c r="DD968" s="85"/>
      <c r="DE968" s="85"/>
      <c r="DF968" s="85"/>
      <c r="DG968" s="85"/>
      <c r="DH968" s="85"/>
      <c r="DI968" s="85"/>
      <c r="DJ968" s="85"/>
      <c r="DK968" s="85"/>
      <c r="DL968" s="85"/>
      <c r="DM968" s="85"/>
      <c r="DN968" s="85"/>
      <c r="DO968" s="85"/>
      <c r="DP968" s="85"/>
      <c r="DQ968" s="85"/>
      <c r="DR968" s="85"/>
      <c r="DS968" s="85"/>
      <c r="DT968" s="85"/>
      <c r="DU968" s="85"/>
      <c r="DV968" s="85"/>
      <c r="DW968" s="85"/>
      <c r="DX968" s="85"/>
      <c r="DY968" s="85"/>
      <c r="DZ968" s="85"/>
      <c r="EA968" s="85"/>
      <c r="EB968" s="85"/>
      <c r="EC968" s="85"/>
      <c r="ED968" s="85"/>
      <c r="EE968" s="85"/>
      <c r="EF968" s="85"/>
      <c r="EG968" s="85"/>
      <c r="EH968" s="85"/>
      <c r="EI968" s="85"/>
      <c r="EJ968" s="85"/>
      <c r="EK968" s="85"/>
      <c r="EL968" s="85"/>
      <c r="EM968" s="85"/>
      <c r="EN968" s="85"/>
      <c r="EO968" s="85"/>
      <c r="EP968" s="85"/>
      <c r="EQ968" s="85"/>
      <c r="ER968" s="85"/>
      <c r="ES968" s="85"/>
      <c r="ET968" s="85"/>
      <c r="EU968" s="85"/>
      <c r="EV968" s="85"/>
      <c r="EW968" s="85"/>
      <c r="EX968" s="85"/>
      <c r="EY968" s="85"/>
      <c r="EZ968" s="85"/>
      <c r="FA968" s="85"/>
      <c r="FB968" s="85"/>
      <c r="FC968" s="85"/>
      <c r="FD968" s="85"/>
      <c r="FE968" s="85"/>
      <c r="FF968" s="85"/>
      <c r="FG968" s="85"/>
      <c r="FH968" s="85"/>
      <c r="FI968" s="85"/>
      <c r="FJ968" s="85"/>
      <c r="FK968" s="85"/>
      <c r="FL968" s="85"/>
      <c r="FM968" s="85"/>
      <c r="FN968" s="85"/>
      <c r="FO968" s="85"/>
      <c r="FP968" s="85"/>
      <c r="FQ968" s="85"/>
      <c r="FR968" s="85"/>
      <c r="FS968" s="85"/>
      <c r="FT968" s="85"/>
      <c r="FU968" s="85"/>
      <c r="FV968" s="85"/>
      <c r="FW968" s="85"/>
      <c r="FX968" s="85"/>
      <c r="FY968" s="85"/>
      <c r="FZ968" s="85"/>
      <c r="GA968" s="85"/>
      <c r="GB968" s="85"/>
      <c r="GC968" s="85"/>
      <c r="GD968" s="85"/>
      <c r="GE968" s="85"/>
      <c r="GF968" s="85"/>
      <c r="GG968" s="85"/>
      <c r="GH968" s="85"/>
      <c r="GI968" s="85"/>
      <c r="GJ968" s="85"/>
      <c r="GK968" s="85"/>
      <c r="GL968" s="85"/>
      <c r="GM968" s="85"/>
      <c r="GN968" s="85"/>
      <c r="GO968" s="85"/>
      <c r="GP968" s="85"/>
      <c r="GQ968" s="85"/>
      <c r="GR968" s="85"/>
      <c r="GS968" s="85"/>
      <c r="GT968" s="85"/>
      <c r="GU968" s="85"/>
      <c r="GV968" s="85"/>
      <c r="GW968" s="85"/>
      <c r="GX968" s="85"/>
      <c r="GY968" s="85"/>
      <c r="GZ968" s="85"/>
      <c r="HA968" s="85"/>
      <c r="HB968" s="85"/>
      <c r="HC968" s="85"/>
      <c r="HD968" s="85"/>
      <c r="HE968" s="85"/>
      <c r="HF968" s="85"/>
      <c r="HG968" s="85"/>
      <c r="HH968" s="85"/>
      <c r="HI968" s="85"/>
      <c r="HJ968" s="85"/>
      <c r="HK968" s="85"/>
      <c r="HL968" s="85"/>
      <c r="HM968" s="85"/>
      <c r="HN968" s="85"/>
      <c r="HO968" s="85"/>
      <c r="HP968" s="85"/>
      <c r="HQ968" s="85"/>
      <c r="HR968" s="85"/>
      <c r="HS968" s="85"/>
      <c r="HT968" s="85"/>
      <c r="HU968" s="85"/>
      <c r="HV968" s="85"/>
      <c r="HW968" s="85"/>
      <c r="HX968" s="85"/>
      <c r="HY968" s="85"/>
      <c r="HZ968" s="85"/>
      <c r="IA968" s="85"/>
      <c r="IB968" s="85"/>
      <c r="IC968" s="85"/>
      <c r="ID968" s="85"/>
      <c r="IE968" s="85"/>
      <c r="IF968" s="85"/>
      <c r="IG968" s="85"/>
      <c r="IH968" s="85"/>
      <c r="II968" s="85"/>
      <c r="IJ968" s="85"/>
      <c r="IK968" s="85"/>
      <c r="IL968" s="85"/>
      <c r="IM968" s="85"/>
      <c r="IN968" s="85"/>
      <c r="IO968" s="85"/>
      <c r="IP968" s="85"/>
      <c r="IQ968" s="85"/>
      <c r="IR968" s="85"/>
      <c r="IS968" s="85"/>
      <c r="IT968" s="85"/>
      <c r="IU968" s="85"/>
      <c r="IV968" s="85"/>
      <c r="IW968" s="85"/>
      <c r="IX968" s="85"/>
      <c r="IY968" s="85"/>
      <c r="IZ968" s="85"/>
      <c r="JA968" s="85"/>
      <c r="JB968" s="85"/>
      <c r="JC968" s="85"/>
      <c r="JD968" s="85"/>
      <c r="JE968" s="85"/>
      <c r="JF968" s="85"/>
      <c r="JG968" s="85"/>
      <c r="JH968" s="85"/>
      <c r="JI968" s="85"/>
      <c r="JJ968" s="85"/>
      <c r="JK968" s="85"/>
      <c r="JL968" s="85"/>
      <c r="JM968" s="85"/>
      <c r="JN968" s="85"/>
      <c r="JO968" s="85"/>
      <c r="JP968" s="85"/>
      <c r="JQ968" s="85"/>
      <c r="JR968" s="85"/>
      <c r="JS968" s="85"/>
      <c r="JT968" s="85"/>
      <c r="JU968" s="85"/>
      <c r="JV968" s="85"/>
      <c r="JW968" s="85"/>
      <c r="JX968" s="85"/>
      <c r="JY968" s="85"/>
      <c r="JZ968" s="85"/>
      <c r="KA968" s="85"/>
      <c r="KB968" s="85"/>
      <c r="KC968" s="85"/>
      <c r="KD968" s="85"/>
      <c r="KE968" s="85"/>
      <c r="KF968" s="85"/>
      <c r="KG968" s="85"/>
      <c r="KH968" s="85"/>
      <c r="KI968" s="85"/>
      <c r="KJ968" s="85"/>
      <c r="KK968" s="85"/>
      <c r="KL968" s="85"/>
      <c r="KM968" s="85"/>
      <c r="KN968" s="85"/>
      <c r="KO968" s="85"/>
      <c r="KP968" s="85"/>
      <c r="KQ968" s="85"/>
      <c r="KR968" s="85"/>
      <c r="KS968" s="85"/>
      <c r="KT968" s="85"/>
      <c r="KU968" s="85"/>
      <c r="KV968" s="85"/>
      <c r="KW968" s="85"/>
      <c r="KX968" s="85"/>
      <c r="KY968" s="85"/>
      <c r="KZ968" s="85"/>
      <c r="LA968" s="85"/>
      <c r="LB968" s="85"/>
      <c r="LC968" s="85"/>
      <c r="LD968" s="85"/>
      <c r="LE968" s="85"/>
      <c r="LF968" s="85"/>
      <c r="LG968" s="85"/>
      <c r="LH968" s="85"/>
      <c r="LI968" s="85"/>
      <c r="LJ968" s="85"/>
      <c r="LK968" s="85"/>
      <c r="LL968" s="85"/>
      <c r="LM968" s="85"/>
      <c r="LN968" s="85"/>
      <c r="LO968" s="85"/>
      <c r="LP968" s="85"/>
      <c r="LQ968" s="85"/>
      <c r="LR968" s="85"/>
      <c r="LS968" s="85"/>
      <c r="LT968" s="85"/>
      <c r="LU968" s="85"/>
      <c r="LV968" s="85"/>
      <c r="LW968" s="85"/>
      <c r="LX968" s="85"/>
      <c r="LY968" s="85"/>
      <c r="LZ968" s="85"/>
      <c r="MA968" s="85"/>
      <c r="MB968" s="85"/>
      <c r="MC968" s="85"/>
      <c r="MD968" s="85"/>
      <c r="ME968" s="85"/>
      <c r="MF968" s="85"/>
      <c r="MG968" s="85"/>
      <c r="MH968" s="85"/>
      <c r="MI968" s="85"/>
      <c r="MJ968" s="85"/>
      <c r="MK968" s="85"/>
      <c r="ML968" s="85"/>
      <c r="MM968" s="85"/>
      <c r="MN968" s="85"/>
      <c r="MO968" s="85"/>
      <c r="MP968" s="85"/>
      <c r="MQ968" s="85"/>
      <c r="MR968" s="85"/>
      <c r="MS968" s="85"/>
      <c r="MT968" s="85"/>
      <c r="MU968" s="85"/>
      <c r="MV968" s="85"/>
      <c r="MW968" s="85"/>
      <c r="MX968" s="85"/>
      <c r="MY968" s="85"/>
      <c r="MZ968" s="85"/>
      <c r="NA968" s="85"/>
      <c r="NB968" s="85"/>
      <c r="NC968" s="85"/>
      <c r="ND968" s="85"/>
      <c r="NE968" s="85"/>
      <c r="NF968" s="85"/>
      <c r="NG968" s="85"/>
      <c r="NH968" s="85"/>
      <c r="NI968" s="85"/>
      <c r="NJ968" s="85"/>
      <c r="NK968" s="85"/>
      <c r="NL968" s="85"/>
      <c r="NM968" s="85"/>
      <c r="NN968" s="85"/>
      <c r="NO968" s="85"/>
      <c r="NP968" s="85"/>
      <c r="NQ968" s="85"/>
      <c r="NR968" s="85"/>
      <c r="NS968" s="85"/>
      <c r="NT968" s="85"/>
      <c r="NU968" s="85"/>
      <c r="NV968" s="85"/>
      <c r="NW968" s="85"/>
      <c r="NX968" s="85"/>
      <c r="NY968" s="85"/>
      <c r="NZ968" s="85"/>
      <c r="OA968" s="85"/>
      <c r="OB968" s="85"/>
      <c r="OC968" s="85"/>
      <c r="OD968" s="85"/>
      <c r="OE968" s="85"/>
      <c r="OF968" s="85"/>
      <c r="OG968" s="85"/>
      <c r="OH968" s="85"/>
      <c r="OI968" s="85"/>
      <c r="OJ968" s="85"/>
      <c r="OK968" s="85"/>
      <c r="OL968" s="85"/>
      <c r="OM968" s="85"/>
      <c r="ON968" s="85"/>
      <c r="OO968" s="85"/>
      <c r="OP968" s="85"/>
      <c r="OQ968" s="85"/>
      <c r="OR968" s="85"/>
      <c r="OS968" s="85"/>
      <c r="OT968" s="85"/>
      <c r="OU968" s="85"/>
      <c r="OV968" s="85"/>
      <c r="OW968" s="85"/>
      <c r="OX968" s="85"/>
      <c r="OY968" s="85"/>
      <c r="OZ968" s="85"/>
      <c r="PA968" s="85"/>
      <c r="PB968" s="85"/>
      <c r="PC968" s="85"/>
      <c r="PD968" s="85"/>
      <c r="PE968" s="85"/>
      <c r="PF968" s="85"/>
      <c r="PG968" s="85"/>
      <c r="PH968" s="85"/>
      <c r="PI968" s="85"/>
      <c r="PJ968" s="85"/>
      <c r="PK968" s="85"/>
      <c r="PL968" s="85"/>
      <c r="PM968" s="85"/>
      <c r="PN968" s="85"/>
      <c r="PO968" s="85"/>
      <c r="PP968" s="85"/>
      <c r="PQ968" s="85"/>
      <c r="PR968" s="85"/>
      <c r="PS968" s="85"/>
      <c r="PT968" s="85"/>
      <c r="PU968" s="85"/>
      <c r="PV968" s="85"/>
      <c r="PW968" s="85"/>
      <c r="PX968" s="85"/>
      <c r="PY968" s="85"/>
      <c r="PZ968" s="85"/>
      <c r="QA968" s="85"/>
      <c r="QB968" s="85"/>
      <c r="QC968" s="85"/>
      <c r="QD968" s="85"/>
      <c r="QE968" s="85"/>
      <c r="QF968" s="85"/>
      <c r="QG968" s="85"/>
      <c r="QH968" s="85"/>
      <c r="QI968" s="85"/>
      <c r="QJ968" s="85"/>
      <c r="QK968" s="85"/>
      <c r="QL968" s="85"/>
      <c r="QM968" s="85"/>
      <c r="QN968" s="85"/>
      <c r="QO968" s="85"/>
      <c r="QP968" s="85"/>
      <c r="QQ968" s="85"/>
      <c r="QR968" s="85"/>
      <c r="QS968" s="85"/>
      <c r="QT968" s="85"/>
      <c r="QU968" s="85"/>
      <c r="QV968" s="85"/>
      <c r="QW968" s="85"/>
      <c r="QX968" s="85"/>
      <c r="QY968" s="85"/>
      <c r="QZ968" s="85"/>
      <c r="RA968" s="85"/>
      <c r="RB968" s="85"/>
      <c r="RC968" s="85"/>
      <c r="RD968" s="85"/>
      <c r="RE968" s="85"/>
      <c r="RF968" s="85"/>
      <c r="RG968" s="85"/>
      <c r="RH968" s="85"/>
      <c r="RI968" s="85"/>
      <c r="RJ968" s="85"/>
      <c r="RK968" s="85"/>
      <c r="RL968" s="85"/>
      <c r="RM968" s="85"/>
      <c r="RN968" s="85"/>
      <c r="RO968" s="85"/>
      <c r="RP968" s="85"/>
      <c r="RQ968" s="85"/>
      <c r="RR968" s="85"/>
      <c r="RS968" s="85"/>
      <c r="RT968" s="85"/>
      <c r="RU968" s="85"/>
      <c r="RV968" s="85"/>
      <c r="RW968" s="85"/>
      <c r="RX968" s="85"/>
      <c r="RY968" s="85"/>
      <c r="RZ968" s="85"/>
      <c r="SA968" s="85"/>
      <c r="SB968" s="85"/>
      <c r="SC968" s="85"/>
      <c r="SD968" s="85"/>
      <c r="SE968" s="85"/>
      <c r="SF968" s="85"/>
      <c r="SG968" s="85"/>
      <c r="SH968" s="85"/>
      <c r="SI968" s="85"/>
      <c r="SJ968" s="85"/>
      <c r="SK968" s="85"/>
      <c r="SL968" s="85"/>
      <c r="SM968" s="85"/>
      <c r="SN968" s="85"/>
      <c r="SO968" s="85"/>
      <c r="SP968" s="85"/>
      <c r="SQ968" s="85"/>
      <c r="SR968" s="85"/>
      <c r="SS968" s="85"/>
      <c r="ST968" s="85"/>
      <c r="SU968" s="85"/>
      <c r="SV968" s="85"/>
      <c r="SW968" s="85"/>
      <c r="SX968" s="85"/>
      <c r="SY968" s="85"/>
      <c r="SZ968" s="85"/>
      <c r="TA968" s="85"/>
      <c r="TB968" s="85"/>
      <c r="TC968" s="85"/>
      <c r="TD968" s="85"/>
      <c r="TE968" s="85"/>
      <c r="TF968" s="85"/>
      <c r="TG968" s="85"/>
      <c r="TH968" s="85"/>
      <c r="TI968" s="85"/>
      <c r="TJ968" s="85"/>
      <c r="TK968" s="85"/>
      <c r="TL968" s="85"/>
    </row>
    <row r="969" spans="1:532" s="85" customFormat="1" ht="12.75" customHeight="1">
      <c r="A969" s="122" t="s">
        <v>517</v>
      </c>
      <c r="B969" s="240" t="s">
        <v>518</v>
      </c>
      <c r="C969" s="124"/>
      <c r="D969" s="124">
        <f>+'[2]Extra 01'!C826+'[2]EXTRA 2'!C836</f>
        <v>812751477.25999999</v>
      </c>
      <c r="E969" s="173">
        <f>+D969</f>
        <v>812751477.25999999</v>
      </c>
      <c r="F969" s="146"/>
      <c r="G969" s="138"/>
      <c r="H969" s="98"/>
      <c r="I969" s="140">
        <f t="shared" ref="I969:N969" si="55">SUM(I970:I984)</f>
        <v>751147613.95999992</v>
      </c>
      <c r="J969" s="140">
        <f t="shared" si="55"/>
        <v>372309123.56</v>
      </c>
      <c r="K969" s="140">
        <f t="shared" si="55"/>
        <v>378838490.39999998</v>
      </c>
      <c r="L969" s="140">
        <f t="shared" si="55"/>
        <v>0</v>
      </c>
      <c r="M969" s="140">
        <f t="shared" si="55"/>
        <v>0</v>
      </c>
      <c r="N969" s="140">
        <f t="shared" si="55"/>
        <v>61603863.300000012</v>
      </c>
    </row>
    <row r="970" spans="1:532" s="85" customFormat="1" ht="12.75" customHeight="1">
      <c r="A970" s="122"/>
      <c r="B970" s="240"/>
      <c r="C970" s="124"/>
      <c r="D970" s="124"/>
      <c r="E970" s="124"/>
      <c r="F970" s="146" t="s">
        <v>188</v>
      </c>
      <c r="G970" s="138" t="s">
        <v>349</v>
      </c>
      <c r="H970" s="98" t="s">
        <v>78</v>
      </c>
      <c r="I970" s="125">
        <f>33052086.29+35431772.5+182178+185681148.07</f>
        <v>254347184.85999998</v>
      </c>
      <c r="J970" s="125">
        <f>+I970</f>
        <v>254347184.85999998</v>
      </c>
      <c r="K970" s="125"/>
      <c r="L970" s="125"/>
      <c r="M970" s="125"/>
      <c r="N970" s="125">
        <f>-I970+'[2]Extra 01'!H828+'[2]EXTRA 2'!H838</f>
        <v>1470117.3300000159</v>
      </c>
    </row>
    <row r="971" spans="1:532" s="85" customFormat="1" ht="12.75" customHeight="1">
      <c r="A971" s="122"/>
      <c r="B971" s="240"/>
      <c r="C971" s="124"/>
      <c r="D971" s="124"/>
      <c r="E971" s="124"/>
      <c r="F971" s="146"/>
      <c r="G971" s="138"/>
      <c r="H971" s="98" t="s">
        <v>79</v>
      </c>
      <c r="I971" s="125">
        <f>33454493.58+5990113.75+1679989+76837342.37</f>
        <v>117961938.7</v>
      </c>
      <c r="J971" s="125">
        <f>+I971</f>
        <v>117961938.7</v>
      </c>
      <c r="K971" s="125"/>
      <c r="L971" s="125"/>
      <c r="M971" s="125"/>
      <c r="N971" s="125">
        <f>-I971+'[2]Extra 01'!H829+'[2]EXTRA 2'!H839</f>
        <v>0</v>
      </c>
    </row>
    <row r="972" spans="1:532" s="85" customFormat="1" ht="12.75" customHeight="1">
      <c r="A972" s="122"/>
      <c r="B972" s="240"/>
      <c r="C972" s="124"/>
      <c r="D972" s="124"/>
      <c r="E972" s="124"/>
      <c r="F972" s="146"/>
      <c r="G972" s="138"/>
      <c r="H972" s="98" t="s">
        <v>81</v>
      </c>
      <c r="I972" s="248">
        <v>212859889.75999999</v>
      </c>
      <c r="J972" s="125"/>
      <c r="K972" s="125">
        <f>+I972</f>
        <v>212859889.75999999</v>
      </c>
      <c r="L972" s="125"/>
      <c r="M972" s="125"/>
      <c r="N972" s="125">
        <f>-I972+'[2]Extra 01'!H830+'[2]EXTRA 2'!H840</f>
        <v>0</v>
      </c>
    </row>
    <row r="973" spans="1:532" s="85" customFormat="1" ht="12.75" customHeight="1">
      <c r="A973" s="122"/>
      <c r="B973" s="240"/>
      <c r="C973" s="124"/>
      <c r="D973" s="124"/>
      <c r="E973" s="124"/>
      <c r="F973" s="146"/>
      <c r="G973" s="138"/>
      <c r="H973" s="98"/>
      <c r="I973" s="125"/>
      <c r="J973" s="125"/>
      <c r="K973" s="125"/>
      <c r="L973" s="125"/>
      <c r="M973" s="125"/>
      <c r="N973" s="125"/>
    </row>
    <row r="974" spans="1:532" s="85" customFormat="1" ht="12.75" customHeight="1">
      <c r="A974" s="122"/>
      <c r="B974" s="240"/>
      <c r="C974" s="124"/>
      <c r="D974" s="124"/>
      <c r="E974" s="124"/>
      <c r="F974" s="146" t="s">
        <v>459</v>
      </c>
      <c r="G974" s="247" t="s">
        <v>557</v>
      </c>
      <c r="H974" s="98" t="s">
        <v>81</v>
      </c>
      <c r="I974" s="125">
        <v>33000000</v>
      </c>
      <c r="J974" s="125"/>
      <c r="K974" s="125">
        <f>+I974</f>
        <v>33000000</v>
      </c>
      <c r="L974" s="125"/>
      <c r="M974" s="125"/>
      <c r="N974" s="125">
        <f>-I974+'[2]Extra 01'!H832</f>
        <v>0</v>
      </c>
    </row>
    <row r="975" spans="1:532" s="85" customFormat="1" ht="12.75" customHeight="1">
      <c r="A975" s="122"/>
      <c r="B975" s="240"/>
      <c r="C975" s="124"/>
      <c r="D975" s="124"/>
      <c r="E975" s="124"/>
      <c r="F975" s="146"/>
      <c r="G975" s="138"/>
      <c r="H975" s="98"/>
      <c r="I975" s="125"/>
      <c r="J975" s="125"/>
      <c r="K975" s="125"/>
      <c r="L975" s="125"/>
      <c r="M975" s="125"/>
      <c r="N975" s="126"/>
    </row>
    <row r="976" spans="1:532" s="85" customFormat="1" ht="12.75" customHeight="1">
      <c r="A976" s="122"/>
      <c r="B976" s="240"/>
      <c r="C976" s="124"/>
      <c r="D976" s="124"/>
      <c r="E976" s="124"/>
      <c r="F976" s="146" t="s">
        <v>461</v>
      </c>
      <c r="G976" s="138" t="s">
        <v>556</v>
      </c>
      <c r="H976" s="98" t="s">
        <v>81</v>
      </c>
      <c r="I976" s="125"/>
      <c r="J976" s="125"/>
      <c r="K976" s="125">
        <f>+I976</f>
        <v>0</v>
      </c>
      <c r="L976" s="125"/>
      <c r="M976" s="125"/>
      <c r="N976" s="125">
        <f>-I976+'[2]Extra 01'!H834</f>
        <v>60000000</v>
      </c>
    </row>
    <row r="977" spans="1:532" s="85" customFormat="1" ht="12.75" customHeight="1">
      <c r="A977" s="122"/>
      <c r="B977" s="240"/>
      <c r="C977" s="124"/>
      <c r="D977" s="124"/>
      <c r="E977" s="124"/>
      <c r="F977" s="146"/>
      <c r="G977" s="138"/>
      <c r="H977" s="98"/>
      <c r="I977" s="125"/>
      <c r="J977" s="125"/>
      <c r="K977" s="125"/>
      <c r="L977" s="125"/>
      <c r="M977" s="125"/>
      <c r="N977" s="126"/>
    </row>
    <row r="978" spans="1:532" s="85" customFormat="1" ht="26">
      <c r="A978" s="122"/>
      <c r="B978" s="240"/>
      <c r="C978" s="124"/>
      <c r="D978" s="124"/>
      <c r="E978" s="124"/>
      <c r="F978" s="146" t="s">
        <v>555</v>
      </c>
      <c r="G978" s="138" t="str">
        <f>+'[2]EXTRA 2'!G841</f>
        <v>Diseño y Contratación de mejoras Viales y Pluviales en Calle Montenegro, Fraijanes</v>
      </c>
      <c r="H978" s="98" t="s">
        <v>81</v>
      </c>
      <c r="I978" s="125">
        <v>63978600.640000001</v>
      </c>
      <c r="J978" s="125"/>
      <c r="K978" s="125">
        <f>+I978</f>
        <v>63978600.640000001</v>
      </c>
      <c r="L978" s="125"/>
      <c r="M978" s="125"/>
      <c r="N978" s="126">
        <f>+'[2]EXTRA 2'!H842-'3_Detalle Origen y Aplicación'!I978</f>
        <v>133745.96999999881</v>
      </c>
    </row>
    <row r="979" spans="1:532" s="85" customFormat="1" ht="12.75" customHeight="1">
      <c r="A979" s="122"/>
      <c r="B979" s="240"/>
      <c r="C979" s="124"/>
      <c r="D979" s="124"/>
      <c r="E979" s="124"/>
      <c r="F979" s="146"/>
      <c r="G979" s="138"/>
      <c r="H979" s="98"/>
      <c r="I979" s="125"/>
      <c r="J979" s="125"/>
      <c r="K979" s="125"/>
      <c r="L979" s="125"/>
      <c r="M979" s="125"/>
      <c r="N979" s="126"/>
    </row>
    <row r="980" spans="1:532" s="85" customFormat="1" ht="12.75" customHeight="1">
      <c r="A980" s="122"/>
      <c r="B980" s="240"/>
      <c r="C980" s="124"/>
      <c r="D980" s="124"/>
      <c r="E980" s="124"/>
      <c r="F980" s="146" t="s">
        <v>554</v>
      </c>
      <c r="G980" s="138" t="str">
        <f>+'[2]EXTRA 2'!G843</f>
        <v>Mejoras Pluviales en Villa Bonita</v>
      </c>
      <c r="H980" s="98" t="s">
        <v>81</v>
      </c>
      <c r="I980" s="125">
        <v>69000000</v>
      </c>
      <c r="J980" s="125"/>
      <c r="K980" s="125">
        <f>+I980</f>
        <v>69000000</v>
      </c>
      <c r="L980" s="125"/>
      <c r="M980" s="125"/>
      <c r="N980" s="126">
        <f>+'[2]EXTRA 2'!H844-'3_Detalle Origen y Aplicación'!I980</f>
        <v>0</v>
      </c>
    </row>
    <row r="981" spans="1:532" s="85" customFormat="1" ht="12.75" customHeight="1">
      <c r="A981" s="122"/>
      <c r="B981" s="240"/>
      <c r="C981" s="124"/>
      <c r="D981" s="124"/>
      <c r="E981" s="124"/>
      <c r="F981" s="146"/>
      <c r="G981" s="138"/>
      <c r="H981" s="98"/>
      <c r="I981" s="125"/>
      <c r="J981" s="125"/>
      <c r="K981" s="125"/>
      <c r="L981" s="125"/>
      <c r="M981" s="125"/>
      <c r="N981" s="126"/>
    </row>
    <row r="982" spans="1:532" s="85" customFormat="1" ht="12.75" customHeight="1">
      <c r="A982" s="122"/>
      <c r="B982" s="240"/>
      <c r="C982" s="124"/>
      <c r="D982" s="124"/>
      <c r="E982" s="124"/>
      <c r="F982" s="146"/>
      <c r="G982" s="138"/>
      <c r="H982" s="98"/>
      <c r="I982" s="125"/>
      <c r="J982" s="125"/>
      <c r="K982" s="125"/>
      <c r="L982" s="125"/>
      <c r="M982" s="125"/>
      <c r="N982" s="126"/>
    </row>
    <row r="983" spans="1:532" s="85" customFormat="1" ht="12.75" customHeight="1">
      <c r="A983" s="122"/>
      <c r="B983" s="240"/>
      <c r="C983" s="124"/>
      <c r="D983" s="124"/>
      <c r="E983" s="124"/>
      <c r="F983" s="146"/>
      <c r="G983" s="138"/>
      <c r="H983" s="98"/>
      <c r="I983" s="125"/>
      <c r="J983" s="125"/>
      <c r="K983" s="125"/>
      <c r="L983" s="125"/>
      <c r="M983" s="125"/>
      <c r="N983" s="126"/>
    </row>
    <row r="984" spans="1:532" s="85" customFormat="1" ht="12.75" customHeight="1">
      <c r="A984" s="122"/>
      <c r="B984" s="240"/>
      <c r="C984" s="124"/>
      <c r="D984" s="124"/>
      <c r="E984" s="124"/>
      <c r="F984" s="146" t="s">
        <v>516</v>
      </c>
      <c r="G984" s="138"/>
      <c r="H984" s="98"/>
      <c r="I984" s="125"/>
      <c r="J984" s="125"/>
      <c r="K984" s="125"/>
      <c r="L984" s="125"/>
      <c r="M984" s="125"/>
      <c r="N984" s="126"/>
    </row>
    <row r="985" spans="1:532" s="135" customFormat="1" ht="12.75" customHeight="1">
      <c r="A985" s="111"/>
      <c r="B985" s="243"/>
      <c r="C985" s="112"/>
      <c r="D985" s="112"/>
      <c r="E985" s="112"/>
      <c r="F985" s="242"/>
      <c r="G985" s="113"/>
      <c r="H985" s="114"/>
      <c r="I985" s="115"/>
      <c r="J985" s="115"/>
      <c r="K985" s="115"/>
      <c r="L985" s="115"/>
      <c r="M985" s="115"/>
      <c r="N985" s="116"/>
      <c r="O985" s="85"/>
      <c r="P985" s="85"/>
      <c r="Q985" s="85"/>
      <c r="R985" s="85"/>
      <c r="S985" s="85"/>
      <c r="T985" s="85"/>
      <c r="U985" s="85"/>
      <c r="V985" s="85"/>
      <c r="W985" s="85"/>
      <c r="X985" s="85"/>
      <c r="Y985" s="85"/>
      <c r="Z985" s="85"/>
      <c r="AA985" s="85"/>
      <c r="AB985" s="85"/>
      <c r="AC985" s="85"/>
      <c r="AD985" s="85"/>
      <c r="AE985" s="85"/>
      <c r="AF985" s="85"/>
      <c r="AG985" s="85"/>
      <c r="AH985" s="85"/>
      <c r="AI985" s="85"/>
      <c r="AJ985" s="85"/>
      <c r="AK985" s="85"/>
      <c r="AL985" s="85"/>
      <c r="AM985" s="85"/>
      <c r="AN985" s="85"/>
      <c r="AO985" s="85"/>
      <c r="AP985" s="85"/>
      <c r="AQ985" s="85"/>
      <c r="AR985" s="85"/>
      <c r="AS985" s="85"/>
      <c r="AT985" s="85"/>
      <c r="AU985" s="85"/>
      <c r="AV985" s="85"/>
      <c r="AW985" s="85"/>
      <c r="AX985" s="85"/>
      <c r="AY985" s="85"/>
      <c r="AZ985" s="85"/>
      <c r="BA985" s="85"/>
      <c r="BB985" s="85"/>
      <c r="BC985" s="85"/>
      <c r="BD985" s="85"/>
      <c r="BE985" s="85"/>
      <c r="BF985" s="85"/>
      <c r="BG985" s="85"/>
      <c r="BH985" s="85"/>
      <c r="BI985" s="85"/>
      <c r="BJ985" s="85"/>
      <c r="BK985" s="85"/>
      <c r="BL985" s="85"/>
      <c r="BM985" s="85"/>
      <c r="BN985" s="85"/>
      <c r="BO985" s="85"/>
      <c r="BP985" s="85"/>
      <c r="BQ985" s="85"/>
      <c r="BR985" s="85"/>
      <c r="BS985" s="85"/>
      <c r="BT985" s="85"/>
      <c r="BU985" s="85"/>
      <c r="BV985" s="85"/>
      <c r="BW985" s="85"/>
      <c r="BX985" s="85"/>
      <c r="BY985" s="85"/>
      <c r="BZ985" s="85"/>
      <c r="CA985" s="85"/>
      <c r="CB985" s="85"/>
      <c r="CC985" s="85"/>
      <c r="CD985" s="85"/>
      <c r="CE985" s="85"/>
      <c r="CF985" s="85"/>
      <c r="CG985" s="85"/>
      <c r="CH985" s="85"/>
      <c r="CI985" s="85"/>
      <c r="CJ985" s="85"/>
      <c r="CK985" s="85"/>
      <c r="CL985" s="85"/>
      <c r="CM985" s="85"/>
      <c r="CN985" s="85"/>
      <c r="CO985" s="85"/>
      <c r="CP985" s="85"/>
      <c r="CQ985" s="85"/>
      <c r="CR985" s="85"/>
      <c r="CS985" s="85"/>
      <c r="CT985" s="85"/>
      <c r="CU985" s="85"/>
      <c r="CV985" s="85"/>
      <c r="CW985" s="85"/>
      <c r="CX985" s="85"/>
      <c r="CY985" s="85"/>
      <c r="CZ985" s="85"/>
      <c r="DA985" s="85"/>
      <c r="DB985" s="85"/>
      <c r="DC985" s="85"/>
      <c r="DD985" s="85"/>
      <c r="DE985" s="85"/>
      <c r="DF985" s="85"/>
      <c r="DG985" s="85"/>
      <c r="DH985" s="85"/>
      <c r="DI985" s="85"/>
      <c r="DJ985" s="85"/>
      <c r="DK985" s="85"/>
      <c r="DL985" s="85"/>
      <c r="DM985" s="85"/>
      <c r="DN985" s="85"/>
      <c r="DO985" s="85"/>
      <c r="DP985" s="85"/>
      <c r="DQ985" s="85"/>
      <c r="DR985" s="85"/>
      <c r="DS985" s="85"/>
      <c r="DT985" s="85"/>
      <c r="DU985" s="85"/>
      <c r="DV985" s="85"/>
      <c r="DW985" s="85"/>
      <c r="DX985" s="85"/>
      <c r="DY985" s="85"/>
      <c r="DZ985" s="85"/>
      <c r="EA985" s="85"/>
      <c r="EB985" s="85"/>
      <c r="EC985" s="85"/>
      <c r="ED985" s="85"/>
      <c r="EE985" s="85"/>
      <c r="EF985" s="85"/>
      <c r="EG985" s="85"/>
      <c r="EH985" s="85"/>
      <c r="EI985" s="85"/>
      <c r="EJ985" s="85"/>
      <c r="EK985" s="85"/>
      <c r="EL985" s="85"/>
      <c r="EM985" s="85"/>
      <c r="EN985" s="85"/>
      <c r="EO985" s="85"/>
      <c r="EP985" s="85"/>
      <c r="EQ985" s="85"/>
      <c r="ER985" s="85"/>
      <c r="ES985" s="85"/>
      <c r="ET985" s="85"/>
      <c r="EU985" s="85"/>
      <c r="EV985" s="85"/>
      <c r="EW985" s="85"/>
      <c r="EX985" s="85"/>
      <c r="EY985" s="85"/>
      <c r="EZ985" s="85"/>
      <c r="FA985" s="85"/>
      <c r="FB985" s="85"/>
      <c r="FC985" s="85"/>
      <c r="FD985" s="85"/>
      <c r="FE985" s="85"/>
      <c r="FF985" s="85"/>
      <c r="FG985" s="85"/>
      <c r="FH985" s="85"/>
      <c r="FI985" s="85"/>
      <c r="FJ985" s="85"/>
      <c r="FK985" s="85"/>
      <c r="FL985" s="85"/>
      <c r="FM985" s="85"/>
      <c r="FN985" s="85"/>
      <c r="FO985" s="85"/>
      <c r="FP985" s="85"/>
      <c r="FQ985" s="85"/>
      <c r="FR985" s="85"/>
      <c r="FS985" s="85"/>
      <c r="FT985" s="85"/>
      <c r="FU985" s="85"/>
      <c r="FV985" s="85"/>
      <c r="FW985" s="85"/>
      <c r="FX985" s="85"/>
      <c r="FY985" s="85"/>
      <c r="FZ985" s="85"/>
      <c r="GA985" s="85"/>
      <c r="GB985" s="85"/>
      <c r="GC985" s="85"/>
      <c r="GD985" s="85"/>
      <c r="GE985" s="85"/>
      <c r="GF985" s="85"/>
      <c r="GG985" s="85"/>
      <c r="GH985" s="85"/>
      <c r="GI985" s="85"/>
      <c r="GJ985" s="85"/>
      <c r="GK985" s="85"/>
      <c r="GL985" s="85"/>
      <c r="GM985" s="85"/>
      <c r="GN985" s="85"/>
      <c r="GO985" s="85"/>
      <c r="GP985" s="85"/>
      <c r="GQ985" s="85"/>
      <c r="GR985" s="85"/>
      <c r="GS985" s="85"/>
      <c r="GT985" s="85"/>
      <c r="GU985" s="85"/>
      <c r="GV985" s="85"/>
      <c r="GW985" s="85"/>
      <c r="GX985" s="85"/>
      <c r="GY985" s="85"/>
      <c r="GZ985" s="85"/>
      <c r="HA985" s="85"/>
      <c r="HB985" s="85"/>
      <c r="HC985" s="85"/>
      <c r="HD985" s="85"/>
      <c r="HE985" s="85"/>
      <c r="HF985" s="85"/>
      <c r="HG985" s="85"/>
      <c r="HH985" s="85"/>
      <c r="HI985" s="85"/>
      <c r="HJ985" s="85"/>
      <c r="HK985" s="85"/>
      <c r="HL985" s="85"/>
      <c r="HM985" s="85"/>
      <c r="HN985" s="85"/>
      <c r="HO985" s="85"/>
      <c r="HP985" s="85"/>
      <c r="HQ985" s="85"/>
      <c r="HR985" s="85"/>
      <c r="HS985" s="85"/>
      <c r="HT985" s="85"/>
      <c r="HU985" s="85"/>
      <c r="HV985" s="85"/>
      <c r="HW985" s="85"/>
      <c r="HX985" s="85"/>
      <c r="HY985" s="85"/>
      <c r="HZ985" s="85"/>
      <c r="IA985" s="85"/>
      <c r="IB985" s="85"/>
      <c r="IC985" s="85"/>
      <c r="ID985" s="85"/>
      <c r="IE985" s="85"/>
      <c r="IF985" s="85"/>
      <c r="IG985" s="85"/>
      <c r="IH985" s="85"/>
      <c r="II985" s="85"/>
      <c r="IJ985" s="85"/>
      <c r="IK985" s="85"/>
      <c r="IL985" s="85"/>
      <c r="IM985" s="85"/>
      <c r="IN985" s="85"/>
      <c r="IO985" s="85"/>
      <c r="IP985" s="85"/>
      <c r="IQ985" s="85"/>
      <c r="IR985" s="85"/>
      <c r="IS985" s="85"/>
      <c r="IT985" s="85"/>
      <c r="IU985" s="85"/>
      <c r="IV985" s="85"/>
      <c r="IW985" s="85"/>
      <c r="IX985" s="85"/>
      <c r="IY985" s="85"/>
      <c r="IZ985" s="85"/>
      <c r="JA985" s="85"/>
      <c r="JB985" s="85"/>
      <c r="JC985" s="85"/>
      <c r="JD985" s="85"/>
      <c r="JE985" s="85"/>
      <c r="JF985" s="85"/>
      <c r="JG985" s="85"/>
      <c r="JH985" s="85"/>
      <c r="JI985" s="85"/>
      <c r="JJ985" s="85"/>
      <c r="JK985" s="85"/>
      <c r="JL985" s="85"/>
      <c r="JM985" s="85"/>
      <c r="JN985" s="85"/>
      <c r="JO985" s="85"/>
      <c r="JP985" s="85"/>
      <c r="JQ985" s="85"/>
      <c r="JR985" s="85"/>
      <c r="JS985" s="85"/>
      <c r="JT985" s="85"/>
      <c r="JU985" s="85"/>
      <c r="JV985" s="85"/>
      <c r="JW985" s="85"/>
      <c r="JX985" s="85"/>
      <c r="JY985" s="85"/>
      <c r="JZ985" s="85"/>
      <c r="KA985" s="85"/>
      <c r="KB985" s="85"/>
      <c r="KC985" s="85"/>
      <c r="KD985" s="85"/>
      <c r="KE985" s="85"/>
      <c r="KF985" s="85"/>
      <c r="KG985" s="85"/>
      <c r="KH985" s="85"/>
      <c r="KI985" s="85"/>
      <c r="KJ985" s="85"/>
      <c r="KK985" s="85"/>
      <c r="KL985" s="85"/>
      <c r="KM985" s="85"/>
      <c r="KN985" s="85"/>
      <c r="KO985" s="85"/>
      <c r="KP985" s="85"/>
      <c r="KQ985" s="85"/>
      <c r="KR985" s="85"/>
      <c r="KS985" s="85"/>
      <c r="KT985" s="85"/>
      <c r="KU985" s="85"/>
      <c r="KV985" s="85"/>
      <c r="KW985" s="85"/>
      <c r="KX985" s="85"/>
      <c r="KY985" s="85"/>
      <c r="KZ985" s="85"/>
      <c r="LA985" s="85"/>
      <c r="LB985" s="85"/>
      <c r="LC985" s="85"/>
      <c r="LD985" s="85"/>
      <c r="LE985" s="85"/>
      <c r="LF985" s="85"/>
      <c r="LG985" s="85"/>
      <c r="LH985" s="85"/>
      <c r="LI985" s="85"/>
      <c r="LJ985" s="85"/>
      <c r="LK985" s="85"/>
      <c r="LL985" s="85"/>
      <c r="LM985" s="85"/>
      <c r="LN985" s="85"/>
      <c r="LO985" s="85"/>
      <c r="LP985" s="85"/>
      <c r="LQ985" s="85"/>
      <c r="LR985" s="85"/>
      <c r="LS985" s="85"/>
      <c r="LT985" s="85"/>
      <c r="LU985" s="85"/>
      <c r="LV985" s="85"/>
      <c r="LW985" s="85"/>
      <c r="LX985" s="85"/>
      <c r="LY985" s="85"/>
      <c r="LZ985" s="85"/>
      <c r="MA985" s="85"/>
      <c r="MB985" s="85"/>
      <c r="MC985" s="85"/>
      <c r="MD985" s="85"/>
      <c r="ME985" s="85"/>
      <c r="MF985" s="85"/>
      <c r="MG985" s="85"/>
      <c r="MH985" s="85"/>
      <c r="MI985" s="85"/>
      <c r="MJ985" s="85"/>
      <c r="MK985" s="85"/>
      <c r="ML985" s="85"/>
      <c r="MM985" s="85"/>
      <c r="MN985" s="85"/>
      <c r="MO985" s="85"/>
      <c r="MP985" s="85"/>
      <c r="MQ985" s="85"/>
      <c r="MR985" s="85"/>
      <c r="MS985" s="85"/>
      <c r="MT985" s="85"/>
      <c r="MU985" s="85"/>
      <c r="MV985" s="85"/>
      <c r="MW985" s="85"/>
      <c r="MX985" s="85"/>
      <c r="MY985" s="85"/>
      <c r="MZ985" s="85"/>
      <c r="NA985" s="85"/>
      <c r="NB985" s="85"/>
      <c r="NC985" s="85"/>
      <c r="ND985" s="85"/>
      <c r="NE985" s="85"/>
      <c r="NF985" s="85"/>
      <c r="NG985" s="85"/>
      <c r="NH985" s="85"/>
      <c r="NI985" s="85"/>
      <c r="NJ985" s="85"/>
      <c r="NK985" s="85"/>
      <c r="NL985" s="85"/>
      <c r="NM985" s="85"/>
      <c r="NN985" s="85"/>
      <c r="NO985" s="85"/>
      <c r="NP985" s="85"/>
      <c r="NQ985" s="85"/>
      <c r="NR985" s="85"/>
      <c r="NS985" s="85"/>
      <c r="NT985" s="85"/>
      <c r="NU985" s="85"/>
      <c r="NV985" s="85"/>
      <c r="NW985" s="85"/>
      <c r="NX985" s="85"/>
      <c r="NY985" s="85"/>
      <c r="NZ985" s="85"/>
      <c r="OA985" s="85"/>
      <c r="OB985" s="85"/>
      <c r="OC985" s="85"/>
      <c r="OD985" s="85"/>
      <c r="OE985" s="85"/>
      <c r="OF985" s="85"/>
      <c r="OG985" s="85"/>
      <c r="OH985" s="85"/>
      <c r="OI985" s="85"/>
      <c r="OJ985" s="85"/>
      <c r="OK985" s="85"/>
      <c r="OL985" s="85"/>
      <c r="OM985" s="85"/>
      <c r="ON985" s="85"/>
      <c r="OO985" s="85"/>
      <c r="OP985" s="85"/>
      <c r="OQ985" s="85"/>
      <c r="OR985" s="85"/>
      <c r="OS985" s="85"/>
      <c r="OT985" s="85"/>
      <c r="OU985" s="85"/>
      <c r="OV985" s="85"/>
      <c r="OW985" s="85"/>
      <c r="OX985" s="85"/>
      <c r="OY985" s="85"/>
      <c r="OZ985" s="85"/>
      <c r="PA985" s="85"/>
      <c r="PB985" s="85"/>
      <c r="PC985" s="85"/>
      <c r="PD985" s="85"/>
      <c r="PE985" s="85"/>
      <c r="PF985" s="85"/>
      <c r="PG985" s="85"/>
      <c r="PH985" s="85"/>
      <c r="PI985" s="85"/>
      <c r="PJ985" s="85"/>
      <c r="PK985" s="85"/>
      <c r="PL985" s="85"/>
      <c r="PM985" s="85"/>
      <c r="PN985" s="85"/>
      <c r="PO985" s="85"/>
      <c r="PP985" s="85"/>
      <c r="PQ985" s="85"/>
      <c r="PR985" s="85"/>
      <c r="PS985" s="85"/>
      <c r="PT985" s="85"/>
      <c r="PU985" s="85"/>
      <c r="PV985" s="85"/>
      <c r="PW985" s="85"/>
      <c r="PX985" s="85"/>
      <c r="PY985" s="85"/>
      <c r="PZ985" s="85"/>
      <c r="QA985" s="85"/>
      <c r="QB985" s="85"/>
      <c r="QC985" s="85"/>
      <c r="QD985" s="85"/>
      <c r="QE985" s="85"/>
      <c r="QF985" s="85"/>
      <c r="QG985" s="85"/>
      <c r="QH985" s="85"/>
      <c r="QI985" s="85"/>
      <c r="QJ985" s="85"/>
      <c r="QK985" s="85"/>
      <c r="QL985" s="85"/>
      <c r="QM985" s="85"/>
      <c r="QN985" s="85"/>
      <c r="QO985" s="85"/>
      <c r="QP985" s="85"/>
      <c r="QQ985" s="85"/>
      <c r="QR985" s="85"/>
      <c r="QS985" s="85"/>
      <c r="QT985" s="85"/>
      <c r="QU985" s="85"/>
      <c r="QV985" s="85"/>
      <c r="QW985" s="85"/>
      <c r="QX985" s="85"/>
      <c r="QY985" s="85"/>
      <c r="QZ985" s="85"/>
      <c r="RA985" s="85"/>
      <c r="RB985" s="85"/>
      <c r="RC985" s="85"/>
      <c r="RD985" s="85"/>
      <c r="RE985" s="85"/>
      <c r="RF985" s="85"/>
      <c r="RG985" s="85"/>
      <c r="RH985" s="85"/>
      <c r="RI985" s="85"/>
      <c r="RJ985" s="85"/>
      <c r="RK985" s="85"/>
      <c r="RL985" s="85"/>
      <c r="RM985" s="85"/>
      <c r="RN985" s="85"/>
      <c r="RO985" s="85"/>
      <c r="RP985" s="85"/>
      <c r="RQ985" s="85"/>
      <c r="RR985" s="85"/>
      <c r="RS985" s="85"/>
      <c r="RT985" s="85"/>
      <c r="RU985" s="85"/>
      <c r="RV985" s="85"/>
      <c r="RW985" s="85"/>
      <c r="RX985" s="85"/>
      <c r="RY985" s="85"/>
      <c r="RZ985" s="85"/>
      <c r="SA985" s="85"/>
      <c r="SB985" s="85"/>
      <c r="SC985" s="85"/>
      <c r="SD985" s="85"/>
      <c r="SE985" s="85"/>
      <c r="SF985" s="85"/>
      <c r="SG985" s="85"/>
      <c r="SH985" s="85"/>
      <c r="SI985" s="85"/>
      <c r="SJ985" s="85"/>
      <c r="SK985" s="85"/>
      <c r="SL985" s="85"/>
      <c r="SM985" s="85"/>
      <c r="SN985" s="85"/>
      <c r="SO985" s="85"/>
      <c r="SP985" s="85"/>
      <c r="SQ985" s="85"/>
      <c r="SR985" s="85"/>
      <c r="SS985" s="85"/>
      <c r="ST985" s="85"/>
      <c r="SU985" s="85"/>
      <c r="SV985" s="85"/>
      <c r="SW985" s="85"/>
      <c r="SX985" s="85"/>
      <c r="SY985" s="85"/>
      <c r="SZ985" s="85"/>
      <c r="TA985" s="85"/>
      <c r="TB985" s="85"/>
      <c r="TC985" s="85"/>
      <c r="TD985" s="85"/>
      <c r="TE985" s="85"/>
      <c r="TF985" s="85"/>
      <c r="TG985" s="85"/>
      <c r="TH985" s="85"/>
      <c r="TI985" s="85"/>
      <c r="TJ985" s="85"/>
      <c r="TK985" s="85"/>
      <c r="TL985" s="85"/>
    </row>
    <row r="986" spans="1:532" s="85" customFormat="1" ht="12.75" customHeight="1">
      <c r="A986" s="122" t="s">
        <v>354</v>
      </c>
      <c r="B986" s="156" t="s">
        <v>75</v>
      </c>
      <c r="C986" s="156" t="s">
        <v>75</v>
      </c>
      <c r="D986" s="124">
        <f>+'[2]Extra 01'!C848</f>
        <v>1200000000</v>
      </c>
      <c r="E986" s="124">
        <f>+D986</f>
        <v>1200000000</v>
      </c>
      <c r="F986" s="146"/>
      <c r="G986" s="138"/>
      <c r="H986" s="98"/>
      <c r="I986" s="140">
        <f>SUM(I988)</f>
        <v>0</v>
      </c>
      <c r="J986" s="140">
        <f>SUM(J988)</f>
        <v>0</v>
      </c>
      <c r="K986" s="140">
        <f>SUM(K988)</f>
        <v>0</v>
      </c>
      <c r="L986" s="140">
        <f>SUM(L988)</f>
        <v>0</v>
      </c>
      <c r="M986" s="140">
        <f>SUM(M988)</f>
        <v>0</v>
      </c>
      <c r="N986" s="140">
        <f>SUM(N987:N988)</f>
        <v>1199999999.9970002</v>
      </c>
    </row>
    <row r="987" spans="1:532" s="85" customFormat="1" ht="12.75" customHeight="1">
      <c r="A987" s="122"/>
      <c r="B987" s="240"/>
      <c r="C987" s="124"/>
      <c r="D987" s="124"/>
      <c r="E987" s="124"/>
      <c r="F987" s="146" t="s">
        <v>355</v>
      </c>
      <c r="G987" s="138" t="s">
        <v>356</v>
      </c>
      <c r="H987" s="98" t="s">
        <v>78</v>
      </c>
      <c r="I987" s="125"/>
      <c r="J987" s="125">
        <f>+I987</f>
        <v>0</v>
      </c>
      <c r="K987" s="125"/>
      <c r="L987" s="125"/>
      <c r="M987" s="125"/>
      <c r="N987" s="125">
        <f>-I987+'[2]Extra 01'!H849</f>
        <v>149999999.99700001</v>
      </c>
    </row>
    <row r="988" spans="1:532" s="85" customFormat="1" ht="12.75" customHeight="1">
      <c r="A988" s="122"/>
      <c r="B988" s="240"/>
      <c r="C988" s="124"/>
      <c r="D988" s="124"/>
      <c r="E988" s="124"/>
      <c r="F988" s="146"/>
      <c r="G988" s="138"/>
      <c r="H988" s="98" t="s">
        <v>81</v>
      </c>
      <c r="I988" s="125"/>
      <c r="J988" s="125"/>
      <c r="K988" s="125">
        <f>+I988</f>
        <v>0</v>
      </c>
      <c r="L988" s="125"/>
      <c r="M988" s="125"/>
      <c r="N988" s="125">
        <f>-I988+'[2]Extra 01'!H850</f>
        <v>1050000000.0000001</v>
      </c>
    </row>
    <row r="989" spans="1:532" s="135" customFormat="1" ht="12.75" customHeight="1">
      <c r="A989" s="111"/>
      <c r="B989" s="243"/>
      <c r="C989" s="112"/>
      <c r="D989" s="112"/>
      <c r="E989" s="112"/>
      <c r="F989" s="242"/>
      <c r="G989" s="113"/>
      <c r="H989" s="114"/>
      <c r="I989" s="115"/>
      <c r="J989" s="115"/>
      <c r="K989" s="115"/>
      <c r="L989" s="115"/>
      <c r="M989" s="115"/>
      <c r="N989" s="116"/>
      <c r="O989" s="85"/>
      <c r="P989" s="85"/>
      <c r="Q989" s="85"/>
      <c r="R989" s="85"/>
      <c r="S989" s="85"/>
      <c r="T989" s="85"/>
      <c r="U989" s="85"/>
      <c r="V989" s="85"/>
      <c r="W989" s="85"/>
      <c r="X989" s="85"/>
      <c r="Y989" s="85"/>
      <c r="Z989" s="85"/>
      <c r="AA989" s="85"/>
      <c r="AB989" s="85"/>
      <c r="AC989" s="85"/>
      <c r="AD989" s="85"/>
      <c r="AE989" s="85"/>
      <c r="AF989" s="85"/>
      <c r="AG989" s="85"/>
      <c r="AH989" s="85"/>
      <c r="AI989" s="85"/>
      <c r="AJ989" s="85"/>
      <c r="AK989" s="85"/>
      <c r="AL989" s="85"/>
      <c r="AM989" s="85"/>
      <c r="AN989" s="85"/>
      <c r="AO989" s="85"/>
      <c r="AP989" s="85"/>
      <c r="AQ989" s="85"/>
      <c r="AR989" s="85"/>
      <c r="AS989" s="85"/>
      <c r="AT989" s="85"/>
      <c r="AU989" s="85"/>
      <c r="AV989" s="85"/>
      <c r="AW989" s="85"/>
      <c r="AX989" s="85"/>
      <c r="AY989" s="85"/>
      <c r="AZ989" s="85"/>
      <c r="BA989" s="85"/>
      <c r="BB989" s="85"/>
      <c r="BC989" s="85"/>
      <c r="BD989" s="85"/>
      <c r="BE989" s="85"/>
      <c r="BF989" s="85"/>
      <c r="BG989" s="85"/>
      <c r="BH989" s="85"/>
      <c r="BI989" s="85"/>
      <c r="BJ989" s="85"/>
      <c r="BK989" s="85"/>
      <c r="BL989" s="85"/>
      <c r="BM989" s="85"/>
      <c r="BN989" s="85"/>
      <c r="BO989" s="85"/>
      <c r="BP989" s="85"/>
      <c r="BQ989" s="85"/>
      <c r="BR989" s="85"/>
      <c r="BS989" s="85"/>
      <c r="BT989" s="85"/>
      <c r="BU989" s="85"/>
      <c r="BV989" s="85"/>
      <c r="BW989" s="85"/>
      <c r="BX989" s="85"/>
      <c r="BY989" s="85"/>
      <c r="BZ989" s="85"/>
      <c r="CA989" s="85"/>
      <c r="CB989" s="85"/>
      <c r="CC989" s="85"/>
      <c r="CD989" s="85"/>
      <c r="CE989" s="85"/>
      <c r="CF989" s="85"/>
      <c r="CG989" s="85"/>
      <c r="CH989" s="85"/>
      <c r="CI989" s="85"/>
      <c r="CJ989" s="85"/>
      <c r="CK989" s="85"/>
      <c r="CL989" s="85"/>
      <c r="CM989" s="85"/>
      <c r="CN989" s="85"/>
      <c r="CO989" s="85"/>
      <c r="CP989" s="85"/>
      <c r="CQ989" s="85"/>
      <c r="CR989" s="85"/>
      <c r="CS989" s="85"/>
      <c r="CT989" s="85"/>
      <c r="CU989" s="85"/>
      <c r="CV989" s="85"/>
      <c r="CW989" s="85"/>
      <c r="CX989" s="85"/>
      <c r="CY989" s="85"/>
      <c r="CZ989" s="85"/>
      <c r="DA989" s="85"/>
      <c r="DB989" s="85"/>
      <c r="DC989" s="85"/>
      <c r="DD989" s="85"/>
      <c r="DE989" s="85"/>
      <c r="DF989" s="85"/>
      <c r="DG989" s="85"/>
      <c r="DH989" s="85"/>
      <c r="DI989" s="85"/>
      <c r="DJ989" s="85"/>
      <c r="DK989" s="85"/>
      <c r="DL989" s="85"/>
      <c r="DM989" s="85"/>
      <c r="DN989" s="85"/>
      <c r="DO989" s="85"/>
      <c r="DP989" s="85"/>
      <c r="DQ989" s="85"/>
      <c r="DR989" s="85"/>
      <c r="DS989" s="85"/>
      <c r="DT989" s="85"/>
      <c r="DU989" s="85"/>
      <c r="DV989" s="85"/>
      <c r="DW989" s="85"/>
      <c r="DX989" s="85"/>
      <c r="DY989" s="85"/>
      <c r="DZ989" s="85"/>
      <c r="EA989" s="85"/>
      <c r="EB989" s="85"/>
      <c r="EC989" s="85"/>
      <c r="ED989" s="85"/>
      <c r="EE989" s="85"/>
      <c r="EF989" s="85"/>
      <c r="EG989" s="85"/>
      <c r="EH989" s="85"/>
      <c r="EI989" s="85"/>
      <c r="EJ989" s="85"/>
      <c r="EK989" s="85"/>
      <c r="EL989" s="85"/>
      <c r="EM989" s="85"/>
      <c r="EN989" s="85"/>
      <c r="EO989" s="85"/>
      <c r="EP989" s="85"/>
      <c r="EQ989" s="85"/>
      <c r="ER989" s="85"/>
      <c r="ES989" s="85"/>
      <c r="ET989" s="85"/>
      <c r="EU989" s="85"/>
      <c r="EV989" s="85"/>
      <c r="EW989" s="85"/>
      <c r="EX989" s="85"/>
      <c r="EY989" s="85"/>
      <c r="EZ989" s="85"/>
      <c r="FA989" s="85"/>
      <c r="FB989" s="85"/>
      <c r="FC989" s="85"/>
      <c r="FD989" s="85"/>
      <c r="FE989" s="85"/>
      <c r="FF989" s="85"/>
      <c r="FG989" s="85"/>
      <c r="FH989" s="85"/>
      <c r="FI989" s="85"/>
      <c r="FJ989" s="85"/>
      <c r="FK989" s="85"/>
      <c r="FL989" s="85"/>
      <c r="FM989" s="85"/>
      <c r="FN989" s="85"/>
      <c r="FO989" s="85"/>
      <c r="FP989" s="85"/>
      <c r="FQ989" s="85"/>
      <c r="FR989" s="85"/>
      <c r="FS989" s="85"/>
      <c r="FT989" s="85"/>
      <c r="FU989" s="85"/>
      <c r="FV989" s="85"/>
      <c r="FW989" s="85"/>
      <c r="FX989" s="85"/>
      <c r="FY989" s="85"/>
      <c r="FZ989" s="85"/>
      <c r="GA989" s="85"/>
      <c r="GB989" s="85"/>
      <c r="GC989" s="85"/>
      <c r="GD989" s="85"/>
      <c r="GE989" s="85"/>
      <c r="GF989" s="85"/>
      <c r="GG989" s="85"/>
      <c r="GH989" s="85"/>
      <c r="GI989" s="85"/>
      <c r="GJ989" s="85"/>
      <c r="GK989" s="85"/>
      <c r="GL989" s="85"/>
      <c r="GM989" s="85"/>
      <c r="GN989" s="85"/>
      <c r="GO989" s="85"/>
      <c r="GP989" s="85"/>
      <c r="GQ989" s="85"/>
      <c r="GR989" s="85"/>
      <c r="GS989" s="85"/>
      <c r="GT989" s="85"/>
      <c r="GU989" s="85"/>
      <c r="GV989" s="85"/>
      <c r="GW989" s="85"/>
      <c r="GX989" s="85"/>
      <c r="GY989" s="85"/>
      <c r="GZ989" s="85"/>
      <c r="HA989" s="85"/>
      <c r="HB989" s="85"/>
      <c r="HC989" s="85"/>
      <c r="HD989" s="85"/>
      <c r="HE989" s="85"/>
      <c r="HF989" s="85"/>
      <c r="HG989" s="85"/>
      <c r="HH989" s="85"/>
      <c r="HI989" s="85"/>
      <c r="HJ989" s="85"/>
      <c r="HK989" s="85"/>
      <c r="HL989" s="85"/>
      <c r="HM989" s="85"/>
      <c r="HN989" s="85"/>
      <c r="HO989" s="85"/>
      <c r="HP989" s="85"/>
      <c r="HQ989" s="85"/>
      <c r="HR989" s="85"/>
      <c r="HS989" s="85"/>
      <c r="HT989" s="85"/>
      <c r="HU989" s="85"/>
      <c r="HV989" s="85"/>
      <c r="HW989" s="85"/>
      <c r="HX989" s="85"/>
      <c r="HY989" s="85"/>
      <c r="HZ989" s="85"/>
      <c r="IA989" s="85"/>
      <c r="IB989" s="85"/>
      <c r="IC989" s="85"/>
      <c r="ID989" s="85"/>
      <c r="IE989" s="85"/>
      <c r="IF989" s="85"/>
      <c r="IG989" s="85"/>
      <c r="IH989" s="85"/>
      <c r="II989" s="85"/>
      <c r="IJ989" s="85"/>
      <c r="IK989" s="85"/>
      <c r="IL989" s="85"/>
      <c r="IM989" s="85"/>
      <c r="IN989" s="85"/>
      <c r="IO989" s="85"/>
      <c r="IP989" s="85"/>
      <c r="IQ989" s="85"/>
      <c r="IR989" s="85"/>
      <c r="IS989" s="85"/>
      <c r="IT989" s="85"/>
      <c r="IU989" s="85"/>
      <c r="IV989" s="85"/>
      <c r="IW989" s="85"/>
      <c r="IX989" s="85"/>
      <c r="IY989" s="85"/>
      <c r="IZ989" s="85"/>
      <c r="JA989" s="85"/>
      <c r="JB989" s="85"/>
      <c r="JC989" s="85"/>
      <c r="JD989" s="85"/>
      <c r="JE989" s="85"/>
      <c r="JF989" s="85"/>
      <c r="JG989" s="85"/>
      <c r="JH989" s="85"/>
      <c r="JI989" s="85"/>
      <c r="JJ989" s="85"/>
      <c r="JK989" s="85"/>
      <c r="JL989" s="85"/>
      <c r="JM989" s="85"/>
      <c r="JN989" s="85"/>
      <c r="JO989" s="85"/>
      <c r="JP989" s="85"/>
      <c r="JQ989" s="85"/>
      <c r="JR989" s="85"/>
      <c r="JS989" s="85"/>
      <c r="JT989" s="85"/>
      <c r="JU989" s="85"/>
      <c r="JV989" s="85"/>
      <c r="JW989" s="85"/>
      <c r="JX989" s="85"/>
      <c r="JY989" s="85"/>
      <c r="JZ989" s="85"/>
      <c r="KA989" s="85"/>
      <c r="KB989" s="85"/>
      <c r="KC989" s="85"/>
      <c r="KD989" s="85"/>
      <c r="KE989" s="85"/>
      <c r="KF989" s="85"/>
      <c r="KG989" s="85"/>
      <c r="KH989" s="85"/>
      <c r="KI989" s="85"/>
      <c r="KJ989" s="85"/>
      <c r="KK989" s="85"/>
      <c r="KL989" s="85"/>
      <c r="KM989" s="85"/>
      <c r="KN989" s="85"/>
      <c r="KO989" s="85"/>
      <c r="KP989" s="85"/>
      <c r="KQ989" s="85"/>
      <c r="KR989" s="85"/>
      <c r="KS989" s="85"/>
      <c r="KT989" s="85"/>
      <c r="KU989" s="85"/>
      <c r="KV989" s="85"/>
      <c r="KW989" s="85"/>
      <c r="KX989" s="85"/>
      <c r="KY989" s="85"/>
      <c r="KZ989" s="85"/>
      <c r="LA989" s="85"/>
      <c r="LB989" s="85"/>
      <c r="LC989" s="85"/>
      <c r="LD989" s="85"/>
      <c r="LE989" s="85"/>
      <c r="LF989" s="85"/>
      <c r="LG989" s="85"/>
      <c r="LH989" s="85"/>
      <c r="LI989" s="85"/>
      <c r="LJ989" s="85"/>
      <c r="LK989" s="85"/>
      <c r="LL989" s="85"/>
      <c r="LM989" s="85"/>
      <c r="LN989" s="85"/>
      <c r="LO989" s="85"/>
      <c r="LP989" s="85"/>
      <c r="LQ989" s="85"/>
      <c r="LR989" s="85"/>
      <c r="LS989" s="85"/>
      <c r="LT989" s="85"/>
      <c r="LU989" s="85"/>
      <c r="LV989" s="85"/>
      <c r="LW989" s="85"/>
      <c r="LX989" s="85"/>
      <c r="LY989" s="85"/>
      <c r="LZ989" s="85"/>
      <c r="MA989" s="85"/>
      <c r="MB989" s="85"/>
      <c r="MC989" s="85"/>
      <c r="MD989" s="85"/>
      <c r="ME989" s="85"/>
      <c r="MF989" s="85"/>
      <c r="MG989" s="85"/>
      <c r="MH989" s="85"/>
      <c r="MI989" s="85"/>
      <c r="MJ989" s="85"/>
      <c r="MK989" s="85"/>
      <c r="ML989" s="85"/>
      <c r="MM989" s="85"/>
      <c r="MN989" s="85"/>
      <c r="MO989" s="85"/>
      <c r="MP989" s="85"/>
      <c r="MQ989" s="85"/>
      <c r="MR989" s="85"/>
      <c r="MS989" s="85"/>
      <c r="MT989" s="85"/>
      <c r="MU989" s="85"/>
      <c r="MV989" s="85"/>
      <c r="MW989" s="85"/>
      <c r="MX989" s="85"/>
      <c r="MY989" s="85"/>
      <c r="MZ989" s="85"/>
      <c r="NA989" s="85"/>
      <c r="NB989" s="85"/>
      <c r="NC989" s="85"/>
      <c r="ND989" s="85"/>
      <c r="NE989" s="85"/>
      <c r="NF989" s="85"/>
      <c r="NG989" s="85"/>
      <c r="NH989" s="85"/>
      <c r="NI989" s="85"/>
      <c r="NJ989" s="85"/>
      <c r="NK989" s="85"/>
      <c r="NL989" s="85"/>
      <c r="NM989" s="85"/>
      <c r="NN989" s="85"/>
      <c r="NO989" s="85"/>
      <c r="NP989" s="85"/>
      <c r="NQ989" s="85"/>
      <c r="NR989" s="85"/>
      <c r="NS989" s="85"/>
      <c r="NT989" s="85"/>
      <c r="NU989" s="85"/>
      <c r="NV989" s="85"/>
      <c r="NW989" s="85"/>
      <c r="NX989" s="85"/>
      <c r="NY989" s="85"/>
      <c r="NZ989" s="85"/>
      <c r="OA989" s="85"/>
      <c r="OB989" s="85"/>
      <c r="OC989" s="85"/>
      <c r="OD989" s="85"/>
      <c r="OE989" s="85"/>
      <c r="OF989" s="85"/>
      <c r="OG989" s="85"/>
      <c r="OH989" s="85"/>
      <c r="OI989" s="85"/>
      <c r="OJ989" s="85"/>
      <c r="OK989" s="85"/>
      <c r="OL989" s="85"/>
      <c r="OM989" s="85"/>
      <c r="ON989" s="85"/>
      <c r="OO989" s="85"/>
      <c r="OP989" s="85"/>
      <c r="OQ989" s="85"/>
      <c r="OR989" s="85"/>
      <c r="OS989" s="85"/>
      <c r="OT989" s="85"/>
      <c r="OU989" s="85"/>
      <c r="OV989" s="85"/>
      <c r="OW989" s="85"/>
      <c r="OX989" s="85"/>
      <c r="OY989" s="85"/>
      <c r="OZ989" s="85"/>
      <c r="PA989" s="85"/>
      <c r="PB989" s="85"/>
      <c r="PC989" s="85"/>
      <c r="PD989" s="85"/>
      <c r="PE989" s="85"/>
      <c r="PF989" s="85"/>
      <c r="PG989" s="85"/>
      <c r="PH989" s="85"/>
      <c r="PI989" s="85"/>
      <c r="PJ989" s="85"/>
      <c r="PK989" s="85"/>
      <c r="PL989" s="85"/>
      <c r="PM989" s="85"/>
      <c r="PN989" s="85"/>
      <c r="PO989" s="85"/>
      <c r="PP989" s="85"/>
      <c r="PQ989" s="85"/>
      <c r="PR989" s="85"/>
      <c r="PS989" s="85"/>
      <c r="PT989" s="85"/>
      <c r="PU989" s="85"/>
      <c r="PV989" s="85"/>
      <c r="PW989" s="85"/>
      <c r="PX989" s="85"/>
      <c r="PY989" s="85"/>
      <c r="PZ989" s="85"/>
      <c r="QA989" s="85"/>
      <c r="QB989" s="85"/>
      <c r="QC989" s="85"/>
      <c r="QD989" s="85"/>
      <c r="QE989" s="85"/>
      <c r="QF989" s="85"/>
      <c r="QG989" s="85"/>
      <c r="QH989" s="85"/>
      <c r="QI989" s="85"/>
      <c r="QJ989" s="85"/>
      <c r="QK989" s="85"/>
      <c r="QL989" s="85"/>
      <c r="QM989" s="85"/>
      <c r="QN989" s="85"/>
      <c r="QO989" s="85"/>
      <c r="QP989" s="85"/>
      <c r="QQ989" s="85"/>
      <c r="QR989" s="85"/>
      <c r="QS989" s="85"/>
      <c r="QT989" s="85"/>
      <c r="QU989" s="85"/>
      <c r="QV989" s="85"/>
      <c r="QW989" s="85"/>
      <c r="QX989" s="85"/>
      <c r="QY989" s="85"/>
      <c r="QZ989" s="85"/>
      <c r="RA989" s="85"/>
      <c r="RB989" s="85"/>
      <c r="RC989" s="85"/>
      <c r="RD989" s="85"/>
      <c r="RE989" s="85"/>
      <c r="RF989" s="85"/>
      <c r="RG989" s="85"/>
      <c r="RH989" s="85"/>
      <c r="RI989" s="85"/>
      <c r="RJ989" s="85"/>
      <c r="RK989" s="85"/>
      <c r="RL989" s="85"/>
      <c r="RM989" s="85"/>
      <c r="RN989" s="85"/>
      <c r="RO989" s="85"/>
      <c r="RP989" s="85"/>
      <c r="RQ989" s="85"/>
      <c r="RR989" s="85"/>
      <c r="RS989" s="85"/>
      <c r="RT989" s="85"/>
      <c r="RU989" s="85"/>
      <c r="RV989" s="85"/>
      <c r="RW989" s="85"/>
      <c r="RX989" s="85"/>
      <c r="RY989" s="85"/>
      <c r="RZ989" s="85"/>
      <c r="SA989" s="85"/>
      <c r="SB989" s="85"/>
      <c r="SC989" s="85"/>
      <c r="SD989" s="85"/>
      <c r="SE989" s="85"/>
      <c r="SF989" s="85"/>
      <c r="SG989" s="85"/>
      <c r="SH989" s="85"/>
      <c r="SI989" s="85"/>
      <c r="SJ989" s="85"/>
      <c r="SK989" s="85"/>
      <c r="SL989" s="85"/>
      <c r="SM989" s="85"/>
      <c r="SN989" s="85"/>
      <c r="SO989" s="85"/>
      <c r="SP989" s="85"/>
      <c r="SQ989" s="85"/>
      <c r="SR989" s="85"/>
      <c r="SS989" s="85"/>
      <c r="ST989" s="85"/>
      <c r="SU989" s="85"/>
      <c r="SV989" s="85"/>
      <c r="SW989" s="85"/>
      <c r="SX989" s="85"/>
      <c r="SY989" s="85"/>
      <c r="SZ989" s="85"/>
      <c r="TA989" s="85"/>
      <c r="TB989" s="85"/>
      <c r="TC989" s="85"/>
      <c r="TD989" s="85"/>
      <c r="TE989" s="85"/>
      <c r="TF989" s="85"/>
      <c r="TG989" s="85"/>
      <c r="TH989" s="85"/>
      <c r="TI989" s="85"/>
      <c r="TJ989" s="85"/>
      <c r="TK989" s="85"/>
      <c r="TL989" s="85"/>
    </row>
    <row r="990" spans="1:532" s="163" customFormat="1" ht="12.75" customHeight="1">
      <c r="A990" s="158"/>
      <c r="B990" s="246"/>
      <c r="C990" s="159"/>
      <c r="D990" s="159"/>
      <c r="E990" s="159"/>
      <c r="F990" s="245"/>
      <c r="G990" s="160"/>
      <c r="H990" s="161"/>
      <c r="I990" s="162"/>
      <c r="J990" s="162"/>
      <c r="K990" s="162"/>
      <c r="L990" s="162"/>
      <c r="M990" s="162"/>
      <c r="N990" s="162"/>
      <c r="O990" s="85"/>
      <c r="P990" s="85"/>
      <c r="Q990" s="85"/>
      <c r="R990" s="85"/>
      <c r="S990" s="85"/>
      <c r="T990" s="85"/>
      <c r="U990" s="85"/>
      <c r="V990" s="85"/>
      <c r="W990" s="85"/>
      <c r="X990" s="85"/>
      <c r="Y990" s="85"/>
      <c r="Z990" s="85"/>
      <c r="AA990" s="85"/>
      <c r="AB990" s="85"/>
      <c r="AC990" s="85"/>
      <c r="AD990" s="85"/>
      <c r="AE990" s="85"/>
      <c r="AF990" s="85"/>
      <c r="AG990" s="85"/>
      <c r="AH990" s="85"/>
      <c r="AI990" s="85"/>
      <c r="AJ990" s="85"/>
      <c r="AK990" s="85"/>
      <c r="AL990" s="85"/>
      <c r="AM990" s="85"/>
      <c r="AN990" s="85"/>
      <c r="AO990" s="85"/>
      <c r="AP990" s="85"/>
      <c r="AQ990" s="85"/>
      <c r="AR990" s="85"/>
      <c r="AS990" s="85"/>
      <c r="AT990" s="85"/>
      <c r="AU990" s="85"/>
      <c r="AV990" s="85"/>
      <c r="AW990" s="85"/>
      <c r="AX990" s="85"/>
      <c r="AY990" s="85"/>
      <c r="AZ990" s="85"/>
      <c r="BA990" s="85"/>
      <c r="BB990" s="85"/>
      <c r="BC990" s="85"/>
      <c r="BD990" s="85"/>
      <c r="BE990" s="85"/>
      <c r="BF990" s="85"/>
      <c r="BG990" s="85"/>
      <c r="BH990" s="85"/>
      <c r="BI990" s="85"/>
      <c r="BJ990" s="85"/>
      <c r="BK990" s="85"/>
      <c r="BL990" s="85"/>
      <c r="BM990" s="85"/>
      <c r="BN990" s="85"/>
      <c r="BO990" s="85"/>
      <c r="BP990" s="85"/>
      <c r="BQ990" s="85"/>
      <c r="BR990" s="85"/>
      <c r="BS990" s="85"/>
      <c r="BT990" s="85"/>
      <c r="BU990" s="85"/>
      <c r="BV990" s="85"/>
      <c r="BW990" s="85"/>
      <c r="BX990" s="85"/>
      <c r="BY990" s="85"/>
      <c r="BZ990" s="85"/>
      <c r="CA990" s="85"/>
      <c r="CB990" s="85"/>
      <c r="CC990" s="85"/>
      <c r="CD990" s="85"/>
      <c r="CE990" s="85"/>
      <c r="CF990" s="85"/>
      <c r="CG990" s="85"/>
      <c r="CH990" s="85"/>
      <c r="CI990" s="85"/>
      <c r="CJ990" s="85"/>
      <c r="CK990" s="85"/>
      <c r="CL990" s="85"/>
      <c r="CM990" s="85"/>
      <c r="CN990" s="85"/>
      <c r="CO990" s="85"/>
      <c r="CP990" s="85"/>
      <c r="CQ990" s="85"/>
      <c r="CR990" s="85"/>
      <c r="CS990" s="85"/>
      <c r="CT990" s="85"/>
      <c r="CU990" s="85"/>
      <c r="CV990" s="85"/>
      <c r="CW990" s="85"/>
      <c r="CX990" s="85"/>
      <c r="CY990" s="85"/>
      <c r="CZ990" s="85"/>
      <c r="DA990" s="85"/>
      <c r="DB990" s="85"/>
      <c r="DC990" s="85"/>
      <c r="DD990" s="85"/>
      <c r="DE990" s="85"/>
      <c r="DF990" s="85"/>
      <c r="DG990" s="85"/>
      <c r="DH990" s="85"/>
      <c r="DI990" s="85"/>
      <c r="DJ990" s="85"/>
      <c r="DK990" s="85"/>
      <c r="DL990" s="85"/>
      <c r="DM990" s="85"/>
      <c r="DN990" s="85"/>
      <c r="DO990" s="85"/>
      <c r="DP990" s="85"/>
      <c r="DQ990" s="85"/>
      <c r="DR990" s="85"/>
      <c r="DS990" s="85"/>
      <c r="DT990" s="85"/>
      <c r="DU990" s="85"/>
      <c r="DV990" s="85"/>
      <c r="DW990" s="85"/>
      <c r="DX990" s="85"/>
      <c r="DY990" s="85"/>
      <c r="DZ990" s="85"/>
      <c r="EA990" s="85"/>
      <c r="EB990" s="85"/>
      <c r="EC990" s="85"/>
      <c r="ED990" s="85"/>
      <c r="EE990" s="85"/>
      <c r="EF990" s="85"/>
      <c r="EG990" s="85"/>
      <c r="EH990" s="85"/>
      <c r="EI990" s="85"/>
      <c r="EJ990" s="85"/>
      <c r="EK990" s="85"/>
      <c r="EL990" s="85"/>
      <c r="EM990" s="85"/>
      <c r="EN990" s="85"/>
      <c r="EO990" s="85"/>
      <c r="EP990" s="85"/>
      <c r="EQ990" s="85"/>
      <c r="ER990" s="85"/>
      <c r="ES990" s="85"/>
      <c r="ET990" s="85"/>
      <c r="EU990" s="85"/>
      <c r="EV990" s="85"/>
      <c r="EW990" s="85"/>
      <c r="EX990" s="85"/>
      <c r="EY990" s="85"/>
      <c r="EZ990" s="85"/>
      <c r="FA990" s="85"/>
      <c r="FB990" s="85"/>
      <c r="FC990" s="85"/>
      <c r="FD990" s="85"/>
      <c r="FE990" s="85"/>
      <c r="FF990" s="85"/>
      <c r="FG990" s="85"/>
      <c r="FH990" s="85"/>
      <c r="FI990" s="85"/>
      <c r="FJ990" s="85"/>
      <c r="FK990" s="85"/>
      <c r="FL990" s="85"/>
      <c r="FM990" s="85"/>
      <c r="FN990" s="85"/>
      <c r="FO990" s="85"/>
      <c r="FP990" s="85"/>
      <c r="FQ990" s="85"/>
      <c r="FR990" s="85"/>
      <c r="FS990" s="85"/>
      <c r="FT990" s="85"/>
      <c r="FU990" s="85"/>
      <c r="FV990" s="85"/>
      <c r="FW990" s="85"/>
      <c r="FX990" s="85"/>
      <c r="FY990" s="85"/>
      <c r="FZ990" s="85"/>
      <c r="GA990" s="85"/>
      <c r="GB990" s="85"/>
      <c r="GC990" s="85"/>
      <c r="GD990" s="85"/>
      <c r="GE990" s="85"/>
      <c r="GF990" s="85"/>
      <c r="GG990" s="85"/>
      <c r="GH990" s="85"/>
      <c r="GI990" s="85"/>
      <c r="GJ990" s="85"/>
      <c r="GK990" s="85"/>
      <c r="GL990" s="85"/>
      <c r="GM990" s="85"/>
      <c r="GN990" s="85"/>
      <c r="GO990" s="85"/>
      <c r="GP990" s="85"/>
      <c r="GQ990" s="85"/>
      <c r="GR990" s="85"/>
      <c r="GS990" s="85"/>
      <c r="GT990" s="85"/>
      <c r="GU990" s="85"/>
      <c r="GV990" s="85"/>
      <c r="GW990" s="85"/>
      <c r="GX990" s="85"/>
      <c r="GY990" s="85"/>
      <c r="GZ990" s="85"/>
      <c r="HA990" s="85"/>
      <c r="HB990" s="85"/>
      <c r="HC990" s="85"/>
      <c r="HD990" s="85"/>
      <c r="HE990" s="85"/>
      <c r="HF990" s="85"/>
      <c r="HG990" s="85"/>
      <c r="HH990" s="85"/>
      <c r="HI990" s="85"/>
      <c r="HJ990" s="85"/>
      <c r="HK990" s="85"/>
      <c r="HL990" s="85"/>
      <c r="HM990" s="85"/>
      <c r="HN990" s="85"/>
      <c r="HO990" s="85"/>
      <c r="HP990" s="85"/>
      <c r="HQ990" s="85"/>
      <c r="HR990" s="85"/>
      <c r="HS990" s="85"/>
      <c r="HT990" s="85"/>
      <c r="HU990" s="85"/>
      <c r="HV990" s="85"/>
      <c r="HW990" s="85"/>
      <c r="HX990" s="85"/>
      <c r="HY990" s="85"/>
      <c r="HZ990" s="85"/>
      <c r="IA990" s="85"/>
      <c r="IB990" s="85"/>
      <c r="IC990" s="85"/>
      <c r="ID990" s="85"/>
      <c r="IE990" s="85"/>
      <c r="IF990" s="85"/>
      <c r="IG990" s="85"/>
      <c r="IH990" s="85"/>
      <c r="II990" s="85"/>
      <c r="IJ990" s="85"/>
      <c r="IK990" s="85"/>
      <c r="IL990" s="85"/>
      <c r="IM990" s="85"/>
      <c r="IN990" s="85"/>
      <c r="IO990" s="85"/>
      <c r="IP990" s="85"/>
      <c r="IQ990" s="85"/>
      <c r="IR990" s="85"/>
      <c r="IS990" s="85"/>
      <c r="IT990" s="85"/>
      <c r="IU990" s="85"/>
      <c r="IV990" s="85"/>
      <c r="IW990" s="85"/>
      <c r="IX990" s="85"/>
      <c r="IY990" s="85"/>
      <c r="IZ990" s="85"/>
      <c r="JA990" s="85"/>
      <c r="JB990" s="85"/>
      <c r="JC990" s="85"/>
      <c r="JD990" s="85"/>
      <c r="JE990" s="85"/>
      <c r="JF990" s="85"/>
      <c r="JG990" s="85"/>
      <c r="JH990" s="85"/>
      <c r="JI990" s="85"/>
      <c r="JJ990" s="85"/>
      <c r="JK990" s="85"/>
      <c r="JL990" s="85"/>
      <c r="JM990" s="85"/>
      <c r="JN990" s="85"/>
      <c r="JO990" s="85"/>
      <c r="JP990" s="85"/>
      <c r="JQ990" s="85"/>
      <c r="JR990" s="85"/>
      <c r="JS990" s="85"/>
      <c r="JT990" s="85"/>
      <c r="JU990" s="85"/>
      <c r="JV990" s="85"/>
      <c r="JW990" s="85"/>
      <c r="JX990" s="85"/>
      <c r="JY990" s="85"/>
      <c r="JZ990" s="85"/>
      <c r="KA990" s="85"/>
      <c r="KB990" s="85"/>
      <c r="KC990" s="85"/>
      <c r="KD990" s="85"/>
      <c r="KE990" s="85"/>
      <c r="KF990" s="85"/>
      <c r="KG990" s="85"/>
      <c r="KH990" s="85"/>
      <c r="KI990" s="85"/>
      <c r="KJ990" s="85"/>
      <c r="KK990" s="85"/>
      <c r="KL990" s="85"/>
      <c r="KM990" s="85"/>
      <c r="KN990" s="85"/>
      <c r="KO990" s="85"/>
      <c r="KP990" s="85"/>
      <c r="KQ990" s="85"/>
      <c r="KR990" s="85"/>
      <c r="KS990" s="85"/>
      <c r="KT990" s="85"/>
      <c r="KU990" s="85"/>
      <c r="KV990" s="85"/>
      <c r="KW990" s="85"/>
      <c r="KX990" s="85"/>
      <c r="KY990" s="85"/>
      <c r="KZ990" s="85"/>
      <c r="LA990" s="85"/>
      <c r="LB990" s="85"/>
      <c r="LC990" s="85"/>
      <c r="LD990" s="85"/>
      <c r="LE990" s="85"/>
      <c r="LF990" s="85"/>
      <c r="LG990" s="85"/>
      <c r="LH990" s="85"/>
      <c r="LI990" s="85"/>
      <c r="LJ990" s="85"/>
      <c r="LK990" s="85"/>
      <c r="LL990" s="85"/>
      <c r="LM990" s="85"/>
      <c r="LN990" s="85"/>
      <c r="LO990" s="85"/>
      <c r="LP990" s="85"/>
      <c r="LQ990" s="85"/>
      <c r="LR990" s="85"/>
      <c r="LS990" s="85"/>
      <c r="LT990" s="85"/>
      <c r="LU990" s="85"/>
      <c r="LV990" s="85"/>
      <c r="LW990" s="85"/>
      <c r="LX990" s="85"/>
      <c r="LY990" s="85"/>
      <c r="LZ990" s="85"/>
      <c r="MA990" s="85"/>
      <c r="MB990" s="85"/>
      <c r="MC990" s="85"/>
      <c r="MD990" s="85"/>
      <c r="ME990" s="85"/>
      <c r="MF990" s="85"/>
      <c r="MG990" s="85"/>
      <c r="MH990" s="85"/>
      <c r="MI990" s="85"/>
      <c r="MJ990" s="85"/>
      <c r="MK990" s="85"/>
      <c r="ML990" s="85"/>
      <c r="MM990" s="85"/>
      <c r="MN990" s="85"/>
      <c r="MO990" s="85"/>
      <c r="MP990" s="85"/>
      <c r="MQ990" s="85"/>
      <c r="MR990" s="85"/>
      <c r="MS990" s="85"/>
      <c r="MT990" s="85"/>
      <c r="MU990" s="85"/>
      <c r="MV990" s="85"/>
      <c r="MW990" s="85"/>
      <c r="MX990" s="85"/>
      <c r="MY990" s="85"/>
      <c r="MZ990" s="85"/>
      <c r="NA990" s="85"/>
      <c r="NB990" s="85"/>
      <c r="NC990" s="85"/>
      <c r="ND990" s="85"/>
      <c r="NE990" s="85"/>
      <c r="NF990" s="85"/>
      <c r="NG990" s="85"/>
      <c r="NH990" s="85"/>
      <c r="NI990" s="85"/>
      <c r="NJ990" s="85"/>
      <c r="NK990" s="85"/>
      <c r="NL990" s="85"/>
      <c r="NM990" s="85"/>
      <c r="NN990" s="85"/>
      <c r="NO990" s="85"/>
      <c r="NP990" s="85"/>
      <c r="NQ990" s="85"/>
      <c r="NR990" s="85"/>
      <c r="NS990" s="85"/>
      <c r="NT990" s="85"/>
      <c r="NU990" s="85"/>
      <c r="NV990" s="85"/>
      <c r="NW990" s="85"/>
      <c r="NX990" s="85"/>
      <c r="NY990" s="85"/>
      <c r="NZ990" s="85"/>
      <c r="OA990" s="85"/>
      <c r="OB990" s="85"/>
      <c r="OC990" s="85"/>
      <c r="OD990" s="85"/>
      <c r="OE990" s="85"/>
      <c r="OF990" s="85"/>
      <c r="OG990" s="85"/>
      <c r="OH990" s="85"/>
      <c r="OI990" s="85"/>
      <c r="OJ990" s="85"/>
      <c r="OK990" s="85"/>
      <c r="OL990" s="85"/>
      <c r="OM990" s="85"/>
      <c r="ON990" s="85"/>
      <c r="OO990" s="85"/>
      <c r="OP990" s="85"/>
      <c r="OQ990" s="85"/>
      <c r="OR990" s="85"/>
      <c r="OS990" s="85"/>
      <c r="OT990" s="85"/>
      <c r="OU990" s="85"/>
      <c r="OV990" s="85"/>
      <c r="OW990" s="85"/>
      <c r="OX990" s="85"/>
      <c r="OY990" s="85"/>
      <c r="OZ990" s="85"/>
      <c r="PA990" s="85"/>
      <c r="PB990" s="85"/>
      <c r="PC990" s="85"/>
      <c r="PD990" s="85"/>
      <c r="PE990" s="85"/>
      <c r="PF990" s="85"/>
      <c r="PG990" s="85"/>
      <c r="PH990" s="85"/>
      <c r="PI990" s="85"/>
      <c r="PJ990" s="85"/>
      <c r="PK990" s="85"/>
      <c r="PL990" s="85"/>
      <c r="PM990" s="85"/>
      <c r="PN990" s="85"/>
      <c r="PO990" s="85"/>
      <c r="PP990" s="85"/>
      <c r="PQ990" s="85"/>
      <c r="PR990" s="85"/>
      <c r="PS990" s="85"/>
      <c r="PT990" s="85"/>
      <c r="PU990" s="85"/>
      <c r="PV990" s="85"/>
      <c r="PW990" s="85"/>
      <c r="PX990" s="85"/>
      <c r="PY990" s="85"/>
      <c r="PZ990" s="85"/>
      <c r="QA990" s="85"/>
      <c r="QB990" s="85"/>
      <c r="QC990" s="85"/>
      <c r="QD990" s="85"/>
      <c r="QE990" s="85"/>
      <c r="QF990" s="85"/>
      <c r="QG990" s="85"/>
      <c r="QH990" s="85"/>
      <c r="QI990" s="85"/>
      <c r="QJ990" s="85"/>
      <c r="QK990" s="85"/>
      <c r="QL990" s="85"/>
      <c r="QM990" s="85"/>
      <c r="QN990" s="85"/>
      <c r="QO990" s="85"/>
      <c r="QP990" s="85"/>
      <c r="QQ990" s="85"/>
      <c r="QR990" s="85"/>
      <c r="QS990" s="85"/>
      <c r="QT990" s="85"/>
      <c r="QU990" s="85"/>
      <c r="QV990" s="85"/>
      <c r="QW990" s="85"/>
      <c r="QX990" s="85"/>
      <c r="QY990" s="85"/>
      <c r="QZ990" s="85"/>
      <c r="RA990" s="85"/>
      <c r="RB990" s="85"/>
      <c r="RC990" s="85"/>
      <c r="RD990" s="85"/>
      <c r="RE990" s="85"/>
      <c r="RF990" s="85"/>
      <c r="RG990" s="85"/>
      <c r="RH990" s="85"/>
      <c r="RI990" s="85"/>
      <c r="RJ990" s="85"/>
      <c r="RK990" s="85"/>
      <c r="RL990" s="85"/>
      <c r="RM990" s="85"/>
      <c r="RN990" s="85"/>
      <c r="RO990" s="85"/>
      <c r="RP990" s="85"/>
      <c r="RQ990" s="85"/>
      <c r="RR990" s="85"/>
      <c r="RS990" s="85"/>
      <c r="RT990" s="85"/>
      <c r="RU990" s="85"/>
      <c r="RV990" s="85"/>
      <c r="RW990" s="85"/>
      <c r="RX990" s="85"/>
      <c r="RY990" s="85"/>
      <c r="RZ990" s="85"/>
      <c r="SA990" s="85"/>
      <c r="SB990" s="85"/>
      <c r="SC990" s="85"/>
      <c r="SD990" s="85"/>
      <c r="SE990" s="85"/>
      <c r="SF990" s="85"/>
      <c r="SG990" s="85"/>
      <c r="SH990" s="85"/>
      <c r="SI990" s="85"/>
      <c r="SJ990" s="85"/>
      <c r="SK990" s="85"/>
      <c r="SL990" s="85"/>
      <c r="SM990" s="85"/>
      <c r="SN990" s="85"/>
      <c r="SO990" s="85"/>
      <c r="SP990" s="85"/>
      <c r="SQ990" s="85"/>
      <c r="SR990" s="85"/>
      <c r="SS990" s="85"/>
      <c r="ST990" s="85"/>
      <c r="SU990" s="85"/>
      <c r="SV990" s="85"/>
      <c r="SW990" s="85"/>
      <c r="SX990" s="85"/>
      <c r="SY990" s="85"/>
      <c r="SZ990" s="85"/>
      <c r="TA990" s="85"/>
      <c r="TB990" s="85"/>
      <c r="TC990" s="85"/>
      <c r="TD990" s="85"/>
      <c r="TE990" s="85"/>
      <c r="TF990" s="85"/>
      <c r="TG990" s="85"/>
      <c r="TH990" s="85"/>
      <c r="TI990" s="85"/>
      <c r="TJ990" s="85"/>
      <c r="TK990" s="85"/>
      <c r="TL990" s="85"/>
    </row>
    <row r="991" spans="1:532" s="168" customFormat="1" ht="12.75" customHeight="1">
      <c r="A991" s="164" t="s">
        <v>360</v>
      </c>
      <c r="B991" s="239"/>
      <c r="C991" s="165"/>
      <c r="D991" s="165">
        <f>+D508+D860</f>
        <v>26286290888.434532</v>
      </c>
      <c r="E991" s="165">
        <f>+E508+E860</f>
        <v>26543987139.961559</v>
      </c>
      <c r="F991" s="238"/>
      <c r="G991" s="166"/>
      <c r="H991" s="167"/>
      <c r="I991" s="165">
        <f>+I508+I860</f>
        <v>10465067040.430002</v>
      </c>
      <c r="J991" s="165">
        <f t="shared" ref="J991:M991" si="56">+J508+J860</f>
        <v>1425976490.0700002</v>
      </c>
      <c r="K991" s="165">
        <f t="shared" si="56"/>
        <v>9039090550.3600006</v>
      </c>
      <c r="L991" s="165">
        <f t="shared" si="56"/>
        <v>0</v>
      </c>
      <c r="M991" s="165">
        <f t="shared" si="56"/>
        <v>0</v>
      </c>
      <c r="N991" s="165">
        <f t="shared" ref="N991" si="57">+N508+N860</f>
        <v>16078920099.540022</v>
      </c>
      <c r="O991" s="85"/>
      <c r="P991" s="85"/>
      <c r="Q991" s="85"/>
      <c r="R991" s="85"/>
      <c r="S991" s="85"/>
      <c r="T991" s="85"/>
      <c r="U991" s="85"/>
      <c r="V991" s="85"/>
      <c r="W991" s="85"/>
      <c r="X991" s="85"/>
      <c r="Y991" s="85"/>
      <c r="Z991" s="85"/>
      <c r="AA991" s="85"/>
      <c r="AB991" s="85"/>
      <c r="AC991" s="85"/>
      <c r="AD991" s="85"/>
      <c r="AE991" s="85"/>
      <c r="AF991" s="85"/>
      <c r="AG991" s="85"/>
      <c r="AH991" s="85"/>
      <c r="AI991" s="85"/>
      <c r="AJ991" s="85"/>
      <c r="AK991" s="85"/>
      <c r="AL991" s="85"/>
      <c r="AM991" s="85"/>
      <c r="AN991" s="85"/>
      <c r="AO991" s="85"/>
      <c r="AP991" s="85"/>
      <c r="AQ991" s="85"/>
      <c r="AR991" s="85"/>
      <c r="AS991" s="85"/>
      <c r="AT991" s="85"/>
      <c r="AU991" s="85"/>
      <c r="AV991" s="85"/>
      <c r="AW991" s="85"/>
      <c r="AX991" s="85"/>
      <c r="AY991" s="85"/>
      <c r="AZ991" s="85"/>
      <c r="BA991" s="85"/>
      <c r="BB991" s="85"/>
      <c r="BC991" s="85"/>
      <c r="BD991" s="85"/>
      <c r="BE991" s="85"/>
      <c r="BF991" s="85"/>
      <c r="BG991" s="85"/>
      <c r="BH991" s="85"/>
      <c r="BI991" s="85"/>
      <c r="BJ991" s="85"/>
      <c r="BK991" s="85"/>
      <c r="BL991" s="85"/>
      <c r="BM991" s="85"/>
      <c r="BN991" s="85"/>
      <c r="BO991" s="85"/>
      <c r="BP991" s="85"/>
      <c r="BQ991" s="85"/>
      <c r="BR991" s="85"/>
      <c r="BS991" s="85"/>
      <c r="BT991" s="85"/>
      <c r="BU991" s="85"/>
      <c r="BV991" s="85"/>
      <c r="BW991" s="85"/>
      <c r="BX991" s="85"/>
      <c r="BY991" s="85"/>
      <c r="BZ991" s="85"/>
      <c r="CA991" s="85"/>
      <c r="CB991" s="85"/>
      <c r="CC991" s="85"/>
      <c r="CD991" s="85"/>
      <c r="CE991" s="85"/>
      <c r="CF991" s="85"/>
      <c r="CG991" s="85"/>
      <c r="CH991" s="85"/>
      <c r="CI991" s="85"/>
      <c r="CJ991" s="85"/>
      <c r="CK991" s="85"/>
      <c r="CL991" s="85"/>
      <c r="CM991" s="85"/>
      <c r="CN991" s="85"/>
      <c r="CO991" s="85"/>
      <c r="CP991" s="85"/>
      <c r="CQ991" s="85"/>
      <c r="CR991" s="85"/>
      <c r="CS991" s="85"/>
      <c r="CT991" s="85"/>
      <c r="CU991" s="85"/>
      <c r="CV991" s="85"/>
      <c r="CW991" s="85"/>
      <c r="CX991" s="85"/>
      <c r="CY991" s="85"/>
      <c r="CZ991" s="85"/>
      <c r="DA991" s="85"/>
      <c r="DB991" s="85"/>
      <c r="DC991" s="85"/>
      <c r="DD991" s="85"/>
      <c r="DE991" s="85"/>
      <c r="DF991" s="85"/>
      <c r="DG991" s="85"/>
      <c r="DH991" s="85"/>
      <c r="DI991" s="85"/>
      <c r="DJ991" s="85"/>
      <c r="DK991" s="85"/>
      <c r="DL991" s="85"/>
      <c r="DM991" s="85"/>
      <c r="DN991" s="85"/>
      <c r="DO991" s="85"/>
      <c r="DP991" s="85"/>
      <c r="DQ991" s="85"/>
      <c r="DR991" s="85"/>
      <c r="DS991" s="85"/>
      <c r="DT991" s="85"/>
      <c r="DU991" s="85"/>
      <c r="DV991" s="85"/>
      <c r="DW991" s="85"/>
      <c r="DX991" s="85"/>
      <c r="DY991" s="85"/>
      <c r="DZ991" s="85"/>
      <c r="EA991" s="85"/>
      <c r="EB991" s="85"/>
      <c r="EC991" s="85"/>
      <c r="ED991" s="85"/>
      <c r="EE991" s="85"/>
      <c r="EF991" s="85"/>
      <c r="EG991" s="85"/>
      <c r="EH991" s="85"/>
      <c r="EI991" s="85"/>
      <c r="EJ991" s="85"/>
      <c r="EK991" s="85"/>
      <c r="EL991" s="85"/>
      <c r="EM991" s="85"/>
      <c r="EN991" s="85"/>
      <c r="EO991" s="85"/>
      <c r="EP991" s="85"/>
      <c r="EQ991" s="85"/>
      <c r="ER991" s="85"/>
      <c r="ES991" s="85"/>
      <c r="ET991" s="85"/>
      <c r="EU991" s="85"/>
      <c r="EV991" s="85"/>
      <c r="EW991" s="85"/>
      <c r="EX991" s="85"/>
      <c r="EY991" s="85"/>
      <c r="EZ991" s="85"/>
      <c r="FA991" s="85"/>
      <c r="FB991" s="85"/>
      <c r="FC991" s="85"/>
      <c r="FD991" s="85"/>
      <c r="FE991" s="85"/>
      <c r="FF991" s="85"/>
      <c r="FG991" s="85"/>
      <c r="FH991" s="85"/>
      <c r="FI991" s="85"/>
      <c r="FJ991" s="85"/>
      <c r="FK991" s="85"/>
      <c r="FL991" s="85"/>
      <c r="FM991" s="85"/>
      <c r="FN991" s="85"/>
      <c r="FO991" s="85"/>
      <c r="FP991" s="85"/>
      <c r="FQ991" s="85"/>
      <c r="FR991" s="85"/>
      <c r="FS991" s="85"/>
      <c r="FT991" s="85"/>
      <c r="FU991" s="85"/>
      <c r="FV991" s="85"/>
      <c r="FW991" s="85"/>
      <c r="FX991" s="85"/>
      <c r="FY991" s="85"/>
      <c r="FZ991" s="85"/>
      <c r="GA991" s="85"/>
      <c r="GB991" s="85"/>
      <c r="GC991" s="85"/>
      <c r="GD991" s="85"/>
      <c r="GE991" s="85"/>
      <c r="GF991" s="85"/>
      <c r="GG991" s="85"/>
      <c r="GH991" s="85"/>
      <c r="GI991" s="85"/>
      <c r="GJ991" s="85"/>
      <c r="GK991" s="85"/>
      <c r="GL991" s="85"/>
      <c r="GM991" s="85"/>
      <c r="GN991" s="85"/>
      <c r="GO991" s="85"/>
      <c r="GP991" s="85"/>
      <c r="GQ991" s="85"/>
      <c r="GR991" s="85"/>
      <c r="GS991" s="85"/>
      <c r="GT991" s="85"/>
      <c r="GU991" s="85"/>
      <c r="GV991" s="85"/>
      <c r="GW991" s="85"/>
      <c r="GX991" s="85"/>
      <c r="GY991" s="85"/>
      <c r="GZ991" s="85"/>
      <c r="HA991" s="85"/>
      <c r="HB991" s="85"/>
      <c r="HC991" s="85"/>
      <c r="HD991" s="85"/>
      <c r="HE991" s="85"/>
      <c r="HF991" s="85"/>
      <c r="HG991" s="85"/>
      <c r="HH991" s="85"/>
      <c r="HI991" s="85"/>
      <c r="HJ991" s="85"/>
      <c r="HK991" s="85"/>
      <c r="HL991" s="85"/>
      <c r="HM991" s="85"/>
      <c r="HN991" s="85"/>
      <c r="HO991" s="85"/>
      <c r="HP991" s="85"/>
      <c r="HQ991" s="85"/>
      <c r="HR991" s="85"/>
      <c r="HS991" s="85"/>
      <c r="HT991" s="85"/>
      <c r="HU991" s="85"/>
      <c r="HV991" s="85"/>
      <c r="HW991" s="85"/>
      <c r="HX991" s="85"/>
      <c r="HY991" s="85"/>
      <c r="HZ991" s="85"/>
      <c r="IA991" s="85"/>
      <c r="IB991" s="85"/>
      <c r="IC991" s="85"/>
      <c r="ID991" s="85"/>
      <c r="IE991" s="85"/>
      <c r="IF991" s="85"/>
      <c r="IG991" s="85"/>
      <c r="IH991" s="85"/>
      <c r="II991" s="85"/>
      <c r="IJ991" s="85"/>
      <c r="IK991" s="85"/>
      <c r="IL991" s="85"/>
      <c r="IM991" s="85"/>
      <c r="IN991" s="85"/>
      <c r="IO991" s="85"/>
      <c r="IP991" s="85"/>
      <c r="IQ991" s="85"/>
      <c r="IR991" s="85"/>
      <c r="IS991" s="85"/>
      <c r="IT991" s="85"/>
      <c r="IU991" s="85"/>
      <c r="IV991" s="85"/>
      <c r="IW991" s="85"/>
      <c r="IX991" s="85"/>
      <c r="IY991" s="85"/>
      <c r="IZ991" s="85"/>
      <c r="JA991" s="85"/>
      <c r="JB991" s="85"/>
      <c r="JC991" s="85"/>
      <c r="JD991" s="85"/>
      <c r="JE991" s="85"/>
      <c r="JF991" s="85"/>
      <c r="JG991" s="85"/>
      <c r="JH991" s="85"/>
      <c r="JI991" s="85"/>
      <c r="JJ991" s="85"/>
      <c r="JK991" s="85"/>
      <c r="JL991" s="85"/>
      <c r="JM991" s="85"/>
      <c r="JN991" s="85"/>
      <c r="JO991" s="85"/>
      <c r="JP991" s="85"/>
      <c r="JQ991" s="85"/>
      <c r="JR991" s="85"/>
      <c r="JS991" s="85"/>
      <c r="JT991" s="85"/>
      <c r="JU991" s="85"/>
      <c r="JV991" s="85"/>
      <c r="JW991" s="85"/>
      <c r="JX991" s="85"/>
      <c r="JY991" s="85"/>
      <c r="JZ991" s="85"/>
      <c r="KA991" s="85"/>
      <c r="KB991" s="85"/>
      <c r="KC991" s="85"/>
      <c r="KD991" s="85"/>
      <c r="KE991" s="85"/>
      <c r="KF991" s="85"/>
      <c r="KG991" s="85"/>
      <c r="KH991" s="85"/>
      <c r="KI991" s="85"/>
      <c r="KJ991" s="85"/>
      <c r="KK991" s="85"/>
      <c r="KL991" s="85"/>
      <c r="KM991" s="85"/>
      <c r="KN991" s="85"/>
      <c r="KO991" s="85"/>
      <c r="KP991" s="85"/>
      <c r="KQ991" s="85"/>
      <c r="KR991" s="85"/>
      <c r="KS991" s="85"/>
      <c r="KT991" s="85"/>
      <c r="KU991" s="85"/>
      <c r="KV991" s="85"/>
      <c r="KW991" s="85"/>
      <c r="KX991" s="85"/>
      <c r="KY991" s="85"/>
      <c r="KZ991" s="85"/>
      <c r="LA991" s="85"/>
      <c r="LB991" s="85"/>
      <c r="LC991" s="85"/>
      <c r="LD991" s="85"/>
      <c r="LE991" s="85"/>
      <c r="LF991" s="85"/>
      <c r="LG991" s="85"/>
      <c r="LH991" s="85"/>
      <c r="LI991" s="85"/>
      <c r="LJ991" s="85"/>
      <c r="LK991" s="85"/>
      <c r="LL991" s="85"/>
      <c r="LM991" s="85"/>
      <c r="LN991" s="85"/>
      <c r="LO991" s="85"/>
      <c r="LP991" s="85"/>
      <c r="LQ991" s="85"/>
      <c r="LR991" s="85"/>
      <c r="LS991" s="85"/>
      <c r="LT991" s="85"/>
      <c r="LU991" s="85"/>
      <c r="LV991" s="85"/>
      <c r="LW991" s="85"/>
      <c r="LX991" s="85"/>
      <c r="LY991" s="85"/>
      <c r="LZ991" s="85"/>
      <c r="MA991" s="85"/>
      <c r="MB991" s="85"/>
      <c r="MC991" s="85"/>
      <c r="MD991" s="85"/>
      <c r="ME991" s="85"/>
      <c r="MF991" s="85"/>
      <c r="MG991" s="85"/>
      <c r="MH991" s="85"/>
      <c r="MI991" s="85"/>
      <c r="MJ991" s="85"/>
      <c r="MK991" s="85"/>
      <c r="ML991" s="85"/>
      <c r="MM991" s="85"/>
      <c r="MN991" s="85"/>
      <c r="MO991" s="85"/>
      <c r="MP991" s="85"/>
      <c r="MQ991" s="85"/>
      <c r="MR991" s="85"/>
      <c r="MS991" s="85"/>
      <c r="MT991" s="85"/>
      <c r="MU991" s="85"/>
      <c r="MV991" s="85"/>
      <c r="MW991" s="85"/>
      <c r="MX991" s="85"/>
      <c r="MY991" s="85"/>
      <c r="MZ991" s="85"/>
      <c r="NA991" s="85"/>
      <c r="NB991" s="85"/>
      <c r="NC991" s="85"/>
      <c r="ND991" s="85"/>
      <c r="NE991" s="85"/>
      <c r="NF991" s="85"/>
      <c r="NG991" s="85"/>
      <c r="NH991" s="85"/>
      <c r="NI991" s="85"/>
      <c r="NJ991" s="85"/>
      <c r="NK991" s="85"/>
      <c r="NL991" s="85"/>
      <c r="NM991" s="85"/>
      <c r="NN991" s="85"/>
      <c r="NO991" s="85"/>
      <c r="NP991" s="85"/>
      <c r="NQ991" s="85"/>
      <c r="NR991" s="85"/>
      <c r="NS991" s="85"/>
      <c r="NT991" s="85"/>
      <c r="NU991" s="85"/>
      <c r="NV991" s="85"/>
      <c r="NW991" s="85"/>
      <c r="NX991" s="85"/>
      <c r="NY991" s="85"/>
      <c r="NZ991" s="85"/>
      <c r="OA991" s="85"/>
      <c r="OB991" s="85"/>
      <c r="OC991" s="85"/>
      <c r="OD991" s="85"/>
      <c r="OE991" s="85"/>
      <c r="OF991" s="85"/>
      <c r="OG991" s="85"/>
      <c r="OH991" s="85"/>
      <c r="OI991" s="85"/>
      <c r="OJ991" s="85"/>
      <c r="OK991" s="85"/>
      <c r="OL991" s="85"/>
      <c r="OM991" s="85"/>
      <c r="ON991" s="85"/>
      <c r="OO991" s="85"/>
      <c r="OP991" s="85"/>
      <c r="OQ991" s="85"/>
      <c r="OR991" s="85"/>
      <c r="OS991" s="85"/>
      <c r="OT991" s="85"/>
      <c r="OU991" s="85"/>
      <c r="OV991" s="85"/>
      <c r="OW991" s="85"/>
      <c r="OX991" s="85"/>
      <c r="OY991" s="85"/>
      <c r="OZ991" s="85"/>
      <c r="PA991" s="85"/>
      <c r="PB991" s="85"/>
      <c r="PC991" s="85"/>
      <c r="PD991" s="85"/>
      <c r="PE991" s="85"/>
      <c r="PF991" s="85"/>
      <c r="PG991" s="85"/>
      <c r="PH991" s="85"/>
      <c r="PI991" s="85"/>
      <c r="PJ991" s="85"/>
      <c r="PK991" s="85"/>
      <c r="PL991" s="85"/>
      <c r="PM991" s="85"/>
      <c r="PN991" s="85"/>
      <c r="PO991" s="85"/>
      <c r="PP991" s="85"/>
      <c r="PQ991" s="85"/>
      <c r="PR991" s="85"/>
      <c r="PS991" s="85"/>
      <c r="PT991" s="85"/>
      <c r="PU991" s="85"/>
      <c r="PV991" s="85"/>
      <c r="PW991" s="85"/>
      <c r="PX991" s="85"/>
      <c r="PY991" s="85"/>
      <c r="PZ991" s="85"/>
      <c r="QA991" s="85"/>
      <c r="QB991" s="85"/>
      <c r="QC991" s="85"/>
      <c r="QD991" s="85"/>
      <c r="QE991" s="85"/>
      <c r="QF991" s="85"/>
      <c r="QG991" s="85"/>
      <c r="QH991" s="85"/>
      <c r="QI991" s="85"/>
      <c r="QJ991" s="85"/>
      <c r="QK991" s="85"/>
      <c r="QL991" s="85"/>
      <c r="QM991" s="85"/>
      <c r="QN991" s="85"/>
      <c r="QO991" s="85"/>
      <c r="QP991" s="85"/>
      <c r="QQ991" s="85"/>
      <c r="QR991" s="85"/>
      <c r="QS991" s="85"/>
      <c r="QT991" s="85"/>
      <c r="QU991" s="85"/>
      <c r="QV991" s="85"/>
      <c r="QW991" s="85"/>
      <c r="QX991" s="85"/>
      <c r="QY991" s="85"/>
      <c r="QZ991" s="85"/>
      <c r="RA991" s="85"/>
      <c r="RB991" s="85"/>
      <c r="RC991" s="85"/>
      <c r="RD991" s="85"/>
      <c r="RE991" s="85"/>
      <c r="RF991" s="85"/>
      <c r="RG991" s="85"/>
      <c r="RH991" s="85"/>
      <c r="RI991" s="85"/>
      <c r="RJ991" s="85"/>
      <c r="RK991" s="85"/>
      <c r="RL991" s="85"/>
      <c r="RM991" s="85"/>
      <c r="RN991" s="85"/>
      <c r="RO991" s="85"/>
      <c r="RP991" s="85"/>
      <c r="RQ991" s="85"/>
      <c r="RR991" s="85"/>
      <c r="RS991" s="85"/>
      <c r="RT991" s="85"/>
      <c r="RU991" s="85"/>
      <c r="RV991" s="85"/>
      <c r="RW991" s="85"/>
      <c r="RX991" s="85"/>
      <c r="RY991" s="85"/>
      <c r="RZ991" s="85"/>
      <c r="SA991" s="85"/>
      <c r="SB991" s="85"/>
      <c r="SC991" s="85"/>
      <c r="SD991" s="85"/>
      <c r="SE991" s="85"/>
      <c r="SF991" s="85"/>
      <c r="SG991" s="85"/>
      <c r="SH991" s="85"/>
      <c r="SI991" s="85"/>
      <c r="SJ991" s="85"/>
      <c r="SK991" s="85"/>
      <c r="SL991" s="85"/>
      <c r="SM991" s="85"/>
      <c r="SN991" s="85"/>
      <c r="SO991" s="85"/>
      <c r="SP991" s="85"/>
      <c r="SQ991" s="85"/>
      <c r="SR991" s="85"/>
      <c r="SS991" s="85"/>
      <c r="ST991" s="85"/>
      <c r="SU991" s="85"/>
      <c r="SV991" s="85"/>
      <c r="SW991" s="85"/>
      <c r="SX991" s="85"/>
      <c r="SY991" s="85"/>
      <c r="SZ991" s="85"/>
      <c r="TA991" s="85"/>
      <c r="TB991" s="85"/>
      <c r="TC991" s="85"/>
      <c r="TD991" s="85"/>
      <c r="TE991" s="85"/>
      <c r="TF991" s="85"/>
      <c r="TG991" s="85"/>
      <c r="TH991" s="85"/>
      <c r="TI991" s="85"/>
      <c r="TJ991" s="85"/>
      <c r="TK991" s="85"/>
      <c r="TL991" s="85"/>
    </row>
    <row r="992" spans="1:532" s="172" customFormat="1" ht="12.75" customHeight="1">
      <c r="A992" s="169" t="s">
        <v>361</v>
      </c>
      <c r="B992" s="237"/>
      <c r="C992" s="170"/>
      <c r="D992" s="170">
        <f>+D969+D959+D953+D937+D931+D922+D915+D912+D909+D906+D903+D895+D892+D888+D885+D881+D867+D857+D854+D850+D847+D844+D840+D837+D834+D831+D825+D986+D828</f>
        <v>19292984149.503468</v>
      </c>
      <c r="E992" s="170">
        <f>+E969+E959+E953+E937+E931+E922+E915+E912+E909+E906+E903+E895+E892+E888+E885+E881+E867+E857+E854+E850+E847+E844+E840+E837+E834+E831+E825+E986+E828+E900</f>
        <v>19912190480.820007</v>
      </c>
      <c r="F992" s="236">
        <f>+[4]REPORTEI!$M$147</f>
        <v>20345274853.709995</v>
      </c>
      <c r="G992" s="171"/>
      <c r="H992" s="120"/>
      <c r="I992" s="170">
        <f>+I969+I828+I959+I953+I937+I931+I922+I915+I912+I909+I906+I903+I895+I892+I888+I885+I881+I867+I857+I854+I850+I847+I844+I840+I837+I834+I831+I825+I986+I900</f>
        <v>9497052640.0999985</v>
      </c>
      <c r="J992" s="170">
        <f t="shared" ref="J992:M992" si="58">+J969+J828+J959+J953+J937+J931+J922+J915+J912+J909+J906+J903+J895+J892+J888+J885+J881+J867+J857+J854+J850+J847+J844+J840+J837+J834+J831+J825+J986+J900</f>
        <v>6320299566.4300003</v>
      </c>
      <c r="K992" s="170">
        <f t="shared" si="58"/>
        <v>3176753073.6699996</v>
      </c>
      <c r="L992" s="170">
        <f t="shared" si="58"/>
        <v>0</v>
      </c>
      <c r="M992" s="170">
        <f t="shared" si="58"/>
        <v>0</v>
      </c>
      <c r="N992" s="170">
        <f>+N969+N828+N959+N953+N937+N931+N922+N915+N912+N909+N906+N903+N895+N892+N888+N885+N881+N867+N857+N854+N850+N847+N844+N840+N837+N834+N831+N825+N986+N900</f>
        <v>10415137840.716999</v>
      </c>
      <c r="O992" s="85"/>
      <c r="P992" s="85"/>
      <c r="Q992" s="85"/>
      <c r="R992" s="85"/>
      <c r="S992" s="85"/>
      <c r="T992" s="85"/>
      <c r="U992" s="85"/>
      <c r="V992" s="85"/>
      <c r="W992" s="85"/>
      <c r="X992" s="85"/>
      <c r="Y992" s="85"/>
      <c r="Z992" s="85"/>
      <c r="AA992" s="85"/>
      <c r="AB992" s="85"/>
      <c r="AC992" s="85"/>
      <c r="AD992" s="85"/>
      <c r="AE992" s="85"/>
      <c r="AF992" s="85"/>
      <c r="AG992" s="85"/>
      <c r="AH992" s="85"/>
      <c r="AI992" s="85"/>
      <c r="AJ992" s="85"/>
      <c r="AK992" s="85"/>
      <c r="AL992" s="85"/>
      <c r="AM992" s="85"/>
      <c r="AN992" s="85"/>
      <c r="AO992" s="85"/>
      <c r="AP992" s="85"/>
      <c r="AQ992" s="85"/>
      <c r="AR992" s="85"/>
      <c r="AS992" s="85"/>
      <c r="AT992" s="85"/>
      <c r="AU992" s="85"/>
      <c r="AV992" s="85"/>
      <c r="AW992" s="85"/>
      <c r="AX992" s="85"/>
      <c r="AY992" s="85"/>
      <c r="AZ992" s="85"/>
      <c r="BA992" s="85"/>
      <c r="BB992" s="85"/>
      <c r="BC992" s="85"/>
      <c r="BD992" s="85"/>
      <c r="BE992" s="85"/>
      <c r="BF992" s="85"/>
      <c r="BG992" s="85"/>
      <c r="BH992" s="85"/>
      <c r="BI992" s="85"/>
      <c r="BJ992" s="85"/>
      <c r="BK992" s="85"/>
      <c r="BL992" s="85"/>
      <c r="BM992" s="85"/>
      <c r="BN992" s="85"/>
      <c r="BO992" s="85"/>
      <c r="BP992" s="85"/>
      <c r="BQ992" s="85"/>
      <c r="BR992" s="85"/>
      <c r="BS992" s="85"/>
      <c r="BT992" s="85"/>
      <c r="BU992" s="85"/>
      <c r="BV992" s="85"/>
      <c r="BW992" s="85"/>
      <c r="BX992" s="85"/>
      <c r="BY992" s="85"/>
      <c r="BZ992" s="85"/>
      <c r="CA992" s="85"/>
      <c r="CB992" s="85"/>
      <c r="CC992" s="85"/>
      <c r="CD992" s="85"/>
      <c r="CE992" s="85"/>
      <c r="CF992" s="85"/>
      <c r="CG992" s="85"/>
      <c r="CH992" s="85"/>
      <c r="CI992" s="85"/>
      <c r="CJ992" s="85"/>
      <c r="CK992" s="85"/>
      <c r="CL992" s="85"/>
      <c r="CM992" s="85"/>
      <c r="CN992" s="85"/>
      <c r="CO992" s="85"/>
      <c r="CP992" s="85"/>
      <c r="CQ992" s="85"/>
      <c r="CR992" s="85"/>
      <c r="CS992" s="85"/>
      <c r="CT992" s="85"/>
      <c r="CU992" s="85"/>
      <c r="CV992" s="85"/>
      <c r="CW992" s="85"/>
      <c r="CX992" s="85"/>
      <c r="CY992" s="85"/>
      <c r="CZ992" s="85"/>
      <c r="DA992" s="85"/>
      <c r="DB992" s="85"/>
      <c r="DC992" s="85"/>
      <c r="DD992" s="85"/>
      <c r="DE992" s="85"/>
      <c r="DF992" s="85"/>
      <c r="DG992" s="85"/>
      <c r="DH992" s="85"/>
      <c r="DI992" s="85"/>
      <c r="DJ992" s="85"/>
      <c r="DK992" s="85"/>
      <c r="DL992" s="85"/>
      <c r="DM992" s="85"/>
      <c r="DN992" s="85"/>
      <c r="DO992" s="85"/>
      <c r="DP992" s="85"/>
      <c r="DQ992" s="85"/>
      <c r="DR992" s="85"/>
      <c r="DS992" s="85"/>
      <c r="DT992" s="85"/>
      <c r="DU992" s="85"/>
      <c r="DV992" s="85"/>
      <c r="DW992" s="85"/>
      <c r="DX992" s="85"/>
      <c r="DY992" s="85"/>
      <c r="DZ992" s="85"/>
      <c r="EA992" s="85"/>
      <c r="EB992" s="85"/>
      <c r="EC992" s="85"/>
      <c r="ED992" s="85"/>
      <c r="EE992" s="85"/>
      <c r="EF992" s="85"/>
      <c r="EG992" s="85"/>
      <c r="EH992" s="85"/>
      <c r="EI992" s="85"/>
      <c r="EJ992" s="85"/>
      <c r="EK992" s="85"/>
      <c r="EL992" s="85"/>
      <c r="EM992" s="85"/>
      <c r="EN992" s="85"/>
      <c r="EO992" s="85"/>
      <c r="EP992" s="85"/>
      <c r="EQ992" s="85"/>
      <c r="ER992" s="85"/>
      <c r="ES992" s="85"/>
      <c r="ET992" s="85"/>
      <c r="EU992" s="85"/>
      <c r="EV992" s="85"/>
      <c r="EW992" s="85"/>
      <c r="EX992" s="85"/>
      <c r="EY992" s="85"/>
      <c r="EZ992" s="85"/>
      <c r="FA992" s="85"/>
      <c r="FB992" s="85"/>
      <c r="FC992" s="85"/>
      <c r="FD992" s="85"/>
      <c r="FE992" s="85"/>
      <c r="FF992" s="85"/>
      <c r="FG992" s="85"/>
      <c r="FH992" s="85"/>
      <c r="FI992" s="85"/>
      <c r="FJ992" s="85"/>
      <c r="FK992" s="85"/>
      <c r="FL992" s="85"/>
      <c r="FM992" s="85"/>
      <c r="FN992" s="85"/>
      <c r="FO992" s="85"/>
      <c r="FP992" s="85"/>
      <c r="FQ992" s="85"/>
      <c r="FR992" s="85"/>
      <c r="FS992" s="85"/>
      <c r="FT992" s="85"/>
      <c r="FU992" s="85"/>
      <c r="FV992" s="85"/>
      <c r="FW992" s="85"/>
      <c r="FX992" s="85"/>
      <c r="FY992" s="85"/>
      <c r="FZ992" s="85"/>
      <c r="GA992" s="85"/>
      <c r="GB992" s="85"/>
      <c r="GC992" s="85"/>
      <c r="GD992" s="85"/>
      <c r="GE992" s="85"/>
      <c r="GF992" s="85"/>
      <c r="GG992" s="85"/>
      <c r="GH992" s="85"/>
      <c r="GI992" s="85"/>
      <c r="GJ992" s="85"/>
      <c r="GK992" s="85"/>
      <c r="GL992" s="85"/>
      <c r="GM992" s="85"/>
      <c r="GN992" s="85"/>
      <c r="GO992" s="85"/>
      <c r="GP992" s="85"/>
      <c r="GQ992" s="85"/>
      <c r="GR992" s="85"/>
      <c r="GS992" s="85"/>
      <c r="GT992" s="85"/>
      <c r="GU992" s="85"/>
      <c r="GV992" s="85"/>
      <c r="GW992" s="85"/>
      <c r="GX992" s="85"/>
      <c r="GY992" s="85"/>
      <c r="GZ992" s="85"/>
      <c r="HA992" s="85"/>
      <c r="HB992" s="85"/>
      <c r="HC992" s="85"/>
      <c r="HD992" s="85"/>
      <c r="HE992" s="85"/>
      <c r="HF992" s="85"/>
      <c r="HG992" s="85"/>
      <c r="HH992" s="85"/>
      <c r="HI992" s="85"/>
      <c r="HJ992" s="85"/>
      <c r="HK992" s="85"/>
      <c r="HL992" s="85"/>
      <c r="HM992" s="85"/>
      <c r="HN992" s="85"/>
      <c r="HO992" s="85"/>
      <c r="HP992" s="85"/>
      <c r="HQ992" s="85"/>
      <c r="HR992" s="85"/>
      <c r="HS992" s="85"/>
      <c r="HT992" s="85"/>
      <c r="HU992" s="85"/>
      <c r="HV992" s="85"/>
      <c r="HW992" s="85"/>
      <c r="HX992" s="85"/>
      <c r="HY992" s="85"/>
      <c r="HZ992" s="85"/>
      <c r="IA992" s="85"/>
      <c r="IB992" s="85"/>
      <c r="IC992" s="85"/>
      <c r="ID992" s="85"/>
      <c r="IE992" s="85"/>
      <c r="IF992" s="85"/>
      <c r="IG992" s="85"/>
      <c r="IH992" s="85"/>
      <c r="II992" s="85"/>
      <c r="IJ992" s="85"/>
      <c r="IK992" s="85"/>
      <c r="IL992" s="85"/>
      <c r="IM992" s="85"/>
      <c r="IN992" s="85"/>
      <c r="IO992" s="85"/>
      <c r="IP992" s="85"/>
      <c r="IQ992" s="85"/>
      <c r="IR992" s="85"/>
      <c r="IS992" s="85"/>
      <c r="IT992" s="85"/>
      <c r="IU992" s="85"/>
      <c r="IV992" s="85"/>
      <c r="IW992" s="85"/>
      <c r="IX992" s="85"/>
      <c r="IY992" s="85"/>
      <c r="IZ992" s="85"/>
      <c r="JA992" s="85"/>
      <c r="JB992" s="85"/>
      <c r="JC992" s="85"/>
      <c r="JD992" s="85"/>
      <c r="JE992" s="85"/>
      <c r="JF992" s="85"/>
      <c r="JG992" s="85"/>
      <c r="JH992" s="85"/>
      <c r="JI992" s="85"/>
      <c r="JJ992" s="85"/>
      <c r="JK992" s="85"/>
      <c r="JL992" s="85"/>
      <c r="JM992" s="85"/>
      <c r="JN992" s="85"/>
      <c r="JO992" s="85"/>
      <c r="JP992" s="85"/>
      <c r="JQ992" s="85"/>
      <c r="JR992" s="85"/>
      <c r="JS992" s="85"/>
      <c r="JT992" s="85"/>
      <c r="JU992" s="85"/>
      <c r="JV992" s="85"/>
      <c r="JW992" s="85"/>
      <c r="JX992" s="85"/>
      <c r="JY992" s="85"/>
      <c r="JZ992" s="85"/>
      <c r="KA992" s="85"/>
      <c r="KB992" s="85"/>
      <c r="KC992" s="85"/>
      <c r="KD992" s="85"/>
      <c r="KE992" s="85"/>
      <c r="KF992" s="85"/>
      <c r="KG992" s="85"/>
      <c r="KH992" s="85"/>
      <c r="KI992" s="85"/>
      <c r="KJ992" s="85"/>
      <c r="KK992" s="85"/>
      <c r="KL992" s="85"/>
      <c r="KM992" s="85"/>
      <c r="KN992" s="85"/>
      <c r="KO992" s="85"/>
      <c r="KP992" s="85"/>
      <c r="KQ992" s="85"/>
      <c r="KR992" s="85"/>
      <c r="KS992" s="85"/>
      <c r="KT992" s="85"/>
      <c r="KU992" s="85"/>
      <c r="KV992" s="85"/>
      <c r="KW992" s="85"/>
      <c r="KX992" s="85"/>
      <c r="KY992" s="85"/>
      <c r="KZ992" s="85"/>
      <c r="LA992" s="85"/>
      <c r="LB992" s="85"/>
      <c r="LC992" s="85"/>
      <c r="LD992" s="85"/>
      <c r="LE992" s="85"/>
      <c r="LF992" s="85"/>
      <c r="LG992" s="85"/>
      <c r="LH992" s="85"/>
      <c r="LI992" s="85"/>
      <c r="LJ992" s="85"/>
      <c r="LK992" s="85"/>
      <c r="LL992" s="85"/>
      <c r="LM992" s="85"/>
      <c r="LN992" s="85"/>
      <c r="LO992" s="85"/>
      <c r="LP992" s="85"/>
      <c r="LQ992" s="85"/>
      <c r="LR992" s="85"/>
      <c r="LS992" s="85"/>
      <c r="LT992" s="85"/>
      <c r="LU992" s="85"/>
      <c r="LV992" s="85"/>
      <c r="LW992" s="85"/>
      <c r="LX992" s="85"/>
      <c r="LY992" s="85"/>
      <c r="LZ992" s="85"/>
      <c r="MA992" s="85"/>
      <c r="MB992" s="85"/>
      <c r="MC992" s="85"/>
      <c r="MD992" s="85"/>
      <c r="ME992" s="85"/>
      <c r="MF992" s="85"/>
      <c r="MG992" s="85"/>
      <c r="MH992" s="85"/>
      <c r="MI992" s="85"/>
      <c r="MJ992" s="85"/>
      <c r="MK992" s="85"/>
      <c r="ML992" s="85"/>
      <c r="MM992" s="85"/>
      <c r="MN992" s="85"/>
      <c r="MO992" s="85"/>
      <c r="MP992" s="85"/>
      <c r="MQ992" s="85"/>
      <c r="MR992" s="85"/>
      <c r="MS992" s="85"/>
      <c r="MT992" s="85"/>
      <c r="MU992" s="85"/>
      <c r="MV992" s="85"/>
      <c r="MW992" s="85"/>
      <c r="MX992" s="85"/>
      <c r="MY992" s="85"/>
      <c r="MZ992" s="85"/>
      <c r="NA992" s="85"/>
      <c r="NB992" s="85"/>
      <c r="NC992" s="85"/>
      <c r="ND992" s="85"/>
      <c r="NE992" s="85"/>
      <c r="NF992" s="85"/>
      <c r="NG992" s="85"/>
      <c r="NH992" s="85"/>
      <c r="NI992" s="85"/>
      <c r="NJ992" s="85"/>
      <c r="NK992" s="85"/>
      <c r="NL992" s="85"/>
      <c r="NM992" s="85"/>
      <c r="NN992" s="85"/>
      <c r="NO992" s="85"/>
      <c r="NP992" s="85"/>
      <c r="NQ992" s="85"/>
      <c r="NR992" s="85"/>
      <c r="NS992" s="85"/>
      <c r="NT992" s="85"/>
      <c r="NU992" s="85"/>
      <c r="NV992" s="85"/>
      <c r="NW992" s="85"/>
      <c r="NX992" s="85"/>
      <c r="NY992" s="85"/>
      <c r="NZ992" s="85"/>
      <c r="OA992" s="85"/>
      <c r="OB992" s="85"/>
      <c r="OC992" s="85"/>
      <c r="OD992" s="85"/>
      <c r="OE992" s="85"/>
      <c r="OF992" s="85"/>
      <c r="OG992" s="85"/>
      <c r="OH992" s="85"/>
      <c r="OI992" s="85"/>
      <c r="OJ992" s="85"/>
      <c r="OK992" s="85"/>
      <c r="OL992" s="85"/>
      <c r="OM992" s="85"/>
      <c r="ON992" s="85"/>
      <c r="OO992" s="85"/>
      <c r="OP992" s="85"/>
      <c r="OQ992" s="85"/>
      <c r="OR992" s="85"/>
      <c r="OS992" s="85"/>
      <c r="OT992" s="85"/>
      <c r="OU992" s="85"/>
      <c r="OV992" s="85"/>
      <c r="OW992" s="85"/>
      <c r="OX992" s="85"/>
      <c r="OY992" s="85"/>
      <c r="OZ992" s="85"/>
      <c r="PA992" s="85"/>
      <c r="PB992" s="85"/>
      <c r="PC992" s="85"/>
      <c r="PD992" s="85"/>
      <c r="PE992" s="85"/>
      <c r="PF992" s="85"/>
      <c r="PG992" s="85"/>
      <c r="PH992" s="85"/>
      <c r="PI992" s="85"/>
      <c r="PJ992" s="85"/>
      <c r="PK992" s="85"/>
      <c r="PL992" s="85"/>
      <c r="PM992" s="85"/>
      <c r="PN992" s="85"/>
      <c r="PO992" s="85"/>
      <c r="PP992" s="85"/>
      <c r="PQ992" s="85"/>
      <c r="PR992" s="85"/>
      <c r="PS992" s="85"/>
      <c r="PT992" s="85"/>
      <c r="PU992" s="85"/>
      <c r="PV992" s="85"/>
      <c r="PW992" s="85"/>
      <c r="PX992" s="85"/>
      <c r="PY992" s="85"/>
      <c r="PZ992" s="85"/>
      <c r="QA992" s="85"/>
      <c r="QB992" s="85"/>
      <c r="QC992" s="85"/>
      <c r="QD992" s="85"/>
      <c r="QE992" s="85"/>
      <c r="QF992" s="85"/>
      <c r="QG992" s="85"/>
      <c r="QH992" s="85"/>
      <c r="QI992" s="85"/>
      <c r="QJ992" s="85"/>
      <c r="QK992" s="85"/>
      <c r="QL992" s="85"/>
      <c r="QM992" s="85"/>
      <c r="QN992" s="85"/>
      <c r="QO992" s="85"/>
      <c r="QP992" s="85"/>
      <c r="QQ992" s="85"/>
      <c r="QR992" s="85"/>
      <c r="QS992" s="85"/>
      <c r="QT992" s="85"/>
      <c r="QU992" s="85"/>
      <c r="QV992" s="85"/>
      <c r="QW992" s="85"/>
      <c r="QX992" s="85"/>
      <c r="QY992" s="85"/>
      <c r="QZ992" s="85"/>
      <c r="RA992" s="85"/>
      <c r="RB992" s="85"/>
      <c r="RC992" s="85"/>
      <c r="RD992" s="85"/>
      <c r="RE992" s="85"/>
      <c r="RF992" s="85"/>
      <c r="RG992" s="85"/>
      <c r="RH992" s="85"/>
      <c r="RI992" s="85"/>
      <c r="RJ992" s="85"/>
      <c r="RK992" s="85"/>
      <c r="RL992" s="85"/>
      <c r="RM992" s="85"/>
      <c r="RN992" s="85"/>
      <c r="RO992" s="85"/>
      <c r="RP992" s="85"/>
      <c r="RQ992" s="85"/>
      <c r="RR992" s="85"/>
      <c r="RS992" s="85"/>
      <c r="RT992" s="85"/>
      <c r="RU992" s="85"/>
      <c r="RV992" s="85"/>
      <c r="RW992" s="85"/>
      <c r="RX992" s="85"/>
      <c r="RY992" s="85"/>
      <c r="RZ992" s="85"/>
      <c r="SA992" s="85"/>
      <c r="SB992" s="85"/>
      <c r="SC992" s="85"/>
      <c r="SD992" s="85"/>
      <c r="SE992" s="85"/>
      <c r="SF992" s="85"/>
      <c r="SG992" s="85"/>
      <c r="SH992" s="85"/>
      <c r="SI992" s="85"/>
      <c r="SJ992" s="85"/>
      <c r="SK992" s="85"/>
      <c r="SL992" s="85"/>
      <c r="SM992" s="85"/>
      <c r="SN992" s="85"/>
      <c r="SO992" s="85"/>
      <c r="SP992" s="85"/>
      <c r="SQ992" s="85"/>
      <c r="SR992" s="85"/>
      <c r="SS992" s="85"/>
      <c r="ST992" s="85"/>
      <c r="SU992" s="85"/>
      <c r="SV992" s="85"/>
      <c r="SW992" s="85"/>
      <c r="SX992" s="85"/>
      <c r="SY992" s="85"/>
      <c r="SZ992" s="85"/>
      <c r="TA992" s="85"/>
      <c r="TB992" s="85"/>
      <c r="TC992" s="85"/>
      <c r="TD992" s="85"/>
      <c r="TE992" s="85"/>
      <c r="TF992" s="85"/>
      <c r="TG992" s="85"/>
      <c r="TH992" s="85"/>
      <c r="TI992" s="85"/>
      <c r="TJ992" s="85"/>
      <c r="TK992" s="85"/>
      <c r="TL992" s="85"/>
    </row>
    <row r="993" spans="1:532" s="85" customFormat="1" ht="12.75" customHeight="1">
      <c r="A993" s="122" t="s">
        <v>362</v>
      </c>
      <c r="B993" s="124"/>
      <c r="C993" s="124"/>
      <c r="D993" s="124">
        <f>+D991+D992</f>
        <v>45579275037.938004</v>
      </c>
      <c r="E993" s="124">
        <f>+E991+E992</f>
        <v>46456177620.78157</v>
      </c>
      <c r="F993" s="235">
        <f>+F992-E992</f>
        <v>433084372.88998795</v>
      </c>
      <c r="G993" s="138"/>
      <c r="H993" s="98"/>
      <c r="I993" s="124">
        <f>+I991+I992</f>
        <v>19962119680.529999</v>
      </c>
      <c r="J993" s="124">
        <f t="shared" ref="J993:K993" si="59">+J991+J992</f>
        <v>7746276056.5</v>
      </c>
      <c r="K993" s="124">
        <f t="shared" si="59"/>
        <v>12215843624.030001</v>
      </c>
      <c r="L993" s="124"/>
      <c r="M993" s="124"/>
      <c r="N993" s="124">
        <f>+N991+N992</f>
        <v>26494057940.257019</v>
      </c>
    </row>
    <row r="994" spans="1:532" s="85" customFormat="1" ht="12.75" customHeight="1" thickBot="1">
      <c r="A994" s="181"/>
      <c r="B994" s="244"/>
      <c r="C994" s="182"/>
      <c r="D994" s="124"/>
      <c r="E994" s="124"/>
      <c r="G994" s="183"/>
      <c r="H994" s="184"/>
      <c r="I994" s="185"/>
      <c r="J994" s="185"/>
      <c r="K994" s="185"/>
      <c r="L994" s="185"/>
      <c r="M994" s="185"/>
      <c r="N994" s="185"/>
    </row>
    <row r="995" spans="1:532" s="135" customFormat="1" ht="12.75" customHeight="1">
      <c r="A995" s="111" t="s">
        <v>519</v>
      </c>
      <c r="B995" s="243"/>
      <c r="C995" s="112"/>
      <c r="D995" s="112"/>
      <c r="E995" s="112"/>
      <c r="F995" s="242"/>
      <c r="G995" s="113"/>
      <c r="H995" s="114"/>
      <c r="I995" s="115"/>
      <c r="J995" s="115"/>
      <c r="K995" s="115"/>
      <c r="L995" s="115"/>
      <c r="M995" s="115"/>
      <c r="N995" s="116"/>
      <c r="O995" s="85"/>
      <c r="P995" s="85"/>
      <c r="Q995" s="85"/>
      <c r="R995" s="85"/>
      <c r="S995" s="85"/>
      <c r="T995" s="85"/>
      <c r="U995" s="85"/>
      <c r="V995" s="85"/>
      <c r="W995" s="85"/>
      <c r="X995" s="85"/>
      <c r="Y995" s="85"/>
      <c r="Z995" s="85"/>
      <c r="AA995" s="85"/>
      <c r="AB995" s="85"/>
      <c r="AC995" s="85"/>
      <c r="AD995" s="85"/>
      <c r="AE995" s="85"/>
      <c r="AF995" s="85"/>
      <c r="AG995" s="85"/>
      <c r="AH995" s="85"/>
      <c r="AI995" s="85"/>
      <c r="AJ995" s="85"/>
      <c r="AK995" s="85"/>
      <c r="AL995" s="85"/>
      <c r="AM995" s="85"/>
      <c r="AN995" s="85"/>
      <c r="AO995" s="85"/>
      <c r="AP995" s="85"/>
      <c r="AQ995" s="85"/>
      <c r="AR995" s="85"/>
      <c r="AS995" s="85"/>
      <c r="AT995" s="85"/>
      <c r="AU995" s="85"/>
      <c r="AV995" s="85"/>
      <c r="AW995" s="85"/>
      <c r="AX995" s="85"/>
      <c r="AY995" s="85"/>
      <c r="AZ995" s="85"/>
      <c r="BA995" s="85"/>
      <c r="BB995" s="85"/>
      <c r="BC995" s="85"/>
      <c r="BD995" s="85"/>
      <c r="BE995" s="85"/>
      <c r="BF995" s="85"/>
      <c r="BG995" s="85"/>
      <c r="BH995" s="85"/>
      <c r="BI995" s="85"/>
      <c r="BJ995" s="85"/>
      <c r="BK995" s="85"/>
      <c r="BL995" s="85"/>
      <c r="BM995" s="85"/>
      <c r="BN995" s="85"/>
      <c r="BO995" s="85"/>
      <c r="BP995" s="85"/>
      <c r="BQ995" s="85"/>
      <c r="BR995" s="85"/>
      <c r="BS995" s="85"/>
      <c r="BT995" s="85"/>
      <c r="BU995" s="85"/>
      <c r="BV995" s="85"/>
      <c r="BW995" s="85"/>
      <c r="BX995" s="85"/>
      <c r="BY995" s="85"/>
      <c r="BZ995" s="85"/>
      <c r="CA995" s="85"/>
      <c r="CB995" s="85"/>
      <c r="CC995" s="85"/>
      <c r="CD995" s="85"/>
      <c r="CE995" s="85"/>
      <c r="CF995" s="85"/>
      <c r="CG995" s="85"/>
      <c r="CH995" s="85"/>
      <c r="CI995" s="85"/>
      <c r="CJ995" s="85"/>
      <c r="CK995" s="85"/>
      <c r="CL995" s="85"/>
      <c r="CM995" s="85"/>
      <c r="CN995" s="85"/>
      <c r="CO995" s="85"/>
      <c r="CP995" s="85"/>
      <c r="CQ995" s="85"/>
      <c r="CR995" s="85"/>
      <c r="CS995" s="85"/>
      <c r="CT995" s="85"/>
      <c r="CU995" s="85"/>
      <c r="CV995" s="85"/>
      <c r="CW995" s="85"/>
      <c r="CX995" s="85"/>
      <c r="CY995" s="85"/>
      <c r="CZ995" s="85"/>
      <c r="DA995" s="85"/>
      <c r="DB995" s="85"/>
      <c r="DC995" s="85"/>
      <c r="DD995" s="85"/>
      <c r="DE995" s="85"/>
      <c r="DF995" s="85"/>
      <c r="DG995" s="85"/>
      <c r="DH995" s="85"/>
      <c r="DI995" s="85"/>
      <c r="DJ995" s="85"/>
      <c r="DK995" s="85"/>
      <c r="DL995" s="85"/>
      <c r="DM995" s="85"/>
      <c r="DN995" s="85"/>
      <c r="DO995" s="85"/>
      <c r="DP995" s="85"/>
      <c r="DQ995" s="85"/>
      <c r="DR995" s="85"/>
      <c r="DS995" s="85"/>
      <c r="DT995" s="85"/>
      <c r="DU995" s="85"/>
      <c r="DV995" s="85"/>
      <c r="DW995" s="85"/>
      <c r="DX995" s="85"/>
      <c r="DY995" s="85"/>
      <c r="DZ995" s="85"/>
      <c r="EA995" s="85"/>
      <c r="EB995" s="85"/>
      <c r="EC995" s="85"/>
      <c r="ED995" s="85"/>
      <c r="EE995" s="85"/>
      <c r="EF995" s="85"/>
      <c r="EG995" s="85"/>
      <c r="EH995" s="85"/>
      <c r="EI995" s="85"/>
      <c r="EJ995" s="85"/>
      <c r="EK995" s="85"/>
      <c r="EL995" s="85"/>
      <c r="EM995" s="85"/>
      <c r="EN995" s="85"/>
      <c r="EO995" s="85"/>
      <c r="EP995" s="85"/>
      <c r="EQ995" s="85"/>
      <c r="ER995" s="85"/>
      <c r="ES995" s="85"/>
      <c r="ET995" s="85"/>
      <c r="EU995" s="85"/>
      <c r="EV995" s="85"/>
      <c r="EW995" s="85"/>
      <c r="EX995" s="85"/>
      <c r="EY995" s="85"/>
      <c r="EZ995" s="85"/>
      <c r="FA995" s="85"/>
      <c r="FB995" s="85"/>
      <c r="FC995" s="85"/>
      <c r="FD995" s="85"/>
      <c r="FE995" s="85"/>
      <c r="FF995" s="85"/>
      <c r="FG995" s="85"/>
      <c r="FH995" s="85"/>
      <c r="FI995" s="85"/>
      <c r="FJ995" s="85"/>
      <c r="FK995" s="85"/>
      <c r="FL995" s="85"/>
      <c r="FM995" s="85"/>
      <c r="FN995" s="85"/>
      <c r="FO995" s="85"/>
      <c r="FP995" s="85"/>
      <c r="FQ995" s="85"/>
      <c r="FR995" s="85"/>
      <c r="FS995" s="85"/>
      <c r="FT995" s="85"/>
      <c r="FU995" s="85"/>
      <c r="FV995" s="85"/>
      <c r="FW995" s="85"/>
      <c r="FX995" s="85"/>
      <c r="FY995" s="85"/>
      <c r="FZ995" s="85"/>
      <c r="GA995" s="85"/>
      <c r="GB995" s="85"/>
      <c r="GC995" s="85"/>
      <c r="GD995" s="85"/>
      <c r="GE995" s="85"/>
      <c r="GF995" s="85"/>
      <c r="GG995" s="85"/>
      <c r="GH995" s="85"/>
      <c r="GI995" s="85"/>
      <c r="GJ995" s="85"/>
      <c r="GK995" s="85"/>
      <c r="GL995" s="85"/>
      <c r="GM995" s="85"/>
      <c r="GN995" s="85"/>
      <c r="GO995" s="85"/>
      <c r="GP995" s="85"/>
      <c r="GQ995" s="85"/>
      <c r="GR995" s="85"/>
      <c r="GS995" s="85"/>
      <c r="GT995" s="85"/>
      <c r="GU995" s="85"/>
      <c r="GV995" s="85"/>
      <c r="GW995" s="85"/>
      <c r="GX995" s="85"/>
      <c r="GY995" s="85"/>
      <c r="GZ995" s="85"/>
      <c r="HA995" s="85"/>
      <c r="HB995" s="85"/>
      <c r="HC995" s="85"/>
      <c r="HD995" s="85"/>
      <c r="HE995" s="85"/>
      <c r="HF995" s="85"/>
      <c r="HG995" s="85"/>
      <c r="HH995" s="85"/>
      <c r="HI995" s="85"/>
      <c r="HJ995" s="85"/>
      <c r="HK995" s="85"/>
      <c r="HL995" s="85"/>
      <c r="HM995" s="85"/>
      <c r="HN995" s="85"/>
      <c r="HO995" s="85"/>
      <c r="HP995" s="85"/>
      <c r="HQ995" s="85"/>
      <c r="HR995" s="85"/>
      <c r="HS995" s="85"/>
      <c r="HT995" s="85"/>
      <c r="HU995" s="85"/>
      <c r="HV995" s="85"/>
      <c r="HW995" s="85"/>
      <c r="HX995" s="85"/>
      <c r="HY995" s="85"/>
      <c r="HZ995" s="85"/>
      <c r="IA995" s="85"/>
      <c r="IB995" s="85"/>
      <c r="IC995" s="85"/>
      <c r="ID995" s="85"/>
      <c r="IE995" s="85"/>
      <c r="IF995" s="85"/>
      <c r="IG995" s="85"/>
      <c r="IH995" s="85"/>
      <c r="II995" s="85"/>
      <c r="IJ995" s="85"/>
      <c r="IK995" s="85"/>
      <c r="IL995" s="85"/>
      <c r="IM995" s="85"/>
      <c r="IN995" s="85"/>
      <c r="IO995" s="85"/>
      <c r="IP995" s="85"/>
      <c r="IQ995" s="85"/>
      <c r="IR995" s="85"/>
      <c r="IS995" s="85"/>
      <c r="IT995" s="85"/>
      <c r="IU995" s="85"/>
      <c r="IV995" s="85"/>
      <c r="IW995" s="85"/>
      <c r="IX995" s="85"/>
      <c r="IY995" s="85"/>
      <c r="IZ995" s="85"/>
      <c r="JA995" s="85"/>
      <c r="JB995" s="85"/>
      <c r="JC995" s="85"/>
      <c r="JD995" s="85"/>
      <c r="JE995" s="85"/>
      <c r="JF995" s="85"/>
      <c r="JG995" s="85"/>
      <c r="JH995" s="85"/>
      <c r="JI995" s="85"/>
      <c r="JJ995" s="85"/>
      <c r="JK995" s="85"/>
      <c r="JL995" s="85"/>
      <c r="JM995" s="85"/>
      <c r="JN995" s="85"/>
      <c r="JO995" s="85"/>
      <c r="JP995" s="85"/>
      <c r="JQ995" s="85"/>
      <c r="JR995" s="85"/>
      <c r="JS995" s="85"/>
      <c r="JT995" s="85"/>
      <c r="JU995" s="85"/>
      <c r="JV995" s="85"/>
      <c r="JW995" s="85"/>
      <c r="JX995" s="85"/>
      <c r="JY995" s="85"/>
      <c r="JZ995" s="85"/>
      <c r="KA995" s="85"/>
      <c r="KB995" s="85"/>
      <c r="KC995" s="85"/>
      <c r="KD995" s="85"/>
      <c r="KE995" s="85"/>
      <c r="KF995" s="85"/>
      <c r="KG995" s="85"/>
      <c r="KH995" s="85"/>
      <c r="KI995" s="85"/>
      <c r="KJ995" s="85"/>
      <c r="KK995" s="85"/>
      <c r="KL995" s="85"/>
      <c r="KM995" s="85"/>
      <c r="KN995" s="85"/>
      <c r="KO995" s="85"/>
      <c r="KP995" s="85"/>
      <c r="KQ995" s="85"/>
      <c r="KR995" s="85"/>
      <c r="KS995" s="85"/>
      <c r="KT995" s="85"/>
      <c r="KU995" s="85"/>
      <c r="KV995" s="85"/>
      <c r="KW995" s="85"/>
      <c r="KX995" s="85"/>
      <c r="KY995" s="85"/>
      <c r="KZ995" s="85"/>
      <c r="LA995" s="85"/>
      <c r="LB995" s="85"/>
      <c r="LC995" s="85"/>
      <c r="LD995" s="85"/>
      <c r="LE995" s="85"/>
      <c r="LF995" s="85"/>
      <c r="LG995" s="85"/>
      <c r="LH995" s="85"/>
      <c r="LI995" s="85"/>
      <c r="LJ995" s="85"/>
      <c r="LK995" s="85"/>
      <c r="LL995" s="85"/>
      <c r="LM995" s="85"/>
      <c r="LN995" s="85"/>
      <c r="LO995" s="85"/>
      <c r="LP995" s="85"/>
      <c r="LQ995" s="85"/>
      <c r="LR995" s="85"/>
      <c r="LS995" s="85"/>
      <c r="LT995" s="85"/>
      <c r="LU995" s="85"/>
      <c r="LV995" s="85"/>
      <c r="LW995" s="85"/>
      <c r="LX995" s="85"/>
      <c r="LY995" s="85"/>
      <c r="LZ995" s="85"/>
      <c r="MA995" s="85"/>
      <c r="MB995" s="85"/>
      <c r="MC995" s="85"/>
      <c r="MD995" s="85"/>
      <c r="ME995" s="85"/>
      <c r="MF995" s="85"/>
      <c r="MG995" s="85"/>
      <c r="MH995" s="85"/>
      <c r="MI995" s="85"/>
      <c r="MJ995" s="85"/>
      <c r="MK995" s="85"/>
      <c r="ML995" s="85"/>
      <c r="MM995" s="85"/>
      <c r="MN995" s="85"/>
      <c r="MO995" s="85"/>
      <c r="MP995" s="85"/>
      <c r="MQ995" s="85"/>
      <c r="MR995" s="85"/>
      <c r="MS995" s="85"/>
      <c r="MT995" s="85"/>
      <c r="MU995" s="85"/>
      <c r="MV995" s="85"/>
      <c r="MW995" s="85"/>
      <c r="MX995" s="85"/>
      <c r="MY995" s="85"/>
      <c r="MZ995" s="85"/>
      <c r="NA995" s="85"/>
      <c r="NB995" s="85"/>
      <c r="NC995" s="85"/>
      <c r="ND995" s="85"/>
      <c r="NE995" s="85"/>
      <c r="NF995" s="85"/>
      <c r="NG995" s="85"/>
      <c r="NH995" s="85"/>
      <c r="NI995" s="85"/>
      <c r="NJ995" s="85"/>
      <c r="NK995" s="85"/>
      <c r="NL995" s="85"/>
      <c r="NM995" s="85"/>
      <c r="NN995" s="85"/>
      <c r="NO995" s="85"/>
      <c r="NP995" s="85"/>
      <c r="NQ995" s="85"/>
      <c r="NR995" s="85"/>
      <c r="NS995" s="85"/>
      <c r="NT995" s="85"/>
      <c r="NU995" s="85"/>
      <c r="NV995" s="85"/>
      <c r="NW995" s="85"/>
      <c r="NX995" s="85"/>
      <c r="NY995" s="85"/>
      <c r="NZ995" s="85"/>
      <c r="OA995" s="85"/>
      <c r="OB995" s="85"/>
      <c r="OC995" s="85"/>
      <c r="OD995" s="85"/>
      <c r="OE995" s="85"/>
      <c r="OF995" s="85"/>
      <c r="OG995" s="85"/>
      <c r="OH995" s="85"/>
      <c r="OI995" s="85"/>
      <c r="OJ995" s="85"/>
      <c r="OK995" s="85"/>
      <c r="OL995" s="85"/>
      <c r="OM995" s="85"/>
      <c r="ON995" s="85"/>
      <c r="OO995" s="85"/>
      <c r="OP995" s="85"/>
      <c r="OQ995" s="85"/>
      <c r="OR995" s="85"/>
      <c r="OS995" s="85"/>
      <c r="OT995" s="85"/>
      <c r="OU995" s="85"/>
      <c r="OV995" s="85"/>
      <c r="OW995" s="85"/>
      <c r="OX995" s="85"/>
      <c r="OY995" s="85"/>
      <c r="OZ995" s="85"/>
      <c r="PA995" s="85"/>
      <c r="PB995" s="85"/>
      <c r="PC995" s="85"/>
      <c r="PD995" s="85"/>
      <c r="PE995" s="85"/>
      <c r="PF995" s="85"/>
      <c r="PG995" s="85"/>
      <c r="PH995" s="85"/>
      <c r="PI995" s="85"/>
      <c r="PJ995" s="85"/>
      <c r="PK995" s="85"/>
      <c r="PL995" s="85"/>
      <c r="PM995" s="85"/>
      <c r="PN995" s="85"/>
      <c r="PO995" s="85"/>
      <c r="PP995" s="85"/>
      <c r="PQ995" s="85"/>
      <c r="PR995" s="85"/>
      <c r="PS995" s="85"/>
      <c r="PT995" s="85"/>
      <c r="PU995" s="85"/>
      <c r="PV995" s="85"/>
      <c r="PW995" s="85"/>
      <c r="PX995" s="85"/>
      <c r="PY995" s="85"/>
      <c r="PZ995" s="85"/>
      <c r="QA995" s="85"/>
      <c r="QB995" s="85"/>
      <c r="QC995" s="85"/>
      <c r="QD995" s="85"/>
      <c r="QE995" s="85"/>
      <c r="QF995" s="85"/>
      <c r="QG995" s="85"/>
      <c r="QH995" s="85"/>
      <c r="QI995" s="85"/>
      <c r="QJ995" s="85"/>
      <c r="QK995" s="85"/>
      <c r="QL995" s="85"/>
      <c r="QM995" s="85"/>
      <c r="QN995" s="85"/>
      <c r="QO995" s="85"/>
      <c r="QP995" s="85"/>
      <c r="QQ995" s="85"/>
      <c r="QR995" s="85"/>
      <c r="QS995" s="85"/>
      <c r="QT995" s="85"/>
      <c r="QU995" s="85"/>
      <c r="QV995" s="85"/>
      <c r="QW995" s="85"/>
      <c r="QX995" s="85"/>
      <c r="QY995" s="85"/>
      <c r="QZ995" s="85"/>
      <c r="RA995" s="85"/>
      <c r="RB995" s="85"/>
      <c r="RC995" s="85"/>
      <c r="RD995" s="85"/>
      <c r="RE995" s="85"/>
      <c r="RF995" s="85"/>
      <c r="RG995" s="85"/>
      <c r="RH995" s="85"/>
      <c r="RI995" s="85"/>
      <c r="RJ995" s="85"/>
      <c r="RK995" s="85"/>
      <c r="RL995" s="85"/>
      <c r="RM995" s="85"/>
      <c r="RN995" s="85"/>
      <c r="RO995" s="85"/>
      <c r="RP995" s="85"/>
      <c r="RQ995" s="85"/>
      <c r="RR995" s="85"/>
      <c r="RS995" s="85"/>
      <c r="RT995" s="85"/>
      <c r="RU995" s="85"/>
      <c r="RV995" s="85"/>
      <c r="RW995" s="85"/>
      <c r="RX995" s="85"/>
      <c r="RY995" s="85"/>
      <c r="RZ995" s="85"/>
      <c r="SA995" s="85"/>
      <c r="SB995" s="85"/>
      <c r="SC995" s="85"/>
      <c r="SD995" s="85"/>
      <c r="SE995" s="85"/>
      <c r="SF995" s="85"/>
      <c r="SG995" s="85"/>
      <c r="SH995" s="85"/>
      <c r="SI995" s="85"/>
      <c r="SJ995" s="85"/>
      <c r="SK995" s="85"/>
      <c r="SL995" s="85"/>
      <c r="SM995" s="85"/>
      <c r="SN995" s="85"/>
      <c r="SO995" s="85"/>
      <c r="SP995" s="85"/>
      <c r="SQ995" s="85"/>
      <c r="SR995" s="85"/>
      <c r="SS995" s="85"/>
      <c r="ST995" s="85"/>
      <c r="SU995" s="85"/>
      <c r="SV995" s="85"/>
      <c r="SW995" s="85"/>
      <c r="SX995" s="85"/>
      <c r="SY995" s="85"/>
      <c r="SZ995" s="85"/>
      <c r="TA995" s="85"/>
      <c r="TB995" s="85"/>
      <c r="TC995" s="85"/>
      <c r="TD995" s="85"/>
      <c r="TE995" s="85"/>
      <c r="TF995" s="85"/>
      <c r="TG995" s="85"/>
      <c r="TH995" s="85"/>
      <c r="TI995" s="85"/>
      <c r="TJ995" s="85"/>
      <c r="TK995" s="85"/>
      <c r="TL995" s="85"/>
    </row>
    <row r="996" spans="1:532" s="85" customFormat="1" ht="12.75" customHeight="1">
      <c r="A996" s="122"/>
      <c r="B996" s="240" t="s">
        <v>520</v>
      </c>
      <c r="C996" s="124"/>
      <c r="D996" s="124"/>
      <c r="E996" s="124"/>
      <c r="F996" s="146"/>
      <c r="G996" s="86"/>
      <c r="H996" s="186"/>
      <c r="I996" s="89"/>
      <c r="J996" s="125"/>
      <c r="K996" s="125"/>
      <c r="L996" s="125"/>
      <c r="M996" s="125"/>
      <c r="N996" s="124"/>
    </row>
    <row r="997" spans="1:532" s="85" customFormat="1" ht="12.75" customHeight="1">
      <c r="A997" s="122"/>
      <c r="B997" s="240" t="s">
        <v>521</v>
      </c>
      <c r="C997" s="124"/>
      <c r="D997" s="124"/>
      <c r="E997" s="124"/>
      <c r="F997" s="146"/>
      <c r="G997" s="86"/>
      <c r="H997" s="98"/>
      <c r="I997" s="89"/>
      <c r="J997" s="125"/>
      <c r="K997" s="125"/>
      <c r="L997" s="125"/>
      <c r="M997" s="125"/>
      <c r="N997" s="124"/>
    </row>
    <row r="998" spans="1:532" s="85" customFormat="1" ht="12.75" customHeight="1">
      <c r="A998" s="122"/>
      <c r="B998" s="240" t="s">
        <v>522</v>
      </c>
      <c r="C998" s="124"/>
      <c r="D998" s="124"/>
      <c r="E998" s="124"/>
      <c r="F998" s="146"/>
      <c r="G998" s="86"/>
      <c r="H998" s="98"/>
      <c r="I998" s="89"/>
      <c r="J998" s="125"/>
      <c r="K998" s="125"/>
      <c r="L998" s="125"/>
      <c r="M998" s="125"/>
      <c r="N998" s="124"/>
    </row>
    <row r="999" spans="1:532" s="85" customFormat="1" ht="12.75" customHeight="1">
      <c r="A999" s="122"/>
      <c r="B999" s="240"/>
      <c r="C999" s="124"/>
      <c r="D999" s="124"/>
      <c r="E999" s="124"/>
      <c r="F999" s="146"/>
      <c r="G999" s="138"/>
      <c r="H999" s="98"/>
      <c r="I999" s="125"/>
      <c r="J999" s="125"/>
      <c r="K999" s="125"/>
      <c r="L999" s="125"/>
      <c r="M999" s="125"/>
      <c r="N999" s="125"/>
    </row>
    <row r="1000" spans="1:532" s="85" customFormat="1" ht="12.75" customHeight="1">
      <c r="A1000" s="122"/>
      <c r="B1000" s="240"/>
      <c r="C1000" s="124"/>
      <c r="D1000" s="124"/>
      <c r="E1000" s="124"/>
      <c r="F1000" s="146"/>
      <c r="G1000" s="138" t="s">
        <v>92</v>
      </c>
      <c r="H1000" s="98"/>
      <c r="I1000" s="125"/>
      <c r="J1000" s="125"/>
      <c r="K1000" s="125"/>
      <c r="L1000" s="125"/>
      <c r="M1000" s="125"/>
      <c r="N1000" s="125">
        <v>-316130482.54000002</v>
      </c>
    </row>
    <row r="1001" spans="1:532" s="85" customFormat="1" ht="12.75" customHeight="1">
      <c r="A1001" s="122"/>
      <c r="B1001" s="240"/>
      <c r="C1001" s="124"/>
      <c r="D1001" s="124"/>
      <c r="E1001" s="124"/>
      <c r="F1001" s="146"/>
      <c r="G1001" s="138" t="s">
        <v>548</v>
      </c>
      <c r="H1001" s="98"/>
      <c r="I1001" s="125"/>
      <c r="J1001" s="125"/>
      <c r="K1001" s="125"/>
      <c r="L1001" s="125"/>
      <c r="M1001" s="125"/>
      <c r="N1001" s="125">
        <v>-168319194</v>
      </c>
    </row>
    <row r="1002" spans="1:532" s="85" customFormat="1" ht="12.75" customHeight="1">
      <c r="A1002" s="122"/>
      <c r="B1002" s="240"/>
      <c r="C1002" s="124"/>
      <c r="D1002" s="124"/>
      <c r="E1002" s="124"/>
      <c r="F1002" s="146"/>
      <c r="G1002" s="188" t="s">
        <v>738</v>
      </c>
      <c r="H1002" s="98"/>
      <c r="I1002" s="125"/>
      <c r="J1002" s="125"/>
      <c r="K1002" s="125"/>
      <c r="L1002" s="125"/>
      <c r="M1002" s="125"/>
      <c r="N1002" s="125">
        <v>-205447159.77000001</v>
      </c>
    </row>
    <row r="1003" spans="1:532" s="85" customFormat="1" ht="12.75" customHeight="1">
      <c r="A1003" s="122"/>
      <c r="B1003" s="240"/>
      <c r="C1003" s="124"/>
      <c r="D1003" s="124"/>
      <c r="E1003" s="124"/>
      <c r="F1003" s="146"/>
      <c r="G1003" s="241" t="s">
        <v>547</v>
      </c>
      <c r="H1003" s="98"/>
      <c r="I1003" s="125"/>
      <c r="J1003" s="125"/>
      <c r="K1003" s="125"/>
      <c r="L1003" s="125"/>
      <c r="M1003" s="125"/>
      <c r="N1003" s="126">
        <v>130940</v>
      </c>
    </row>
    <row r="1004" spans="1:532" s="85" customFormat="1" ht="12.75" customHeight="1">
      <c r="A1004" s="122"/>
      <c r="B1004" s="240"/>
      <c r="C1004" s="124"/>
      <c r="D1004" s="124"/>
      <c r="E1004" s="124"/>
      <c r="F1004" s="146"/>
      <c r="G1004" s="138" t="s">
        <v>553</v>
      </c>
      <c r="H1004" s="98"/>
      <c r="I1004" s="125"/>
      <c r="J1004" s="125"/>
      <c r="K1004" s="125"/>
      <c r="L1004" s="125"/>
      <c r="M1004" s="125"/>
      <c r="N1004" s="125">
        <f>+N398+N400+N402+N403+N409+N408</f>
        <v>1785985803.7649939</v>
      </c>
    </row>
    <row r="1005" spans="1:532" s="85" customFormat="1" ht="12.5" customHeight="1">
      <c r="A1005" s="122"/>
      <c r="B1005" s="240"/>
      <c r="C1005" s="124"/>
      <c r="D1005" s="124"/>
      <c r="E1005" s="124"/>
      <c r="F1005" s="146"/>
      <c r="G1005" s="157" t="s">
        <v>549</v>
      </c>
      <c r="H1005" s="98"/>
      <c r="I1005" s="125"/>
      <c r="J1005" s="125"/>
      <c r="K1005" s="125"/>
      <c r="L1005" s="125"/>
      <c r="M1005" s="125"/>
      <c r="N1005" s="126">
        <v>292556.42</v>
      </c>
    </row>
    <row r="1006" spans="1:532" s="85" customFormat="1" ht="12.75" customHeight="1">
      <c r="A1006" s="122"/>
      <c r="B1006" s="240"/>
      <c r="C1006" s="124"/>
      <c r="D1006" s="124"/>
      <c r="E1006" s="124"/>
      <c r="F1006" s="146"/>
      <c r="G1006" s="98" t="s">
        <v>546</v>
      </c>
      <c r="H1006" s="231"/>
      <c r="I1006" s="230"/>
      <c r="J1006" s="230"/>
      <c r="K1006" s="230"/>
      <c r="L1006" s="230"/>
      <c r="M1006" s="230"/>
      <c r="N1006" s="190">
        <v>-486085385.60000002</v>
      </c>
    </row>
    <row r="1007" spans="1:532" s="85" customFormat="1" ht="12.75" customHeight="1">
      <c r="A1007" s="122"/>
      <c r="B1007" s="240"/>
      <c r="C1007" s="124"/>
      <c r="D1007" s="124"/>
      <c r="E1007" s="124"/>
      <c r="F1007" s="146"/>
      <c r="G1007" s="157" t="s">
        <v>552</v>
      </c>
      <c r="H1007" s="98"/>
      <c r="I1007" s="125"/>
      <c r="J1007" s="125"/>
      <c r="K1007" s="125"/>
      <c r="L1007" s="125"/>
      <c r="M1007" s="125"/>
      <c r="N1007" s="126">
        <v>-748000</v>
      </c>
    </row>
    <row r="1008" spans="1:532" s="168" customFormat="1" ht="12.75" customHeight="1">
      <c r="A1008" s="164"/>
      <c r="B1008" s="239"/>
      <c r="C1008" s="165"/>
      <c r="D1008" s="165"/>
      <c r="E1008" s="165"/>
      <c r="F1008" s="238"/>
      <c r="G1008" s="166"/>
      <c r="H1008" s="167"/>
      <c r="I1008" s="165">
        <f>SUM(I999:I1007)</f>
        <v>0</v>
      </c>
      <c r="J1008" s="165"/>
      <c r="K1008" s="165"/>
      <c r="L1008" s="165"/>
      <c r="M1008" s="165"/>
      <c r="N1008" s="165">
        <f>SUM(N996:N1007)</f>
        <v>609679078.27499378</v>
      </c>
      <c r="O1008" s="85"/>
      <c r="P1008" s="85"/>
      <c r="Q1008" s="85"/>
      <c r="R1008" s="85"/>
      <c r="S1008" s="85"/>
      <c r="T1008" s="85"/>
      <c r="U1008" s="85"/>
      <c r="V1008" s="85"/>
      <c r="W1008" s="85"/>
      <c r="X1008" s="85"/>
      <c r="Y1008" s="85"/>
      <c r="Z1008" s="85"/>
      <c r="AA1008" s="85"/>
      <c r="AB1008" s="85"/>
      <c r="AC1008" s="85"/>
      <c r="AD1008" s="85"/>
      <c r="AE1008" s="85"/>
      <c r="AF1008" s="85"/>
      <c r="AG1008" s="85"/>
      <c r="AH1008" s="85"/>
      <c r="AI1008" s="85"/>
      <c r="AJ1008" s="85"/>
      <c r="AK1008" s="85"/>
      <c r="AL1008" s="85"/>
      <c r="AM1008" s="85"/>
      <c r="AN1008" s="85"/>
      <c r="AO1008" s="85"/>
      <c r="AP1008" s="85"/>
      <c r="AQ1008" s="85"/>
      <c r="AR1008" s="85"/>
      <c r="AS1008" s="85"/>
      <c r="AT1008" s="85"/>
      <c r="AU1008" s="85"/>
      <c r="AV1008" s="85"/>
      <c r="AW1008" s="85"/>
      <c r="AX1008" s="85"/>
      <c r="AY1008" s="85"/>
      <c r="AZ1008" s="85"/>
      <c r="BA1008" s="85"/>
      <c r="BB1008" s="85"/>
      <c r="BC1008" s="85"/>
      <c r="BD1008" s="85"/>
      <c r="BE1008" s="85"/>
      <c r="BF1008" s="85"/>
      <c r="BG1008" s="85"/>
      <c r="BH1008" s="85"/>
      <c r="BI1008" s="85"/>
      <c r="BJ1008" s="85"/>
      <c r="BK1008" s="85"/>
      <c r="BL1008" s="85"/>
      <c r="BM1008" s="85"/>
      <c r="BN1008" s="85"/>
      <c r="BO1008" s="85"/>
      <c r="BP1008" s="85"/>
      <c r="BQ1008" s="85"/>
      <c r="BR1008" s="85"/>
      <c r="BS1008" s="85"/>
      <c r="BT1008" s="85"/>
      <c r="BU1008" s="85"/>
      <c r="BV1008" s="85"/>
      <c r="BW1008" s="85"/>
      <c r="BX1008" s="85"/>
      <c r="BY1008" s="85"/>
      <c r="BZ1008" s="85"/>
      <c r="CA1008" s="85"/>
      <c r="CB1008" s="85"/>
      <c r="CC1008" s="85"/>
      <c r="CD1008" s="85"/>
      <c r="CE1008" s="85"/>
      <c r="CF1008" s="85"/>
      <c r="CG1008" s="85"/>
      <c r="CH1008" s="85"/>
      <c r="CI1008" s="85"/>
      <c r="CJ1008" s="85"/>
      <c r="CK1008" s="85"/>
      <c r="CL1008" s="85"/>
      <c r="CM1008" s="85"/>
      <c r="CN1008" s="85"/>
      <c r="CO1008" s="85"/>
      <c r="CP1008" s="85"/>
      <c r="CQ1008" s="85"/>
      <c r="CR1008" s="85"/>
      <c r="CS1008" s="85"/>
      <c r="CT1008" s="85"/>
      <c r="CU1008" s="85"/>
      <c r="CV1008" s="85"/>
      <c r="CW1008" s="85"/>
      <c r="CX1008" s="85"/>
      <c r="CY1008" s="85"/>
      <c r="CZ1008" s="85"/>
      <c r="DA1008" s="85"/>
      <c r="DB1008" s="85"/>
      <c r="DC1008" s="85"/>
      <c r="DD1008" s="85"/>
      <c r="DE1008" s="85"/>
      <c r="DF1008" s="85"/>
      <c r="DG1008" s="85"/>
      <c r="DH1008" s="85"/>
      <c r="DI1008" s="85"/>
      <c r="DJ1008" s="85"/>
      <c r="DK1008" s="85"/>
      <c r="DL1008" s="85"/>
      <c r="DM1008" s="85"/>
      <c r="DN1008" s="85"/>
      <c r="DO1008" s="85"/>
      <c r="DP1008" s="85"/>
      <c r="DQ1008" s="85"/>
      <c r="DR1008" s="85"/>
      <c r="DS1008" s="85"/>
      <c r="DT1008" s="85"/>
      <c r="DU1008" s="85"/>
      <c r="DV1008" s="85"/>
      <c r="DW1008" s="85"/>
      <c r="DX1008" s="85"/>
      <c r="DY1008" s="85"/>
      <c r="DZ1008" s="85"/>
      <c r="EA1008" s="85"/>
      <c r="EB1008" s="85"/>
      <c r="EC1008" s="85"/>
      <c r="ED1008" s="85"/>
      <c r="EE1008" s="85"/>
      <c r="EF1008" s="85"/>
      <c r="EG1008" s="85"/>
      <c r="EH1008" s="85"/>
      <c r="EI1008" s="85"/>
      <c r="EJ1008" s="85"/>
      <c r="EK1008" s="85"/>
      <c r="EL1008" s="85"/>
      <c r="EM1008" s="85"/>
      <c r="EN1008" s="85"/>
      <c r="EO1008" s="85"/>
      <c r="EP1008" s="85"/>
      <c r="EQ1008" s="85"/>
      <c r="ER1008" s="85"/>
      <c r="ES1008" s="85"/>
      <c r="ET1008" s="85"/>
      <c r="EU1008" s="85"/>
      <c r="EV1008" s="85"/>
      <c r="EW1008" s="85"/>
      <c r="EX1008" s="85"/>
      <c r="EY1008" s="85"/>
      <c r="EZ1008" s="85"/>
      <c r="FA1008" s="85"/>
      <c r="FB1008" s="85"/>
      <c r="FC1008" s="85"/>
      <c r="FD1008" s="85"/>
      <c r="FE1008" s="85"/>
      <c r="FF1008" s="85"/>
      <c r="FG1008" s="85"/>
      <c r="FH1008" s="85"/>
      <c r="FI1008" s="85"/>
      <c r="FJ1008" s="85"/>
      <c r="FK1008" s="85"/>
      <c r="FL1008" s="85"/>
      <c r="FM1008" s="85"/>
      <c r="FN1008" s="85"/>
      <c r="FO1008" s="85"/>
      <c r="FP1008" s="85"/>
      <c r="FQ1008" s="85"/>
      <c r="FR1008" s="85"/>
      <c r="FS1008" s="85"/>
      <c r="FT1008" s="85"/>
      <c r="FU1008" s="85"/>
      <c r="FV1008" s="85"/>
      <c r="FW1008" s="85"/>
      <c r="FX1008" s="85"/>
      <c r="FY1008" s="85"/>
      <c r="FZ1008" s="85"/>
      <c r="GA1008" s="85"/>
      <c r="GB1008" s="85"/>
      <c r="GC1008" s="85"/>
      <c r="GD1008" s="85"/>
      <c r="GE1008" s="85"/>
      <c r="GF1008" s="85"/>
      <c r="GG1008" s="85"/>
      <c r="GH1008" s="85"/>
      <c r="GI1008" s="85"/>
      <c r="GJ1008" s="85"/>
      <c r="GK1008" s="85"/>
      <c r="GL1008" s="85"/>
      <c r="GM1008" s="85"/>
      <c r="GN1008" s="85"/>
      <c r="GO1008" s="85"/>
      <c r="GP1008" s="85"/>
      <c r="GQ1008" s="85"/>
      <c r="GR1008" s="85"/>
      <c r="GS1008" s="85"/>
      <c r="GT1008" s="85"/>
      <c r="GU1008" s="85"/>
      <c r="GV1008" s="85"/>
      <c r="GW1008" s="85"/>
      <c r="GX1008" s="85"/>
      <c r="GY1008" s="85"/>
      <c r="GZ1008" s="85"/>
      <c r="HA1008" s="85"/>
      <c r="HB1008" s="85"/>
      <c r="HC1008" s="85"/>
      <c r="HD1008" s="85"/>
      <c r="HE1008" s="85"/>
      <c r="HF1008" s="85"/>
      <c r="HG1008" s="85"/>
      <c r="HH1008" s="85"/>
      <c r="HI1008" s="85"/>
      <c r="HJ1008" s="85"/>
      <c r="HK1008" s="85"/>
      <c r="HL1008" s="85"/>
      <c r="HM1008" s="85"/>
      <c r="HN1008" s="85"/>
      <c r="HO1008" s="85"/>
      <c r="HP1008" s="85"/>
      <c r="HQ1008" s="85"/>
      <c r="HR1008" s="85"/>
      <c r="HS1008" s="85"/>
      <c r="HT1008" s="85"/>
      <c r="HU1008" s="85"/>
      <c r="HV1008" s="85"/>
      <c r="HW1008" s="85"/>
      <c r="HX1008" s="85"/>
      <c r="HY1008" s="85"/>
      <c r="HZ1008" s="85"/>
      <c r="IA1008" s="85"/>
      <c r="IB1008" s="85"/>
      <c r="IC1008" s="85"/>
      <c r="ID1008" s="85"/>
      <c r="IE1008" s="85"/>
      <c r="IF1008" s="85"/>
      <c r="IG1008" s="85"/>
      <c r="IH1008" s="85"/>
      <c r="II1008" s="85"/>
      <c r="IJ1008" s="85"/>
      <c r="IK1008" s="85"/>
      <c r="IL1008" s="85"/>
      <c r="IM1008" s="85"/>
      <c r="IN1008" s="85"/>
      <c r="IO1008" s="85"/>
      <c r="IP1008" s="85"/>
      <c r="IQ1008" s="85"/>
      <c r="IR1008" s="85"/>
      <c r="IS1008" s="85"/>
      <c r="IT1008" s="85"/>
      <c r="IU1008" s="85"/>
      <c r="IV1008" s="85"/>
      <c r="IW1008" s="85"/>
      <c r="IX1008" s="85"/>
      <c r="IY1008" s="85"/>
      <c r="IZ1008" s="85"/>
      <c r="JA1008" s="85"/>
      <c r="JB1008" s="85"/>
      <c r="JC1008" s="85"/>
      <c r="JD1008" s="85"/>
      <c r="JE1008" s="85"/>
      <c r="JF1008" s="85"/>
      <c r="JG1008" s="85"/>
      <c r="JH1008" s="85"/>
      <c r="JI1008" s="85"/>
      <c r="JJ1008" s="85"/>
      <c r="JK1008" s="85"/>
      <c r="JL1008" s="85"/>
      <c r="JM1008" s="85"/>
      <c r="JN1008" s="85"/>
      <c r="JO1008" s="85"/>
      <c r="JP1008" s="85"/>
      <c r="JQ1008" s="85"/>
      <c r="JR1008" s="85"/>
      <c r="JS1008" s="85"/>
      <c r="JT1008" s="85"/>
      <c r="JU1008" s="85"/>
      <c r="JV1008" s="85"/>
      <c r="JW1008" s="85"/>
      <c r="JX1008" s="85"/>
      <c r="JY1008" s="85"/>
      <c r="JZ1008" s="85"/>
      <c r="KA1008" s="85"/>
      <c r="KB1008" s="85"/>
      <c r="KC1008" s="85"/>
      <c r="KD1008" s="85"/>
      <c r="KE1008" s="85"/>
      <c r="KF1008" s="85"/>
      <c r="KG1008" s="85"/>
      <c r="KH1008" s="85"/>
      <c r="KI1008" s="85"/>
      <c r="KJ1008" s="85"/>
      <c r="KK1008" s="85"/>
      <c r="KL1008" s="85"/>
      <c r="KM1008" s="85"/>
      <c r="KN1008" s="85"/>
      <c r="KO1008" s="85"/>
      <c r="KP1008" s="85"/>
      <c r="KQ1008" s="85"/>
      <c r="KR1008" s="85"/>
      <c r="KS1008" s="85"/>
      <c r="KT1008" s="85"/>
      <c r="KU1008" s="85"/>
      <c r="KV1008" s="85"/>
      <c r="KW1008" s="85"/>
      <c r="KX1008" s="85"/>
      <c r="KY1008" s="85"/>
      <c r="KZ1008" s="85"/>
      <c r="LA1008" s="85"/>
      <c r="LB1008" s="85"/>
      <c r="LC1008" s="85"/>
      <c r="LD1008" s="85"/>
      <c r="LE1008" s="85"/>
      <c r="LF1008" s="85"/>
      <c r="LG1008" s="85"/>
      <c r="LH1008" s="85"/>
      <c r="LI1008" s="85"/>
      <c r="LJ1008" s="85"/>
      <c r="LK1008" s="85"/>
      <c r="LL1008" s="85"/>
      <c r="LM1008" s="85"/>
      <c r="LN1008" s="85"/>
      <c r="LO1008" s="85"/>
      <c r="LP1008" s="85"/>
      <c r="LQ1008" s="85"/>
      <c r="LR1008" s="85"/>
      <c r="LS1008" s="85"/>
      <c r="LT1008" s="85"/>
      <c r="LU1008" s="85"/>
      <c r="LV1008" s="85"/>
      <c r="LW1008" s="85"/>
      <c r="LX1008" s="85"/>
      <c r="LY1008" s="85"/>
      <c r="LZ1008" s="85"/>
      <c r="MA1008" s="85"/>
      <c r="MB1008" s="85"/>
      <c r="MC1008" s="85"/>
      <c r="MD1008" s="85"/>
      <c r="ME1008" s="85"/>
      <c r="MF1008" s="85"/>
      <c r="MG1008" s="85"/>
      <c r="MH1008" s="85"/>
      <c r="MI1008" s="85"/>
      <c r="MJ1008" s="85"/>
      <c r="MK1008" s="85"/>
      <c r="ML1008" s="85"/>
      <c r="MM1008" s="85"/>
      <c r="MN1008" s="85"/>
      <c r="MO1008" s="85"/>
      <c r="MP1008" s="85"/>
      <c r="MQ1008" s="85"/>
      <c r="MR1008" s="85"/>
      <c r="MS1008" s="85"/>
      <c r="MT1008" s="85"/>
      <c r="MU1008" s="85"/>
      <c r="MV1008" s="85"/>
      <c r="MW1008" s="85"/>
      <c r="MX1008" s="85"/>
      <c r="MY1008" s="85"/>
      <c r="MZ1008" s="85"/>
      <c r="NA1008" s="85"/>
      <c r="NB1008" s="85"/>
      <c r="NC1008" s="85"/>
      <c r="ND1008" s="85"/>
      <c r="NE1008" s="85"/>
      <c r="NF1008" s="85"/>
      <c r="NG1008" s="85"/>
      <c r="NH1008" s="85"/>
      <c r="NI1008" s="85"/>
      <c r="NJ1008" s="85"/>
      <c r="NK1008" s="85"/>
      <c r="NL1008" s="85"/>
      <c r="NM1008" s="85"/>
      <c r="NN1008" s="85"/>
      <c r="NO1008" s="85"/>
      <c r="NP1008" s="85"/>
      <c r="NQ1008" s="85"/>
      <c r="NR1008" s="85"/>
      <c r="NS1008" s="85"/>
      <c r="NT1008" s="85"/>
      <c r="NU1008" s="85"/>
      <c r="NV1008" s="85"/>
      <c r="NW1008" s="85"/>
      <c r="NX1008" s="85"/>
      <c r="NY1008" s="85"/>
      <c r="NZ1008" s="85"/>
      <c r="OA1008" s="85"/>
      <c r="OB1008" s="85"/>
      <c r="OC1008" s="85"/>
      <c r="OD1008" s="85"/>
      <c r="OE1008" s="85"/>
      <c r="OF1008" s="85"/>
      <c r="OG1008" s="85"/>
      <c r="OH1008" s="85"/>
      <c r="OI1008" s="85"/>
      <c r="OJ1008" s="85"/>
      <c r="OK1008" s="85"/>
      <c r="OL1008" s="85"/>
      <c r="OM1008" s="85"/>
      <c r="ON1008" s="85"/>
      <c r="OO1008" s="85"/>
      <c r="OP1008" s="85"/>
      <c r="OQ1008" s="85"/>
      <c r="OR1008" s="85"/>
      <c r="OS1008" s="85"/>
      <c r="OT1008" s="85"/>
      <c r="OU1008" s="85"/>
      <c r="OV1008" s="85"/>
      <c r="OW1008" s="85"/>
      <c r="OX1008" s="85"/>
      <c r="OY1008" s="85"/>
      <c r="OZ1008" s="85"/>
      <c r="PA1008" s="85"/>
      <c r="PB1008" s="85"/>
      <c r="PC1008" s="85"/>
      <c r="PD1008" s="85"/>
      <c r="PE1008" s="85"/>
      <c r="PF1008" s="85"/>
      <c r="PG1008" s="85"/>
      <c r="PH1008" s="85"/>
      <c r="PI1008" s="85"/>
      <c r="PJ1008" s="85"/>
      <c r="PK1008" s="85"/>
      <c r="PL1008" s="85"/>
      <c r="PM1008" s="85"/>
      <c r="PN1008" s="85"/>
      <c r="PO1008" s="85"/>
      <c r="PP1008" s="85"/>
      <c r="PQ1008" s="85"/>
      <c r="PR1008" s="85"/>
      <c r="PS1008" s="85"/>
      <c r="PT1008" s="85"/>
      <c r="PU1008" s="85"/>
      <c r="PV1008" s="85"/>
      <c r="PW1008" s="85"/>
      <c r="PX1008" s="85"/>
      <c r="PY1008" s="85"/>
      <c r="PZ1008" s="85"/>
      <c r="QA1008" s="85"/>
      <c r="QB1008" s="85"/>
      <c r="QC1008" s="85"/>
      <c r="QD1008" s="85"/>
      <c r="QE1008" s="85"/>
      <c r="QF1008" s="85"/>
      <c r="QG1008" s="85"/>
      <c r="QH1008" s="85"/>
      <c r="QI1008" s="85"/>
      <c r="QJ1008" s="85"/>
      <c r="QK1008" s="85"/>
      <c r="QL1008" s="85"/>
      <c r="QM1008" s="85"/>
      <c r="QN1008" s="85"/>
      <c r="QO1008" s="85"/>
      <c r="QP1008" s="85"/>
      <c r="QQ1008" s="85"/>
      <c r="QR1008" s="85"/>
      <c r="QS1008" s="85"/>
      <c r="QT1008" s="85"/>
      <c r="QU1008" s="85"/>
      <c r="QV1008" s="85"/>
      <c r="QW1008" s="85"/>
      <c r="QX1008" s="85"/>
      <c r="QY1008" s="85"/>
      <c r="QZ1008" s="85"/>
      <c r="RA1008" s="85"/>
      <c r="RB1008" s="85"/>
      <c r="RC1008" s="85"/>
      <c r="RD1008" s="85"/>
      <c r="RE1008" s="85"/>
      <c r="RF1008" s="85"/>
      <c r="RG1008" s="85"/>
      <c r="RH1008" s="85"/>
      <c r="RI1008" s="85"/>
      <c r="RJ1008" s="85"/>
      <c r="RK1008" s="85"/>
      <c r="RL1008" s="85"/>
      <c r="RM1008" s="85"/>
      <c r="RN1008" s="85"/>
      <c r="RO1008" s="85"/>
      <c r="RP1008" s="85"/>
      <c r="RQ1008" s="85"/>
      <c r="RR1008" s="85"/>
      <c r="RS1008" s="85"/>
      <c r="RT1008" s="85"/>
      <c r="RU1008" s="85"/>
      <c r="RV1008" s="85"/>
      <c r="RW1008" s="85"/>
      <c r="RX1008" s="85"/>
      <c r="RY1008" s="85"/>
      <c r="RZ1008" s="85"/>
      <c r="SA1008" s="85"/>
      <c r="SB1008" s="85"/>
      <c r="SC1008" s="85"/>
      <c r="SD1008" s="85"/>
      <c r="SE1008" s="85"/>
      <c r="SF1008" s="85"/>
      <c r="SG1008" s="85"/>
      <c r="SH1008" s="85"/>
      <c r="SI1008" s="85"/>
      <c r="SJ1008" s="85"/>
      <c r="SK1008" s="85"/>
      <c r="SL1008" s="85"/>
      <c r="SM1008" s="85"/>
      <c r="SN1008" s="85"/>
      <c r="SO1008" s="85"/>
      <c r="SP1008" s="85"/>
      <c r="SQ1008" s="85"/>
      <c r="SR1008" s="85"/>
      <c r="SS1008" s="85"/>
      <c r="ST1008" s="85"/>
      <c r="SU1008" s="85"/>
      <c r="SV1008" s="85"/>
      <c r="SW1008" s="85"/>
      <c r="SX1008" s="85"/>
      <c r="SY1008" s="85"/>
      <c r="SZ1008" s="85"/>
      <c r="TA1008" s="85"/>
      <c r="TB1008" s="85"/>
      <c r="TC1008" s="85"/>
      <c r="TD1008" s="85"/>
      <c r="TE1008" s="85"/>
      <c r="TF1008" s="85"/>
      <c r="TG1008" s="85"/>
      <c r="TH1008" s="85"/>
      <c r="TI1008" s="85"/>
      <c r="TJ1008" s="85"/>
      <c r="TK1008" s="85"/>
      <c r="TL1008" s="85"/>
    </row>
    <row r="1009" spans="1:532" s="85" customFormat="1" ht="12.75" customHeight="1">
      <c r="A1009" s="122"/>
      <c r="B1009" s="240" t="s">
        <v>520</v>
      </c>
      <c r="C1009" s="124"/>
      <c r="D1009" s="124"/>
      <c r="E1009" s="124"/>
      <c r="F1009" s="146"/>
      <c r="G1009" s="138"/>
      <c r="H1009" s="98"/>
      <c r="I1009" s="125"/>
      <c r="J1009" s="125"/>
      <c r="K1009" s="125"/>
      <c r="L1009" s="125"/>
      <c r="M1009" s="125"/>
      <c r="N1009" s="124"/>
    </row>
    <row r="1010" spans="1:532" s="85" customFormat="1" ht="12.75" customHeight="1">
      <c r="A1010" s="122"/>
      <c r="B1010" s="240" t="s">
        <v>521</v>
      </c>
      <c r="C1010" s="124"/>
      <c r="D1010" s="124"/>
      <c r="E1010" s="124"/>
      <c r="F1010" s="146"/>
      <c r="G1010" s="187"/>
      <c r="H1010" s="98"/>
      <c r="I1010" s="125"/>
      <c r="J1010" s="125"/>
      <c r="K1010" s="125"/>
      <c r="L1010" s="125"/>
      <c r="M1010" s="125"/>
      <c r="N1010" s="124"/>
    </row>
    <row r="1011" spans="1:532" s="85" customFormat="1" ht="12.75" customHeight="1">
      <c r="A1011" s="122"/>
      <c r="B1011" s="240"/>
      <c r="C1011" s="124"/>
      <c r="D1011" s="124"/>
      <c r="E1011" s="124"/>
      <c r="F1011" s="146"/>
      <c r="G1011" s="138" t="s">
        <v>551</v>
      </c>
      <c r="H1011" s="98"/>
      <c r="I1011" s="125"/>
      <c r="J1011" s="125"/>
      <c r="K1011" s="125"/>
      <c r="L1011" s="125"/>
      <c r="M1011" s="125"/>
      <c r="N1011" s="125"/>
    </row>
    <row r="1012" spans="1:532" s="85" customFormat="1" ht="12.75" customHeight="1">
      <c r="A1012" s="122"/>
      <c r="B1012" s="240"/>
      <c r="C1012" s="124"/>
      <c r="D1012" s="124"/>
      <c r="E1012" s="124"/>
      <c r="F1012" s="146"/>
      <c r="G1012" s="157" t="s">
        <v>550</v>
      </c>
      <c r="H1012" s="98"/>
      <c r="I1012" s="125"/>
      <c r="J1012" s="125"/>
      <c r="K1012" s="125"/>
      <c r="L1012" s="125"/>
      <c r="M1012" s="125"/>
      <c r="N1012" s="125">
        <f>-N1004</f>
        <v>-1785985803.7649939</v>
      </c>
    </row>
    <row r="1013" spans="1:532" s="85" customFormat="1" ht="12.75" customHeight="1">
      <c r="A1013" s="122"/>
      <c r="B1013" s="240"/>
      <c r="C1013" s="124"/>
      <c r="D1013" s="124"/>
      <c r="E1013" s="124"/>
      <c r="F1013" s="146"/>
      <c r="G1013" s="157" t="s">
        <v>549</v>
      </c>
      <c r="H1013" s="98"/>
      <c r="I1013" s="125"/>
      <c r="J1013" s="125"/>
      <c r="K1013" s="125"/>
      <c r="L1013" s="125"/>
      <c r="M1013" s="125"/>
      <c r="N1013" s="126">
        <v>-292556.42</v>
      </c>
    </row>
    <row r="1014" spans="1:532" s="85" customFormat="1" ht="12.75" customHeight="1">
      <c r="A1014" s="122"/>
      <c r="B1014" s="240"/>
      <c r="C1014" s="124"/>
      <c r="D1014" s="124"/>
      <c r="E1014" s="124"/>
      <c r="F1014" s="146"/>
      <c r="G1014" s="138" t="s">
        <v>92</v>
      </c>
      <c r="H1014" s="98"/>
      <c r="I1014" s="125"/>
      <c r="J1014" s="125"/>
      <c r="K1014" s="125"/>
      <c r="L1014" s="125"/>
      <c r="M1014" s="125"/>
      <c r="N1014" s="126">
        <f>-N1000</f>
        <v>316130482.54000002</v>
      </c>
    </row>
    <row r="1015" spans="1:532" s="85" customFormat="1" ht="12.75" customHeight="1">
      <c r="A1015" s="122"/>
      <c r="B1015" s="240"/>
      <c r="C1015" s="124"/>
      <c r="D1015" s="124"/>
      <c r="E1015" s="124"/>
      <c r="F1015" s="146"/>
      <c r="G1015" s="138" t="s">
        <v>548</v>
      </c>
      <c r="H1015" s="98"/>
      <c r="I1015" s="125"/>
      <c r="J1015" s="125"/>
      <c r="K1015" s="125"/>
      <c r="L1015" s="125"/>
      <c r="M1015" s="125"/>
      <c r="N1015" s="126">
        <f>-N1001</f>
        <v>168319194</v>
      </c>
    </row>
    <row r="1016" spans="1:532" s="85" customFormat="1" ht="12.75" customHeight="1">
      <c r="A1016" s="122"/>
      <c r="B1016" s="240"/>
      <c r="C1016" s="124"/>
      <c r="D1016" s="124"/>
      <c r="E1016" s="124"/>
      <c r="F1016" s="146"/>
      <c r="G1016" s="188" t="s">
        <v>738</v>
      </c>
      <c r="H1016" s="98"/>
      <c r="I1016" s="125"/>
      <c r="J1016" s="125"/>
      <c r="K1016" s="125"/>
      <c r="L1016" s="125"/>
      <c r="M1016" s="125"/>
      <c r="N1016" s="125">
        <v>205447159.77000001</v>
      </c>
    </row>
    <row r="1017" spans="1:532" s="85" customFormat="1" ht="12.75" customHeight="1">
      <c r="A1017" s="122"/>
      <c r="B1017" s="240"/>
      <c r="C1017" s="124"/>
      <c r="D1017" s="124"/>
      <c r="E1017" s="124"/>
      <c r="F1017" s="146"/>
      <c r="G1017" s="241" t="s">
        <v>547</v>
      </c>
      <c r="H1017" s="98"/>
      <c r="I1017" s="125"/>
      <c r="J1017" s="125"/>
      <c r="K1017" s="125"/>
      <c r="L1017" s="125"/>
      <c r="M1017" s="125"/>
      <c r="N1017" s="126">
        <f>-N826</f>
        <v>-130940</v>
      </c>
    </row>
    <row r="1018" spans="1:532">
      <c r="G1018" s="98" t="s">
        <v>546</v>
      </c>
      <c r="N1018" s="190">
        <v>486085385.60000002</v>
      </c>
    </row>
    <row r="1019" spans="1:532" s="85" customFormat="1" ht="12.75" customHeight="1">
      <c r="A1019" s="122"/>
      <c r="B1019" s="240"/>
      <c r="C1019" s="124"/>
      <c r="D1019" s="124"/>
      <c r="E1019" s="124"/>
      <c r="F1019" s="146"/>
      <c r="G1019" s="187" t="s">
        <v>545</v>
      </c>
      <c r="H1019" s="98"/>
      <c r="I1019" s="125"/>
      <c r="J1019" s="125"/>
      <c r="K1019" s="125"/>
      <c r="L1019" s="125"/>
      <c r="M1019" s="125"/>
      <c r="N1019" s="126">
        <v>748000</v>
      </c>
    </row>
    <row r="1020" spans="1:532" s="172" customFormat="1" ht="12.75" customHeight="1">
      <c r="A1020" s="169"/>
      <c r="B1020" s="237"/>
      <c r="C1020" s="170"/>
      <c r="D1020" s="170"/>
      <c r="E1020" s="170"/>
      <c r="F1020" s="236"/>
      <c r="G1020" s="171"/>
      <c r="H1020" s="120"/>
      <c r="I1020" s="170"/>
      <c r="J1020" s="170"/>
      <c r="K1020" s="170"/>
      <c r="L1020" s="170"/>
      <c r="M1020" s="170"/>
      <c r="N1020" s="170">
        <f>SUM(N1012:N1019)</f>
        <v>-609679078.27499402</v>
      </c>
      <c r="O1020" s="85"/>
      <c r="P1020" s="85"/>
      <c r="Q1020" s="85"/>
      <c r="R1020" s="85"/>
      <c r="S1020" s="85"/>
      <c r="T1020" s="85"/>
      <c r="U1020" s="85"/>
      <c r="V1020" s="85"/>
      <c r="W1020" s="85"/>
      <c r="X1020" s="85"/>
      <c r="Y1020" s="85"/>
      <c r="Z1020" s="85"/>
      <c r="AA1020" s="85"/>
      <c r="AB1020" s="85"/>
      <c r="AC1020" s="85"/>
      <c r="AD1020" s="85"/>
      <c r="AE1020" s="85"/>
      <c r="AF1020" s="85"/>
      <c r="AG1020" s="85"/>
      <c r="AH1020" s="85"/>
      <c r="AI1020" s="85"/>
      <c r="AJ1020" s="85"/>
      <c r="AK1020" s="85"/>
      <c r="AL1020" s="85"/>
      <c r="AM1020" s="85"/>
      <c r="AN1020" s="85"/>
      <c r="AO1020" s="85"/>
      <c r="AP1020" s="85"/>
      <c r="AQ1020" s="85"/>
      <c r="AR1020" s="85"/>
      <c r="AS1020" s="85"/>
      <c r="AT1020" s="85"/>
      <c r="AU1020" s="85"/>
      <c r="AV1020" s="85"/>
      <c r="AW1020" s="85"/>
      <c r="AX1020" s="85"/>
      <c r="AY1020" s="85"/>
      <c r="AZ1020" s="85"/>
      <c r="BA1020" s="85"/>
      <c r="BB1020" s="85"/>
      <c r="BC1020" s="85"/>
      <c r="BD1020" s="85"/>
      <c r="BE1020" s="85"/>
      <c r="BF1020" s="85"/>
      <c r="BG1020" s="85"/>
      <c r="BH1020" s="85"/>
      <c r="BI1020" s="85"/>
      <c r="BJ1020" s="85"/>
      <c r="BK1020" s="85"/>
      <c r="BL1020" s="85"/>
      <c r="BM1020" s="85"/>
      <c r="BN1020" s="85"/>
      <c r="BO1020" s="85"/>
      <c r="BP1020" s="85"/>
      <c r="BQ1020" s="85"/>
      <c r="BR1020" s="85"/>
      <c r="BS1020" s="85"/>
      <c r="BT1020" s="85"/>
      <c r="BU1020" s="85"/>
      <c r="BV1020" s="85"/>
      <c r="BW1020" s="85"/>
      <c r="BX1020" s="85"/>
      <c r="BY1020" s="85"/>
      <c r="BZ1020" s="85"/>
      <c r="CA1020" s="85"/>
      <c r="CB1020" s="85"/>
      <c r="CC1020" s="85"/>
      <c r="CD1020" s="85"/>
      <c r="CE1020" s="85"/>
      <c r="CF1020" s="85"/>
      <c r="CG1020" s="85"/>
      <c r="CH1020" s="85"/>
      <c r="CI1020" s="85"/>
      <c r="CJ1020" s="85"/>
      <c r="CK1020" s="85"/>
      <c r="CL1020" s="85"/>
      <c r="CM1020" s="85"/>
      <c r="CN1020" s="85"/>
      <c r="CO1020" s="85"/>
      <c r="CP1020" s="85"/>
      <c r="CQ1020" s="85"/>
      <c r="CR1020" s="85"/>
      <c r="CS1020" s="85"/>
      <c r="CT1020" s="85"/>
      <c r="CU1020" s="85"/>
      <c r="CV1020" s="85"/>
      <c r="CW1020" s="85"/>
      <c r="CX1020" s="85"/>
      <c r="CY1020" s="85"/>
      <c r="CZ1020" s="85"/>
      <c r="DA1020" s="85"/>
      <c r="DB1020" s="85"/>
      <c r="DC1020" s="85"/>
      <c r="DD1020" s="85"/>
      <c r="DE1020" s="85"/>
      <c r="DF1020" s="85"/>
      <c r="DG1020" s="85"/>
      <c r="DH1020" s="85"/>
      <c r="DI1020" s="85"/>
      <c r="DJ1020" s="85"/>
      <c r="DK1020" s="85"/>
      <c r="DL1020" s="85"/>
      <c r="DM1020" s="85"/>
      <c r="DN1020" s="85"/>
      <c r="DO1020" s="85"/>
      <c r="DP1020" s="85"/>
      <c r="DQ1020" s="85"/>
      <c r="DR1020" s="85"/>
      <c r="DS1020" s="85"/>
      <c r="DT1020" s="85"/>
      <c r="DU1020" s="85"/>
      <c r="DV1020" s="85"/>
      <c r="DW1020" s="85"/>
      <c r="DX1020" s="85"/>
      <c r="DY1020" s="85"/>
      <c r="DZ1020" s="85"/>
      <c r="EA1020" s="85"/>
      <c r="EB1020" s="85"/>
      <c r="EC1020" s="85"/>
      <c r="ED1020" s="85"/>
      <c r="EE1020" s="85"/>
      <c r="EF1020" s="85"/>
      <c r="EG1020" s="85"/>
      <c r="EH1020" s="85"/>
      <c r="EI1020" s="85"/>
      <c r="EJ1020" s="85"/>
      <c r="EK1020" s="85"/>
      <c r="EL1020" s="85"/>
      <c r="EM1020" s="85"/>
      <c r="EN1020" s="85"/>
      <c r="EO1020" s="85"/>
      <c r="EP1020" s="85"/>
      <c r="EQ1020" s="85"/>
      <c r="ER1020" s="85"/>
      <c r="ES1020" s="85"/>
      <c r="ET1020" s="85"/>
      <c r="EU1020" s="85"/>
      <c r="EV1020" s="85"/>
      <c r="EW1020" s="85"/>
      <c r="EX1020" s="85"/>
      <c r="EY1020" s="85"/>
      <c r="EZ1020" s="85"/>
      <c r="FA1020" s="85"/>
      <c r="FB1020" s="85"/>
      <c r="FC1020" s="85"/>
      <c r="FD1020" s="85"/>
      <c r="FE1020" s="85"/>
      <c r="FF1020" s="85"/>
      <c r="FG1020" s="85"/>
      <c r="FH1020" s="85"/>
      <c r="FI1020" s="85"/>
      <c r="FJ1020" s="85"/>
      <c r="FK1020" s="85"/>
      <c r="FL1020" s="85"/>
      <c r="FM1020" s="85"/>
      <c r="FN1020" s="85"/>
      <c r="FO1020" s="85"/>
      <c r="FP1020" s="85"/>
      <c r="FQ1020" s="85"/>
      <c r="FR1020" s="85"/>
      <c r="FS1020" s="85"/>
      <c r="FT1020" s="85"/>
      <c r="FU1020" s="85"/>
      <c r="FV1020" s="85"/>
      <c r="FW1020" s="85"/>
      <c r="FX1020" s="85"/>
      <c r="FY1020" s="85"/>
      <c r="FZ1020" s="85"/>
      <c r="GA1020" s="85"/>
      <c r="GB1020" s="85"/>
      <c r="GC1020" s="85"/>
      <c r="GD1020" s="85"/>
      <c r="GE1020" s="85"/>
      <c r="GF1020" s="85"/>
      <c r="GG1020" s="85"/>
      <c r="GH1020" s="85"/>
      <c r="GI1020" s="85"/>
      <c r="GJ1020" s="85"/>
      <c r="GK1020" s="85"/>
      <c r="GL1020" s="85"/>
      <c r="GM1020" s="85"/>
      <c r="GN1020" s="85"/>
      <c r="GO1020" s="85"/>
      <c r="GP1020" s="85"/>
      <c r="GQ1020" s="85"/>
      <c r="GR1020" s="85"/>
      <c r="GS1020" s="85"/>
      <c r="GT1020" s="85"/>
      <c r="GU1020" s="85"/>
      <c r="GV1020" s="85"/>
      <c r="GW1020" s="85"/>
      <c r="GX1020" s="85"/>
      <c r="GY1020" s="85"/>
      <c r="GZ1020" s="85"/>
      <c r="HA1020" s="85"/>
      <c r="HB1020" s="85"/>
      <c r="HC1020" s="85"/>
      <c r="HD1020" s="85"/>
      <c r="HE1020" s="85"/>
      <c r="HF1020" s="85"/>
      <c r="HG1020" s="85"/>
      <c r="HH1020" s="85"/>
      <c r="HI1020" s="85"/>
      <c r="HJ1020" s="85"/>
      <c r="HK1020" s="85"/>
      <c r="HL1020" s="85"/>
      <c r="HM1020" s="85"/>
      <c r="HN1020" s="85"/>
      <c r="HO1020" s="85"/>
      <c r="HP1020" s="85"/>
      <c r="HQ1020" s="85"/>
      <c r="HR1020" s="85"/>
      <c r="HS1020" s="85"/>
      <c r="HT1020" s="85"/>
      <c r="HU1020" s="85"/>
      <c r="HV1020" s="85"/>
      <c r="HW1020" s="85"/>
      <c r="HX1020" s="85"/>
      <c r="HY1020" s="85"/>
      <c r="HZ1020" s="85"/>
      <c r="IA1020" s="85"/>
      <c r="IB1020" s="85"/>
      <c r="IC1020" s="85"/>
      <c r="ID1020" s="85"/>
      <c r="IE1020" s="85"/>
      <c r="IF1020" s="85"/>
      <c r="IG1020" s="85"/>
      <c r="IH1020" s="85"/>
      <c r="II1020" s="85"/>
      <c r="IJ1020" s="85"/>
      <c r="IK1020" s="85"/>
      <c r="IL1020" s="85"/>
      <c r="IM1020" s="85"/>
      <c r="IN1020" s="85"/>
      <c r="IO1020" s="85"/>
      <c r="IP1020" s="85"/>
      <c r="IQ1020" s="85"/>
      <c r="IR1020" s="85"/>
      <c r="IS1020" s="85"/>
      <c r="IT1020" s="85"/>
      <c r="IU1020" s="85"/>
      <c r="IV1020" s="85"/>
      <c r="IW1020" s="85"/>
      <c r="IX1020" s="85"/>
      <c r="IY1020" s="85"/>
      <c r="IZ1020" s="85"/>
      <c r="JA1020" s="85"/>
      <c r="JB1020" s="85"/>
      <c r="JC1020" s="85"/>
      <c r="JD1020" s="85"/>
      <c r="JE1020" s="85"/>
      <c r="JF1020" s="85"/>
      <c r="JG1020" s="85"/>
      <c r="JH1020" s="85"/>
      <c r="JI1020" s="85"/>
      <c r="JJ1020" s="85"/>
      <c r="JK1020" s="85"/>
      <c r="JL1020" s="85"/>
      <c r="JM1020" s="85"/>
      <c r="JN1020" s="85"/>
      <c r="JO1020" s="85"/>
      <c r="JP1020" s="85"/>
      <c r="JQ1020" s="85"/>
      <c r="JR1020" s="85"/>
      <c r="JS1020" s="85"/>
      <c r="JT1020" s="85"/>
      <c r="JU1020" s="85"/>
      <c r="JV1020" s="85"/>
      <c r="JW1020" s="85"/>
      <c r="JX1020" s="85"/>
      <c r="JY1020" s="85"/>
      <c r="JZ1020" s="85"/>
      <c r="KA1020" s="85"/>
      <c r="KB1020" s="85"/>
      <c r="KC1020" s="85"/>
      <c r="KD1020" s="85"/>
      <c r="KE1020" s="85"/>
      <c r="KF1020" s="85"/>
      <c r="KG1020" s="85"/>
      <c r="KH1020" s="85"/>
      <c r="KI1020" s="85"/>
      <c r="KJ1020" s="85"/>
      <c r="KK1020" s="85"/>
      <c r="KL1020" s="85"/>
      <c r="KM1020" s="85"/>
      <c r="KN1020" s="85"/>
      <c r="KO1020" s="85"/>
      <c r="KP1020" s="85"/>
      <c r="KQ1020" s="85"/>
      <c r="KR1020" s="85"/>
      <c r="KS1020" s="85"/>
      <c r="KT1020" s="85"/>
      <c r="KU1020" s="85"/>
      <c r="KV1020" s="85"/>
      <c r="KW1020" s="85"/>
      <c r="KX1020" s="85"/>
      <c r="KY1020" s="85"/>
      <c r="KZ1020" s="85"/>
      <c r="LA1020" s="85"/>
      <c r="LB1020" s="85"/>
      <c r="LC1020" s="85"/>
      <c r="LD1020" s="85"/>
      <c r="LE1020" s="85"/>
      <c r="LF1020" s="85"/>
      <c r="LG1020" s="85"/>
      <c r="LH1020" s="85"/>
      <c r="LI1020" s="85"/>
      <c r="LJ1020" s="85"/>
      <c r="LK1020" s="85"/>
      <c r="LL1020" s="85"/>
      <c r="LM1020" s="85"/>
      <c r="LN1020" s="85"/>
      <c r="LO1020" s="85"/>
      <c r="LP1020" s="85"/>
      <c r="LQ1020" s="85"/>
      <c r="LR1020" s="85"/>
      <c r="LS1020" s="85"/>
      <c r="LT1020" s="85"/>
      <c r="LU1020" s="85"/>
      <c r="LV1020" s="85"/>
      <c r="LW1020" s="85"/>
      <c r="LX1020" s="85"/>
      <c r="LY1020" s="85"/>
      <c r="LZ1020" s="85"/>
      <c r="MA1020" s="85"/>
      <c r="MB1020" s="85"/>
      <c r="MC1020" s="85"/>
      <c r="MD1020" s="85"/>
      <c r="ME1020" s="85"/>
      <c r="MF1020" s="85"/>
      <c r="MG1020" s="85"/>
      <c r="MH1020" s="85"/>
      <c r="MI1020" s="85"/>
      <c r="MJ1020" s="85"/>
      <c r="MK1020" s="85"/>
      <c r="ML1020" s="85"/>
      <c r="MM1020" s="85"/>
      <c r="MN1020" s="85"/>
      <c r="MO1020" s="85"/>
      <c r="MP1020" s="85"/>
      <c r="MQ1020" s="85"/>
      <c r="MR1020" s="85"/>
      <c r="MS1020" s="85"/>
      <c r="MT1020" s="85"/>
      <c r="MU1020" s="85"/>
      <c r="MV1020" s="85"/>
      <c r="MW1020" s="85"/>
      <c r="MX1020" s="85"/>
      <c r="MY1020" s="85"/>
      <c r="MZ1020" s="85"/>
      <c r="NA1020" s="85"/>
      <c r="NB1020" s="85"/>
      <c r="NC1020" s="85"/>
      <c r="ND1020" s="85"/>
      <c r="NE1020" s="85"/>
      <c r="NF1020" s="85"/>
      <c r="NG1020" s="85"/>
      <c r="NH1020" s="85"/>
      <c r="NI1020" s="85"/>
      <c r="NJ1020" s="85"/>
      <c r="NK1020" s="85"/>
      <c r="NL1020" s="85"/>
      <c r="NM1020" s="85"/>
      <c r="NN1020" s="85"/>
      <c r="NO1020" s="85"/>
      <c r="NP1020" s="85"/>
      <c r="NQ1020" s="85"/>
      <c r="NR1020" s="85"/>
      <c r="NS1020" s="85"/>
      <c r="NT1020" s="85"/>
      <c r="NU1020" s="85"/>
      <c r="NV1020" s="85"/>
      <c r="NW1020" s="85"/>
      <c r="NX1020" s="85"/>
      <c r="NY1020" s="85"/>
      <c r="NZ1020" s="85"/>
      <c r="OA1020" s="85"/>
      <c r="OB1020" s="85"/>
      <c r="OC1020" s="85"/>
      <c r="OD1020" s="85"/>
      <c r="OE1020" s="85"/>
      <c r="OF1020" s="85"/>
      <c r="OG1020" s="85"/>
      <c r="OH1020" s="85"/>
      <c r="OI1020" s="85"/>
      <c r="OJ1020" s="85"/>
      <c r="OK1020" s="85"/>
      <c r="OL1020" s="85"/>
      <c r="OM1020" s="85"/>
      <c r="ON1020" s="85"/>
      <c r="OO1020" s="85"/>
      <c r="OP1020" s="85"/>
      <c r="OQ1020" s="85"/>
      <c r="OR1020" s="85"/>
      <c r="OS1020" s="85"/>
      <c r="OT1020" s="85"/>
      <c r="OU1020" s="85"/>
      <c r="OV1020" s="85"/>
      <c r="OW1020" s="85"/>
      <c r="OX1020" s="85"/>
      <c r="OY1020" s="85"/>
      <c r="OZ1020" s="85"/>
      <c r="PA1020" s="85"/>
      <c r="PB1020" s="85"/>
      <c r="PC1020" s="85"/>
      <c r="PD1020" s="85"/>
      <c r="PE1020" s="85"/>
      <c r="PF1020" s="85"/>
      <c r="PG1020" s="85"/>
      <c r="PH1020" s="85"/>
      <c r="PI1020" s="85"/>
      <c r="PJ1020" s="85"/>
      <c r="PK1020" s="85"/>
      <c r="PL1020" s="85"/>
      <c r="PM1020" s="85"/>
      <c r="PN1020" s="85"/>
      <c r="PO1020" s="85"/>
      <c r="PP1020" s="85"/>
      <c r="PQ1020" s="85"/>
      <c r="PR1020" s="85"/>
      <c r="PS1020" s="85"/>
      <c r="PT1020" s="85"/>
      <c r="PU1020" s="85"/>
      <c r="PV1020" s="85"/>
      <c r="PW1020" s="85"/>
      <c r="PX1020" s="85"/>
      <c r="PY1020" s="85"/>
      <c r="PZ1020" s="85"/>
      <c r="QA1020" s="85"/>
      <c r="QB1020" s="85"/>
      <c r="QC1020" s="85"/>
      <c r="QD1020" s="85"/>
      <c r="QE1020" s="85"/>
      <c r="QF1020" s="85"/>
      <c r="QG1020" s="85"/>
      <c r="QH1020" s="85"/>
      <c r="QI1020" s="85"/>
      <c r="QJ1020" s="85"/>
      <c r="QK1020" s="85"/>
      <c r="QL1020" s="85"/>
      <c r="QM1020" s="85"/>
      <c r="QN1020" s="85"/>
      <c r="QO1020" s="85"/>
      <c r="QP1020" s="85"/>
      <c r="QQ1020" s="85"/>
      <c r="QR1020" s="85"/>
      <c r="QS1020" s="85"/>
      <c r="QT1020" s="85"/>
      <c r="QU1020" s="85"/>
      <c r="QV1020" s="85"/>
      <c r="QW1020" s="85"/>
      <c r="QX1020" s="85"/>
      <c r="QY1020" s="85"/>
      <c r="QZ1020" s="85"/>
      <c r="RA1020" s="85"/>
      <c r="RB1020" s="85"/>
      <c r="RC1020" s="85"/>
      <c r="RD1020" s="85"/>
      <c r="RE1020" s="85"/>
      <c r="RF1020" s="85"/>
      <c r="RG1020" s="85"/>
      <c r="RH1020" s="85"/>
      <c r="RI1020" s="85"/>
      <c r="RJ1020" s="85"/>
      <c r="RK1020" s="85"/>
      <c r="RL1020" s="85"/>
      <c r="RM1020" s="85"/>
      <c r="RN1020" s="85"/>
      <c r="RO1020" s="85"/>
      <c r="RP1020" s="85"/>
      <c r="RQ1020" s="85"/>
      <c r="RR1020" s="85"/>
      <c r="RS1020" s="85"/>
      <c r="RT1020" s="85"/>
      <c r="RU1020" s="85"/>
      <c r="RV1020" s="85"/>
      <c r="RW1020" s="85"/>
      <c r="RX1020" s="85"/>
      <c r="RY1020" s="85"/>
      <c r="RZ1020" s="85"/>
      <c r="SA1020" s="85"/>
      <c r="SB1020" s="85"/>
      <c r="SC1020" s="85"/>
      <c r="SD1020" s="85"/>
      <c r="SE1020" s="85"/>
      <c r="SF1020" s="85"/>
      <c r="SG1020" s="85"/>
      <c r="SH1020" s="85"/>
      <c r="SI1020" s="85"/>
      <c r="SJ1020" s="85"/>
      <c r="SK1020" s="85"/>
      <c r="SL1020" s="85"/>
      <c r="SM1020" s="85"/>
      <c r="SN1020" s="85"/>
      <c r="SO1020" s="85"/>
      <c r="SP1020" s="85"/>
      <c r="SQ1020" s="85"/>
      <c r="SR1020" s="85"/>
      <c r="SS1020" s="85"/>
      <c r="ST1020" s="85"/>
      <c r="SU1020" s="85"/>
      <c r="SV1020" s="85"/>
      <c r="SW1020" s="85"/>
      <c r="SX1020" s="85"/>
      <c r="SY1020" s="85"/>
      <c r="SZ1020" s="85"/>
      <c r="TA1020" s="85"/>
      <c r="TB1020" s="85"/>
      <c r="TC1020" s="85"/>
      <c r="TD1020" s="85"/>
      <c r="TE1020" s="85"/>
      <c r="TF1020" s="85"/>
      <c r="TG1020" s="85"/>
      <c r="TH1020" s="85"/>
      <c r="TI1020" s="85"/>
      <c r="TJ1020" s="85"/>
      <c r="TK1020" s="85"/>
      <c r="TL1020" s="85"/>
    </row>
    <row r="1021" spans="1:532" s="168" customFormat="1" ht="12.75" customHeight="1">
      <c r="A1021" s="164" t="s">
        <v>360</v>
      </c>
      <c r="B1021" s="239"/>
      <c r="C1021" s="165"/>
      <c r="D1021" s="165">
        <f t="shared" ref="D1021:E1023" si="60">+D991+D501</f>
        <v>34922944348.794533</v>
      </c>
      <c r="E1021" s="165">
        <f t="shared" si="60"/>
        <v>39261625654.421562</v>
      </c>
      <c r="F1021" s="238"/>
      <c r="G1021" s="166"/>
      <c r="H1021" s="167"/>
      <c r="I1021" s="165">
        <f>+I991+I501</f>
        <v>21373746907.930004</v>
      </c>
      <c r="J1021" s="165">
        <f t="shared" ref="J1021:M1021" si="61">+J991+J501</f>
        <v>7507547308.3500004</v>
      </c>
      <c r="K1021" s="165">
        <f t="shared" si="61"/>
        <v>9451194685</v>
      </c>
      <c r="L1021" s="165">
        <f t="shared" si="61"/>
        <v>0</v>
      </c>
      <c r="M1021" s="165">
        <f t="shared" si="61"/>
        <v>0</v>
      </c>
      <c r="N1021" s="165">
        <f>+N991+N501+N1008</f>
        <v>27228858785.953396</v>
      </c>
      <c r="O1021" s="85"/>
      <c r="P1021" s="85"/>
      <c r="Q1021" s="85"/>
      <c r="R1021" s="85"/>
      <c r="S1021" s="85"/>
      <c r="T1021" s="85"/>
      <c r="U1021" s="85"/>
      <c r="V1021" s="85"/>
      <c r="W1021" s="85"/>
      <c r="X1021" s="85"/>
      <c r="Y1021" s="85"/>
      <c r="Z1021" s="85"/>
      <c r="AA1021" s="85"/>
      <c r="AB1021" s="85"/>
      <c r="AC1021" s="85"/>
      <c r="AD1021" s="85"/>
      <c r="AE1021" s="85"/>
      <c r="AF1021" s="85"/>
      <c r="AG1021" s="85"/>
      <c r="AH1021" s="85"/>
      <c r="AI1021" s="85"/>
      <c r="AJ1021" s="85"/>
      <c r="AK1021" s="85"/>
      <c r="AL1021" s="85"/>
      <c r="AM1021" s="85"/>
      <c r="AN1021" s="85"/>
      <c r="AO1021" s="85"/>
      <c r="AP1021" s="85"/>
      <c r="AQ1021" s="85"/>
      <c r="AR1021" s="85"/>
      <c r="AS1021" s="85"/>
      <c r="AT1021" s="85"/>
      <c r="AU1021" s="85"/>
      <c r="AV1021" s="85"/>
      <c r="AW1021" s="85"/>
      <c r="AX1021" s="85"/>
      <c r="AY1021" s="85"/>
      <c r="AZ1021" s="85"/>
      <c r="BA1021" s="85"/>
      <c r="BB1021" s="85"/>
      <c r="BC1021" s="85"/>
      <c r="BD1021" s="85"/>
      <c r="BE1021" s="85"/>
      <c r="BF1021" s="85"/>
      <c r="BG1021" s="85"/>
      <c r="BH1021" s="85"/>
      <c r="BI1021" s="85"/>
      <c r="BJ1021" s="85"/>
      <c r="BK1021" s="85"/>
      <c r="BL1021" s="85"/>
      <c r="BM1021" s="85"/>
      <c r="BN1021" s="85"/>
      <c r="BO1021" s="85"/>
      <c r="BP1021" s="85"/>
      <c r="BQ1021" s="85"/>
      <c r="BR1021" s="85"/>
      <c r="BS1021" s="85"/>
      <c r="BT1021" s="85"/>
      <c r="BU1021" s="85"/>
      <c r="BV1021" s="85"/>
      <c r="BW1021" s="85"/>
      <c r="BX1021" s="85"/>
      <c r="BY1021" s="85"/>
      <c r="BZ1021" s="85"/>
      <c r="CA1021" s="85"/>
      <c r="CB1021" s="85"/>
      <c r="CC1021" s="85"/>
      <c r="CD1021" s="85"/>
      <c r="CE1021" s="85"/>
      <c r="CF1021" s="85"/>
      <c r="CG1021" s="85"/>
      <c r="CH1021" s="85"/>
      <c r="CI1021" s="85"/>
      <c r="CJ1021" s="85"/>
      <c r="CK1021" s="85"/>
      <c r="CL1021" s="85"/>
      <c r="CM1021" s="85"/>
      <c r="CN1021" s="85"/>
      <c r="CO1021" s="85"/>
      <c r="CP1021" s="85"/>
      <c r="CQ1021" s="85"/>
      <c r="CR1021" s="85"/>
      <c r="CS1021" s="85"/>
      <c r="CT1021" s="85"/>
      <c r="CU1021" s="85"/>
      <c r="CV1021" s="85"/>
      <c r="CW1021" s="85"/>
      <c r="CX1021" s="85"/>
      <c r="CY1021" s="85"/>
      <c r="CZ1021" s="85"/>
      <c r="DA1021" s="85"/>
      <c r="DB1021" s="85"/>
      <c r="DC1021" s="85"/>
      <c r="DD1021" s="85"/>
      <c r="DE1021" s="85"/>
      <c r="DF1021" s="85"/>
      <c r="DG1021" s="85"/>
      <c r="DH1021" s="85"/>
      <c r="DI1021" s="85"/>
      <c r="DJ1021" s="85"/>
      <c r="DK1021" s="85"/>
      <c r="DL1021" s="85"/>
      <c r="DM1021" s="85"/>
      <c r="DN1021" s="85"/>
      <c r="DO1021" s="85"/>
      <c r="DP1021" s="85"/>
      <c r="DQ1021" s="85"/>
      <c r="DR1021" s="85"/>
      <c r="DS1021" s="85"/>
      <c r="DT1021" s="85"/>
      <c r="DU1021" s="85"/>
      <c r="DV1021" s="85"/>
      <c r="DW1021" s="85"/>
      <c r="DX1021" s="85"/>
      <c r="DY1021" s="85"/>
      <c r="DZ1021" s="85"/>
      <c r="EA1021" s="85"/>
      <c r="EB1021" s="85"/>
      <c r="EC1021" s="85"/>
      <c r="ED1021" s="85"/>
      <c r="EE1021" s="85"/>
      <c r="EF1021" s="85"/>
      <c r="EG1021" s="85"/>
      <c r="EH1021" s="85"/>
      <c r="EI1021" s="85"/>
      <c r="EJ1021" s="85"/>
      <c r="EK1021" s="85"/>
      <c r="EL1021" s="85"/>
      <c r="EM1021" s="85"/>
      <c r="EN1021" s="85"/>
      <c r="EO1021" s="85"/>
      <c r="EP1021" s="85"/>
      <c r="EQ1021" s="85"/>
      <c r="ER1021" s="85"/>
      <c r="ES1021" s="85"/>
      <c r="ET1021" s="85"/>
      <c r="EU1021" s="85"/>
      <c r="EV1021" s="85"/>
      <c r="EW1021" s="85"/>
      <c r="EX1021" s="85"/>
      <c r="EY1021" s="85"/>
      <c r="EZ1021" s="85"/>
      <c r="FA1021" s="85"/>
      <c r="FB1021" s="85"/>
      <c r="FC1021" s="85"/>
      <c r="FD1021" s="85"/>
      <c r="FE1021" s="85"/>
      <c r="FF1021" s="85"/>
      <c r="FG1021" s="85"/>
      <c r="FH1021" s="85"/>
      <c r="FI1021" s="85"/>
      <c r="FJ1021" s="85"/>
      <c r="FK1021" s="85"/>
      <c r="FL1021" s="85"/>
      <c r="FM1021" s="85"/>
      <c r="FN1021" s="85"/>
      <c r="FO1021" s="85"/>
      <c r="FP1021" s="85"/>
      <c r="FQ1021" s="85"/>
      <c r="FR1021" s="85"/>
      <c r="FS1021" s="85"/>
      <c r="FT1021" s="85"/>
      <c r="FU1021" s="85"/>
      <c r="FV1021" s="85"/>
      <c r="FW1021" s="85"/>
      <c r="FX1021" s="85"/>
      <c r="FY1021" s="85"/>
      <c r="FZ1021" s="85"/>
      <c r="GA1021" s="85"/>
      <c r="GB1021" s="85"/>
      <c r="GC1021" s="85"/>
      <c r="GD1021" s="85"/>
      <c r="GE1021" s="85"/>
      <c r="GF1021" s="85"/>
      <c r="GG1021" s="85"/>
      <c r="GH1021" s="85"/>
      <c r="GI1021" s="85"/>
      <c r="GJ1021" s="85"/>
      <c r="GK1021" s="85"/>
      <c r="GL1021" s="85"/>
      <c r="GM1021" s="85"/>
      <c r="GN1021" s="85"/>
      <c r="GO1021" s="85"/>
      <c r="GP1021" s="85"/>
      <c r="GQ1021" s="85"/>
      <c r="GR1021" s="85"/>
      <c r="GS1021" s="85"/>
      <c r="GT1021" s="85"/>
      <c r="GU1021" s="85"/>
      <c r="GV1021" s="85"/>
      <c r="GW1021" s="85"/>
      <c r="GX1021" s="85"/>
      <c r="GY1021" s="85"/>
      <c r="GZ1021" s="85"/>
      <c r="HA1021" s="85"/>
      <c r="HB1021" s="85"/>
      <c r="HC1021" s="85"/>
      <c r="HD1021" s="85"/>
      <c r="HE1021" s="85"/>
      <c r="HF1021" s="85"/>
      <c r="HG1021" s="85"/>
      <c r="HH1021" s="85"/>
      <c r="HI1021" s="85"/>
      <c r="HJ1021" s="85"/>
      <c r="HK1021" s="85"/>
      <c r="HL1021" s="85"/>
      <c r="HM1021" s="85"/>
      <c r="HN1021" s="85"/>
      <c r="HO1021" s="85"/>
      <c r="HP1021" s="85"/>
      <c r="HQ1021" s="85"/>
      <c r="HR1021" s="85"/>
      <c r="HS1021" s="85"/>
      <c r="HT1021" s="85"/>
      <c r="HU1021" s="85"/>
      <c r="HV1021" s="85"/>
      <c r="HW1021" s="85"/>
      <c r="HX1021" s="85"/>
      <c r="HY1021" s="85"/>
      <c r="HZ1021" s="85"/>
      <c r="IA1021" s="85"/>
      <c r="IB1021" s="85"/>
      <c r="IC1021" s="85"/>
      <c r="ID1021" s="85"/>
      <c r="IE1021" s="85"/>
      <c r="IF1021" s="85"/>
      <c r="IG1021" s="85"/>
      <c r="IH1021" s="85"/>
      <c r="II1021" s="85"/>
      <c r="IJ1021" s="85"/>
      <c r="IK1021" s="85"/>
      <c r="IL1021" s="85"/>
      <c r="IM1021" s="85"/>
      <c r="IN1021" s="85"/>
      <c r="IO1021" s="85"/>
      <c r="IP1021" s="85"/>
      <c r="IQ1021" s="85"/>
      <c r="IR1021" s="85"/>
      <c r="IS1021" s="85"/>
      <c r="IT1021" s="85"/>
      <c r="IU1021" s="85"/>
      <c r="IV1021" s="85"/>
      <c r="IW1021" s="85"/>
      <c r="IX1021" s="85"/>
      <c r="IY1021" s="85"/>
      <c r="IZ1021" s="85"/>
      <c r="JA1021" s="85"/>
      <c r="JB1021" s="85"/>
      <c r="JC1021" s="85"/>
      <c r="JD1021" s="85"/>
      <c r="JE1021" s="85"/>
      <c r="JF1021" s="85"/>
      <c r="JG1021" s="85"/>
      <c r="JH1021" s="85"/>
      <c r="JI1021" s="85"/>
      <c r="JJ1021" s="85"/>
      <c r="JK1021" s="85"/>
      <c r="JL1021" s="85"/>
      <c r="JM1021" s="85"/>
      <c r="JN1021" s="85"/>
      <c r="JO1021" s="85"/>
      <c r="JP1021" s="85"/>
      <c r="JQ1021" s="85"/>
      <c r="JR1021" s="85"/>
      <c r="JS1021" s="85"/>
      <c r="JT1021" s="85"/>
      <c r="JU1021" s="85"/>
      <c r="JV1021" s="85"/>
      <c r="JW1021" s="85"/>
      <c r="JX1021" s="85"/>
      <c r="JY1021" s="85"/>
      <c r="JZ1021" s="85"/>
      <c r="KA1021" s="85"/>
      <c r="KB1021" s="85"/>
      <c r="KC1021" s="85"/>
      <c r="KD1021" s="85"/>
      <c r="KE1021" s="85"/>
      <c r="KF1021" s="85"/>
      <c r="KG1021" s="85"/>
      <c r="KH1021" s="85"/>
      <c r="KI1021" s="85"/>
      <c r="KJ1021" s="85"/>
      <c r="KK1021" s="85"/>
      <c r="KL1021" s="85"/>
      <c r="KM1021" s="85"/>
      <c r="KN1021" s="85"/>
      <c r="KO1021" s="85"/>
      <c r="KP1021" s="85"/>
      <c r="KQ1021" s="85"/>
      <c r="KR1021" s="85"/>
      <c r="KS1021" s="85"/>
      <c r="KT1021" s="85"/>
      <c r="KU1021" s="85"/>
      <c r="KV1021" s="85"/>
      <c r="KW1021" s="85"/>
      <c r="KX1021" s="85"/>
      <c r="KY1021" s="85"/>
      <c r="KZ1021" s="85"/>
      <c r="LA1021" s="85"/>
      <c r="LB1021" s="85"/>
      <c r="LC1021" s="85"/>
      <c r="LD1021" s="85"/>
      <c r="LE1021" s="85"/>
      <c r="LF1021" s="85"/>
      <c r="LG1021" s="85"/>
      <c r="LH1021" s="85"/>
      <c r="LI1021" s="85"/>
      <c r="LJ1021" s="85"/>
      <c r="LK1021" s="85"/>
      <c r="LL1021" s="85"/>
      <c r="LM1021" s="85"/>
      <c r="LN1021" s="85"/>
      <c r="LO1021" s="85"/>
      <c r="LP1021" s="85"/>
      <c r="LQ1021" s="85"/>
      <c r="LR1021" s="85"/>
      <c r="LS1021" s="85"/>
      <c r="LT1021" s="85"/>
      <c r="LU1021" s="85"/>
      <c r="LV1021" s="85"/>
      <c r="LW1021" s="85"/>
      <c r="LX1021" s="85"/>
      <c r="LY1021" s="85"/>
      <c r="LZ1021" s="85"/>
      <c r="MA1021" s="85"/>
      <c r="MB1021" s="85"/>
      <c r="MC1021" s="85"/>
      <c r="MD1021" s="85"/>
      <c r="ME1021" s="85"/>
      <c r="MF1021" s="85"/>
      <c r="MG1021" s="85"/>
      <c r="MH1021" s="85"/>
      <c r="MI1021" s="85"/>
      <c r="MJ1021" s="85"/>
      <c r="MK1021" s="85"/>
      <c r="ML1021" s="85"/>
      <c r="MM1021" s="85"/>
      <c r="MN1021" s="85"/>
      <c r="MO1021" s="85"/>
      <c r="MP1021" s="85"/>
      <c r="MQ1021" s="85"/>
      <c r="MR1021" s="85"/>
      <c r="MS1021" s="85"/>
      <c r="MT1021" s="85"/>
      <c r="MU1021" s="85"/>
      <c r="MV1021" s="85"/>
      <c r="MW1021" s="85"/>
      <c r="MX1021" s="85"/>
      <c r="MY1021" s="85"/>
      <c r="MZ1021" s="85"/>
      <c r="NA1021" s="85"/>
      <c r="NB1021" s="85"/>
      <c r="NC1021" s="85"/>
      <c r="ND1021" s="85"/>
      <c r="NE1021" s="85"/>
      <c r="NF1021" s="85"/>
      <c r="NG1021" s="85"/>
      <c r="NH1021" s="85"/>
      <c r="NI1021" s="85"/>
      <c r="NJ1021" s="85"/>
      <c r="NK1021" s="85"/>
      <c r="NL1021" s="85"/>
      <c r="NM1021" s="85"/>
      <c r="NN1021" s="85"/>
      <c r="NO1021" s="85"/>
      <c r="NP1021" s="85"/>
      <c r="NQ1021" s="85"/>
      <c r="NR1021" s="85"/>
      <c r="NS1021" s="85"/>
      <c r="NT1021" s="85"/>
      <c r="NU1021" s="85"/>
      <c r="NV1021" s="85"/>
      <c r="NW1021" s="85"/>
      <c r="NX1021" s="85"/>
      <c r="NY1021" s="85"/>
      <c r="NZ1021" s="85"/>
      <c r="OA1021" s="85"/>
      <c r="OB1021" s="85"/>
      <c r="OC1021" s="85"/>
      <c r="OD1021" s="85"/>
      <c r="OE1021" s="85"/>
      <c r="OF1021" s="85"/>
      <c r="OG1021" s="85"/>
      <c r="OH1021" s="85"/>
      <c r="OI1021" s="85"/>
      <c r="OJ1021" s="85"/>
      <c r="OK1021" s="85"/>
      <c r="OL1021" s="85"/>
      <c r="OM1021" s="85"/>
      <c r="ON1021" s="85"/>
      <c r="OO1021" s="85"/>
      <c r="OP1021" s="85"/>
      <c r="OQ1021" s="85"/>
      <c r="OR1021" s="85"/>
      <c r="OS1021" s="85"/>
      <c r="OT1021" s="85"/>
      <c r="OU1021" s="85"/>
      <c r="OV1021" s="85"/>
      <c r="OW1021" s="85"/>
      <c r="OX1021" s="85"/>
      <c r="OY1021" s="85"/>
      <c r="OZ1021" s="85"/>
      <c r="PA1021" s="85"/>
      <c r="PB1021" s="85"/>
      <c r="PC1021" s="85"/>
      <c r="PD1021" s="85"/>
      <c r="PE1021" s="85"/>
      <c r="PF1021" s="85"/>
      <c r="PG1021" s="85"/>
      <c r="PH1021" s="85"/>
      <c r="PI1021" s="85"/>
      <c r="PJ1021" s="85"/>
      <c r="PK1021" s="85"/>
      <c r="PL1021" s="85"/>
      <c r="PM1021" s="85"/>
      <c r="PN1021" s="85"/>
      <c r="PO1021" s="85"/>
      <c r="PP1021" s="85"/>
      <c r="PQ1021" s="85"/>
      <c r="PR1021" s="85"/>
      <c r="PS1021" s="85"/>
      <c r="PT1021" s="85"/>
      <c r="PU1021" s="85"/>
      <c r="PV1021" s="85"/>
      <c r="PW1021" s="85"/>
      <c r="PX1021" s="85"/>
      <c r="PY1021" s="85"/>
      <c r="PZ1021" s="85"/>
      <c r="QA1021" s="85"/>
      <c r="QB1021" s="85"/>
      <c r="QC1021" s="85"/>
      <c r="QD1021" s="85"/>
      <c r="QE1021" s="85"/>
      <c r="QF1021" s="85"/>
      <c r="QG1021" s="85"/>
      <c r="QH1021" s="85"/>
      <c r="QI1021" s="85"/>
      <c r="QJ1021" s="85"/>
      <c r="QK1021" s="85"/>
      <c r="QL1021" s="85"/>
      <c r="QM1021" s="85"/>
      <c r="QN1021" s="85"/>
      <c r="QO1021" s="85"/>
      <c r="QP1021" s="85"/>
      <c r="QQ1021" s="85"/>
      <c r="QR1021" s="85"/>
      <c r="QS1021" s="85"/>
      <c r="QT1021" s="85"/>
      <c r="QU1021" s="85"/>
      <c r="QV1021" s="85"/>
      <c r="QW1021" s="85"/>
      <c r="QX1021" s="85"/>
      <c r="QY1021" s="85"/>
      <c r="QZ1021" s="85"/>
      <c r="RA1021" s="85"/>
      <c r="RB1021" s="85"/>
      <c r="RC1021" s="85"/>
      <c r="RD1021" s="85"/>
      <c r="RE1021" s="85"/>
      <c r="RF1021" s="85"/>
      <c r="RG1021" s="85"/>
      <c r="RH1021" s="85"/>
      <c r="RI1021" s="85"/>
      <c r="RJ1021" s="85"/>
      <c r="RK1021" s="85"/>
      <c r="RL1021" s="85"/>
      <c r="RM1021" s="85"/>
      <c r="RN1021" s="85"/>
      <c r="RO1021" s="85"/>
      <c r="RP1021" s="85"/>
      <c r="RQ1021" s="85"/>
      <c r="RR1021" s="85"/>
      <c r="RS1021" s="85"/>
      <c r="RT1021" s="85"/>
      <c r="RU1021" s="85"/>
      <c r="RV1021" s="85"/>
      <c r="RW1021" s="85"/>
      <c r="RX1021" s="85"/>
      <c r="RY1021" s="85"/>
      <c r="RZ1021" s="85"/>
      <c r="SA1021" s="85"/>
      <c r="SB1021" s="85"/>
      <c r="SC1021" s="85"/>
      <c r="SD1021" s="85"/>
      <c r="SE1021" s="85"/>
      <c r="SF1021" s="85"/>
      <c r="SG1021" s="85"/>
      <c r="SH1021" s="85"/>
      <c r="SI1021" s="85"/>
      <c r="SJ1021" s="85"/>
      <c r="SK1021" s="85"/>
      <c r="SL1021" s="85"/>
      <c r="SM1021" s="85"/>
      <c r="SN1021" s="85"/>
      <c r="SO1021" s="85"/>
      <c r="SP1021" s="85"/>
      <c r="SQ1021" s="85"/>
      <c r="SR1021" s="85"/>
      <c r="SS1021" s="85"/>
      <c r="ST1021" s="85"/>
      <c r="SU1021" s="85"/>
      <c r="SV1021" s="85"/>
      <c r="SW1021" s="85"/>
      <c r="SX1021" s="85"/>
      <c r="SY1021" s="85"/>
      <c r="SZ1021" s="85"/>
      <c r="TA1021" s="85"/>
      <c r="TB1021" s="85"/>
      <c r="TC1021" s="85"/>
      <c r="TD1021" s="85"/>
      <c r="TE1021" s="85"/>
      <c r="TF1021" s="85"/>
      <c r="TG1021" s="85"/>
      <c r="TH1021" s="85"/>
      <c r="TI1021" s="85"/>
      <c r="TJ1021" s="85"/>
      <c r="TK1021" s="85"/>
      <c r="TL1021" s="85"/>
    </row>
    <row r="1022" spans="1:532" s="172" customFormat="1" ht="12.75" customHeight="1">
      <c r="A1022" s="169" t="s">
        <v>361</v>
      </c>
      <c r="B1022" s="237"/>
      <c r="C1022" s="170"/>
      <c r="D1022" s="170">
        <f t="shared" si="60"/>
        <v>44216689681.03347</v>
      </c>
      <c r="E1022" s="170">
        <f t="shared" si="60"/>
        <v>51019138369.920006</v>
      </c>
      <c r="F1022" s="236"/>
      <c r="G1022" s="171"/>
      <c r="H1022" s="120"/>
      <c r="I1022" s="170">
        <f>+I992+I502</f>
        <v>19781058023.399998</v>
      </c>
      <c r="J1022" s="170">
        <f t="shared" ref="J1022:M1022" si="62">+J992+J502</f>
        <v>18082518589.32</v>
      </c>
      <c r="K1022" s="170">
        <f t="shared" si="62"/>
        <v>5847151474.6099987</v>
      </c>
      <c r="L1022" s="170">
        <f t="shared" si="62"/>
        <v>266392874.04999998</v>
      </c>
      <c r="M1022" s="170">
        <f t="shared" si="62"/>
        <v>0</v>
      </c>
      <c r="N1022" s="170">
        <f>+N992+N502+N1020</f>
        <v>21897100307.071213</v>
      </c>
      <c r="O1022" s="85"/>
      <c r="P1022" s="85"/>
      <c r="Q1022" s="85"/>
      <c r="R1022" s="85"/>
      <c r="S1022" s="85"/>
      <c r="T1022" s="85"/>
      <c r="U1022" s="85"/>
      <c r="V1022" s="85"/>
      <c r="W1022" s="85"/>
      <c r="X1022" s="85"/>
      <c r="Y1022" s="85"/>
      <c r="Z1022" s="85"/>
      <c r="AA1022" s="85"/>
      <c r="AB1022" s="85"/>
      <c r="AC1022" s="85"/>
      <c r="AD1022" s="85"/>
      <c r="AE1022" s="85"/>
      <c r="AF1022" s="85"/>
      <c r="AG1022" s="85"/>
      <c r="AH1022" s="85"/>
      <c r="AI1022" s="85"/>
      <c r="AJ1022" s="85"/>
      <c r="AK1022" s="85"/>
      <c r="AL1022" s="85"/>
      <c r="AM1022" s="85"/>
      <c r="AN1022" s="85"/>
      <c r="AO1022" s="85"/>
      <c r="AP1022" s="85"/>
      <c r="AQ1022" s="85"/>
      <c r="AR1022" s="85"/>
      <c r="AS1022" s="85"/>
      <c r="AT1022" s="85"/>
      <c r="AU1022" s="85"/>
      <c r="AV1022" s="85"/>
      <c r="AW1022" s="85"/>
      <c r="AX1022" s="85"/>
      <c r="AY1022" s="85"/>
      <c r="AZ1022" s="85"/>
      <c r="BA1022" s="85"/>
      <c r="BB1022" s="85"/>
      <c r="BC1022" s="85"/>
      <c r="BD1022" s="85"/>
      <c r="BE1022" s="85"/>
      <c r="BF1022" s="85"/>
      <c r="BG1022" s="85"/>
      <c r="BH1022" s="85"/>
      <c r="BI1022" s="85"/>
      <c r="BJ1022" s="85"/>
      <c r="BK1022" s="85"/>
      <c r="BL1022" s="85"/>
      <c r="BM1022" s="85"/>
      <c r="BN1022" s="85"/>
      <c r="BO1022" s="85"/>
      <c r="BP1022" s="85"/>
      <c r="BQ1022" s="85"/>
      <c r="BR1022" s="85"/>
      <c r="BS1022" s="85"/>
      <c r="BT1022" s="85"/>
      <c r="BU1022" s="85"/>
      <c r="BV1022" s="85"/>
      <c r="BW1022" s="85"/>
      <c r="BX1022" s="85"/>
      <c r="BY1022" s="85"/>
      <c r="BZ1022" s="85"/>
      <c r="CA1022" s="85"/>
      <c r="CB1022" s="85"/>
      <c r="CC1022" s="85"/>
      <c r="CD1022" s="85"/>
      <c r="CE1022" s="85"/>
      <c r="CF1022" s="85"/>
      <c r="CG1022" s="85"/>
      <c r="CH1022" s="85"/>
      <c r="CI1022" s="85"/>
      <c r="CJ1022" s="85"/>
      <c r="CK1022" s="85"/>
      <c r="CL1022" s="85"/>
      <c r="CM1022" s="85"/>
      <c r="CN1022" s="85"/>
      <c r="CO1022" s="85"/>
      <c r="CP1022" s="85"/>
      <c r="CQ1022" s="85"/>
      <c r="CR1022" s="85"/>
      <c r="CS1022" s="85"/>
      <c r="CT1022" s="85"/>
      <c r="CU1022" s="85"/>
      <c r="CV1022" s="85"/>
      <c r="CW1022" s="85"/>
      <c r="CX1022" s="85"/>
      <c r="CY1022" s="85"/>
      <c r="CZ1022" s="85"/>
      <c r="DA1022" s="85"/>
      <c r="DB1022" s="85"/>
      <c r="DC1022" s="85"/>
      <c r="DD1022" s="85"/>
      <c r="DE1022" s="85"/>
      <c r="DF1022" s="85"/>
      <c r="DG1022" s="85"/>
      <c r="DH1022" s="85"/>
      <c r="DI1022" s="85"/>
      <c r="DJ1022" s="85"/>
      <c r="DK1022" s="85"/>
      <c r="DL1022" s="85"/>
      <c r="DM1022" s="85"/>
      <c r="DN1022" s="85"/>
      <c r="DO1022" s="85"/>
      <c r="DP1022" s="85"/>
      <c r="DQ1022" s="85"/>
      <c r="DR1022" s="85"/>
      <c r="DS1022" s="85"/>
      <c r="DT1022" s="85"/>
      <c r="DU1022" s="85"/>
      <c r="DV1022" s="85"/>
      <c r="DW1022" s="85"/>
      <c r="DX1022" s="85"/>
      <c r="DY1022" s="85"/>
      <c r="DZ1022" s="85"/>
      <c r="EA1022" s="85"/>
      <c r="EB1022" s="85"/>
      <c r="EC1022" s="85"/>
      <c r="ED1022" s="85"/>
      <c r="EE1022" s="85"/>
      <c r="EF1022" s="85"/>
      <c r="EG1022" s="85"/>
      <c r="EH1022" s="85"/>
      <c r="EI1022" s="85"/>
      <c r="EJ1022" s="85"/>
      <c r="EK1022" s="85"/>
      <c r="EL1022" s="85"/>
      <c r="EM1022" s="85"/>
      <c r="EN1022" s="85"/>
      <c r="EO1022" s="85"/>
      <c r="EP1022" s="85"/>
      <c r="EQ1022" s="85"/>
      <c r="ER1022" s="85"/>
      <c r="ES1022" s="85"/>
      <c r="ET1022" s="85"/>
      <c r="EU1022" s="85"/>
      <c r="EV1022" s="85"/>
      <c r="EW1022" s="85"/>
      <c r="EX1022" s="85"/>
      <c r="EY1022" s="85"/>
      <c r="EZ1022" s="85"/>
      <c r="FA1022" s="85"/>
      <c r="FB1022" s="85"/>
      <c r="FC1022" s="85"/>
      <c r="FD1022" s="85"/>
      <c r="FE1022" s="85"/>
      <c r="FF1022" s="85"/>
      <c r="FG1022" s="85"/>
      <c r="FH1022" s="85"/>
      <c r="FI1022" s="85"/>
      <c r="FJ1022" s="85"/>
      <c r="FK1022" s="85"/>
      <c r="FL1022" s="85"/>
      <c r="FM1022" s="85"/>
      <c r="FN1022" s="85"/>
      <c r="FO1022" s="85"/>
      <c r="FP1022" s="85"/>
      <c r="FQ1022" s="85"/>
      <c r="FR1022" s="85"/>
      <c r="FS1022" s="85"/>
      <c r="FT1022" s="85"/>
      <c r="FU1022" s="85"/>
      <c r="FV1022" s="85"/>
      <c r="FW1022" s="85"/>
      <c r="FX1022" s="85"/>
      <c r="FY1022" s="85"/>
      <c r="FZ1022" s="85"/>
      <c r="GA1022" s="85"/>
      <c r="GB1022" s="85"/>
      <c r="GC1022" s="85"/>
      <c r="GD1022" s="85"/>
      <c r="GE1022" s="85"/>
      <c r="GF1022" s="85"/>
      <c r="GG1022" s="85"/>
      <c r="GH1022" s="85"/>
      <c r="GI1022" s="85"/>
      <c r="GJ1022" s="85"/>
      <c r="GK1022" s="85"/>
      <c r="GL1022" s="85"/>
      <c r="GM1022" s="85"/>
      <c r="GN1022" s="85"/>
      <c r="GO1022" s="85"/>
      <c r="GP1022" s="85"/>
      <c r="GQ1022" s="85"/>
      <c r="GR1022" s="85"/>
      <c r="GS1022" s="85"/>
      <c r="GT1022" s="85"/>
      <c r="GU1022" s="85"/>
      <c r="GV1022" s="85"/>
      <c r="GW1022" s="85"/>
      <c r="GX1022" s="85"/>
      <c r="GY1022" s="85"/>
      <c r="GZ1022" s="85"/>
      <c r="HA1022" s="85"/>
      <c r="HB1022" s="85"/>
      <c r="HC1022" s="85"/>
      <c r="HD1022" s="85"/>
      <c r="HE1022" s="85"/>
      <c r="HF1022" s="85"/>
      <c r="HG1022" s="85"/>
      <c r="HH1022" s="85"/>
      <c r="HI1022" s="85"/>
      <c r="HJ1022" s="85"/>
      <c r="HK1022" s="85"/>
      <c r="HL1022" s="85"/>
      <c r="HM1022" s="85"/>
      <c r="HN1022" s="85"/>
      <c r="HO1022" s="85"/>
      <c r="HP1022" s="85"/>
      <c r="HQ1022" s="85"/>
      <c r="HR1022" s="85"/>
      <c r="HS1022" s="85"/>
      <c r="HT1022" s="85"/>
      <c r="HU1022" s="85"/>
      <c r="HV1022" s="85"/>
      <c r="HW1022" s="85"/>
      <c r="HX1022" s="85"/>
      <c r="HY1022" s="85"/>
      <c r="HZ1022" s="85"/>
      <c r="IA1022" s="85"/>
      <c r="IB1022" s="85"/>
      <c r="IC1022" s="85"/>
      <c r="ID1022" s="85"/>
      <c r="IE1022" s="85"/>
      <c r="IF1022" s="85"/>
      <c r="IG1022" s="85"/>
      <c r="IH1022" s="85"/>
      <c r="II1022" s="85"/>
      <c r="IJ1022" s="85"/>
      <c r="IK1022" s="85"/>
      <c r="IL1022" s="85"/>
      <c r="IM1022" s="85"/>
      <c r="IN1022" s="85"/>
      <c r="IO1022" s="85"/>
      <c r="IP1022" s="85"/>
      <c r="IQ1022" s="85"/>
      <c r="IR1022" s="85"/>
      <c r="IS1022" s="85"/>
      <c r="IT1022" s="85"/>
      <c r="IU1022" s="85"/>
      <c r="IV1022" s="85"/>
      <c r="IW1022" s="85"/>
      <c r="IX1022" s="85"/>
      <c r="IY1022" s="85"/>
      <c r="IZ1022" s="85"/>
      <c r="JA1022" s="85"/>
      <c r="JB1022" s="85"/>
      <c r="JC1022" s="85"/>
      <c r="JD1022" s="85"/>
      <c r="JE1022" s="85"/>
      <c r="JF1022" s="85"/>
      <c r="JG1022" s="85"/>
      <c r="JH1022" s="85"/>
      <c r="JI1022" s="85"/>
      <c r="JJ1022" s="85"/>
      <c r="JK1022" s="85"/>
      <c r="JL1022" s="85"/>
      <c r="JM1022" s="85"/>
      <c r="JN1022" s="85"/>
      <c r="JO1022" s="85"/>
      <c r="JP1022" s="85"/>
      <c r="JQ1022" s="85"/>
      <c r="JR1022" s="85"/>
      <c r="JS1022" s="85"/>
      <c r="JT1022" s="85"/>
      <c r="JU1022" s="85"/>
      <c r="JV1022" s="85"/>
      <c r="JW1022" s="85"/>
      <c r="JX1022" s="85"/>
      <c r="JY1022" s="85"/>
      <c r="JZ1022" s="85"/>
      <c r="KA1022" s="85"/>
      <c r="KB1022" s="85"/>
      <c r="KC1022" s="85"/>
      <c r="KD1022" s="85"/>
      <c r="KE1022" s="85"/>
      <c r="KF1022" s="85"/>
      <c r="KG1022" s="85"/>
      <c r="KH1022" s="85"/>
      <c r="KI1022" s="85"/>
      <c r="KJ1022" s="85"/>
      <c r="KK1022" s="85"/>
      <c r="KL1022" s="85"/>
      <c r="KM1022" s="85"/>
      <c r="KN1022" s="85"/>
      <c r="KO1022" s="85"/>
      <c r="KP1022" s="85"/>
      <c r="KQ1022" s="85"/>
      <c r="KR1022" s="85"/>
      <c r="KS1022" s="85"/>
      <c r="KT1022" s="85"/>
      <c r="KU1022" s="85"/>
      <c r="KV1022" s="85"/>
      <c r="KW1022" s="85"/>
      <c r="KX1022" s="85"/>
      <c r="KY1022" s="85"/>
      <c r="KZ1022" s="85"/>
      <c r="LA1022" s="85"/>
      <c r="LB1022" s="85"/>
      <c r="LC1022" s="85"/>
      <c r="LD1022" s="85"/>
      <c r="LE1022" s="85"/>
      <c r="LF1022" s="85"/>
      <c r="LG1022" s="85"/>
      <c r="LH1022" s="85"/>
      <c r="LI1022" s="85"/>
      <c r="LJ1022" s="85"/>
      <c r="LK1022" s="85"/>
      <c r="LL1022" s="85"/>
      <c r="LM1022" s="85"/>
      <c r="LN1022" s="85"/>
      <c r="LO1022" s="85"/>
      <c r="LP1022" s="85"/>
      <c r="LQ1022" s="85"/>
      <c r="LR1022" s="85"/>
      <c r="LS1022" s="85"/>
      <c r="LT1022" s="85"/>
      <c r="LU1022" s="85"/>
      <c r="LV1022" s="85"/>
      <c r="LW1022" s="85"/>
      <c r="LX1022" s="85"/>
      <c r="LY1022" s="85"/>
      <c r="LZ1022" s="85"/>
      <c r="MA1022" s="85"/>
      <c r="MB1022" s="85"/>
      <c r="MC1022" s="85"/>
      <c r="MD1022" s="85"/>
      <c r="ME1022" s="85"/>
      <c r="MF1022" s="85"/>
      <c r="MG1022" s="85"/>
      <c r="MH1022" s="85"/>
      <c r="MI1022" s="85"/>
      <c r="MJ1022" s="85"/>
      <c r="MK1022" s="85"/>
      <c r="ML1022" s="85"/>
      <c r="MM1022" s="85"/>
      <c r="MN1022" s="85"/>
      <c r="MO1022" s="85"/>
      <c r="MP1022" s="85"/>
      <c r="MQ1022" s="85"/>
      <c r="MR1022" s="85"/>
      <c r="MS1022" s="85"/>
      <c r="MT1022" s="85"/>
      <c r="MU1022" s="85"/>
      <c r="MV1022" s="85"/>
      <c r="MW1022" s="85"/>
      <c r="MX1022" s="85"/>
      <c r="MY1022" s="85"/>
      <c r="MZ1022" s="85"/>
      <c r="NA1022" s="85"/>
      <c r="NB1022" s="85"/>
      <c r="NC1022" s="85"/>
      <c r="ND1022" s="85"/>
      <c r="NE1022" s="85"/>
      <c r="NF1022" s="85"/>
      <c r="NG1022" s="85"/>
      <c r="NH1022" s="85"/>
      <c r="NI1022" s="85"/>
      <c r="NJ1022" s="85"/>
      <c r="NK1022" s="85"/>
      <c r="NL1022" s="85"/>
      <c r="NM1022" s="85"/>
      <c r="NN1022" s="85"/>
      <c r="NO1022" s="85"/>
      <c r="NP1022" s="85"/>
      <c r="NQ1022" s="85"/>
      <c r="NR1022" s="85"/>
      <c r="NS1022" s="85"/>
      <c r="NT1022" s="85"/>
      <c r="NU1022" s="85"/>
      <c r="NV1022" s="85"/>
      <c r="NW1022" s="85"/>
      <c r="NX1022" s="85"/>
      <c r="NY1022" s="85"/>
      <c r="NZ1022" s="85"/>
      <c r="OA1022" s="85"/>
      <c r="OB1022" s="85"/>
      <c r="OC1022" s="85"/>
      <c r="OD1022" s="85"/>
      <c r="OE1022" s="85"/>
      <c r="OF1022" s="85"/>
      <c r="OG1022" s="85"/>
      <c r="OH1022" s="85"/>
      <c r="OI1022" s="85"/>
      <c r="OJ1022" s="85"/>
      <c r="OK1022" s="85"/>
      <c r="OL1022" s="85"/>
      <c r="OM1022" s="85"/>
      <c r="ON1022" s="85"/>
      <c r="OO1022" s="85"/>
      <c r="OP1022" s="85"/>
      <c r="OQ1022" s="85"/>
      <c r="OR1022" s="85"/>
      <c r="OS1022" s="85"/>
      <c r="OT1022" s="85"/>
      <c r="OU1022" s="85"/>
      <c r="OV1022" s="85"/>
      <c r="OW1022" s="85"/>
      <c r="OX1022" s="85"/>
      <c r="OY1022" s="85"/>
      <c r="OZ1022" s="85"/>
      <c r="PA1022" s="85"/>
      <c r="PB1022" s="85"/>
      <c r="PC1022" s="85"/>
      <c r="PD1022" s="85"/>
      <c r="PE1022" s="85"/>
      <c r="PF1022" s="85"/>
      <c r="PG1022" s="85"/>
      <c r="PH1022" s="85"/>
      <c r="PI1022" s="85"/>
      <c r="PJ1022" s="85"/>
      <c r="PK1022" s="85"/>
      <c r="PL1022" s="85"/>
      <c r="PM1022" s="85"/>
      <c r="PN1022" s="85"/>
      <c r="PO1022" s="85"/>
      <c r="PP1022" s="85"/>
      <c r="PQ1022" s="85"/>
      <c r="PR1022" s="85"/>
      <c r="PS1022" s="85"/>
      <c r="PT1022" s="85"/>
      <c r="PU1022" s="85"/>
      <c r="PV1022" s="85"/>
      <c r="PW1022" s="85"/>
      <c r="PX1022" s="85"/>
      <c r="PY1022" s="85"/>
      <c r="PZ1022" s="85"/>
      <c r="QA1022" s="85"/>
      <c r="QB1022" s="85"/>
      <c r="QC1022" s="85"/>
      <c r="QD1022" s="85"/>
      <c r="QE1022" s="85"/>
      <c r="QF1022" s="85"/>
      <c r="QG1022" s="85"/>
      <c r="QH1022" s="85"/>
      <c r="QI1022" s="85"/>
      <c r="QJ1022" s="85"/>
      <c r="QK1022" s="85"/>
      <c r="QL1022" s="85"/>
      <c r="QM1022" s="85"/>
      <c r="QN1022" s="85"/>
      <c r="QO1022" s="85"/>
      <c r="QP1022" s="85"/>
      <c r="QQ1022" s="85"/>
      <c r="QR1022" s="85"/>
      <c r="QS1022" s="85"/>
      <c r="QT1022" s="85"/>
      <c r="QU1022" s="85"/>
      <c r="QV1022" s="85"/>
      <c r="QW1022" s="85"/>
      <c r="QX1022" s="85"/>
      <c r="QY1022" s="85"/>
      <c r="QZ1022" s="85"/>
      <c r="RA1022" s="85"/>
      <c r="RB1022" s="85"/>
      <c r="RC1022" s="85"/>
      <c r="RD1022" s="85"/>
      <c r="RE1022" s="85"/>
      <c r="RF1022" s="85"/>
      <c r="RG1022" s="85"/>
      <c r="RH1022" s="85"/>
      <c r="RI1022" s="85"/>
      <c r="RJ1022" s="85"/>
      <c r="RK1022" s="85"/>
      <c r="RL1022" s="85"/>
      <c r="RM1022" s="85"/>
      <c r="RN1022" s="85"/>
      <c r="RO1022" s="85"/>
      <c r="RP1022" s="85"/>
      <c r="RQ1022" s="85"/>
      <c r="RR1022" s="85"/>
      <c r="RS1022" s="85"/>
      <c r="RT1022" s="85"/>
      <c r="RU1022" s="85"/>
      <c r="RV1022" s="85"/>
      <c r="RW1022" s="85"/>
      <c r="RX1022" s="85"/>
      <c r="RY1022" s="85"/>
      <c r="RZ1022" s="85"/>
      <c r="SA1022" s="85"/>
      <c r="SB1022" s="85"/>
      <c r="SC1022" s="85"/>
      <c r="SD1022" s="85"/>
      <c r="SE1022" s="85"/>
      <c r="SF1022" s="85"/>
      <c r="SG1022" s="85"/>
      <c r="SH1022" s="85"/>
      <c r="SI1022" s="85"/>
      <c r="SJ1022" s="85"/>
      <c r="SK1022" s="85"/>
      <c r="SL1022" s="85"/>
      <c r="SM1022" s="85"/>
      <c r="SN1022" s="85"/>
      <c r="SO1022" s="85"/>
      <c r="SP1022" s="85"/>
      <c r="SQ1022" s="85"/>
      <c r="SR1022" s="85"/>
      <c r="SS1022" s="85"/>
      <c r="ST1022" s="85"/>
      <c r="SU1022" s="85"/>
      <c r="SV1022" s="85"/>
      <c r="SW1022" s="85"/>
      <c r="SX1022" s="85"/>
      <c r="SY1022" s="85"/>
      <c r="SZ1022" s="85"/>
      <c r="TA1022" s="85"/>
      <c r="TB1022" s="85"/>
      <c r="TC1022" s="85"/>
      <c r="TD1022" s="85"/>
      <c r="TE1022" s="85"/>
      <c r="TF1022" s="85"/>
      <c r="TG1022" s="85"/>
      <c r="TH1022" s="85"/>
      <c r="TI1022" s="85"/>
      <c r="TJ1022" s="85"/>
      <c r="TK1022" s="85"/>
      <c r="TL1022" s="85"/>
    </row>
    <row r="1023" spans="1:532" s="85" customFormat="1" ht="12.75" customHeight="1">
      <c r="A1023" s="122" t="s">
        <v>362</v>
      </c>
      <c r="B1023" s="124"/>
      <c r="C1023" s="124"/>
      <c r="D1023" s="124">
        <f t="shared" si="60"/>
        <v>79139634029.828003</v>
      </c>
      <c r="E1023" s="124">
        <f t="shared" si="60"/>
        <v>90280764024.341568</v>
      </c>
      <c r="F1023" s="235"/>
      <c r="G1023" s="138"/>
      <c r="H1023" s="98"/>
      <c r="I1023" s="124">
        <f>+I993+I503</f>
        <v>41154804931.330002</v>
      </c>
      <c r="J1023" s="124">
        <f t="shared" ref="J1023:M1023" si="63">+J993+J503</f>
        <v>25590065897.670002</v>
      </c>
      <c r="K1023" s="124">
        <f t="shared" si="63"/>
        <v>15298346159.610001</v>
      </c>
      <c r="L1023" s="124">
        <f t="shared" si="63"/>
        <v>266392874.04999998</v>
      </c>
      <c r="M1023" s="124">
        <f t="shared" si="63"/>
        <v>0</v>
      </c>
      <c r="N1023" s="124">
        <f>+N993+N503</f>
        <v>49125959093.024605</v>
      </c>
    </row>
    <row r="1024" spans="1:532" s="85" customFormat="1" ht="12.75" customHeight="1">
      <c r="A1024" s="82"/>
      <c r="B1024" s="82"/>
      <c r="C1024" s="83"/>
      <c r="D1024" s="83"/>
      <c r="E1024" s="83">
        <f>+E1023-[2]ordinario!C739-'[2]Extra 01'!C874-'[2]EXTRA 2'!C884</f>
        <v>11141129994.513559</v>
      </c>
      <c r="F1024" s="234"/>
      <c r="G1024" s="188"/>
      <c r="H1024" s="189"/>
      <c r="I1024" s="102"/>
      <c r="J1024" s="102"/>
      <c r="K1024" s="102"/>
      <c r="L1024" s="102"/>
      <c r="M1024" s="102">
        <f>+N1023+I1023</f>
        <v>90280764024.354614</v>
      </c>
      <c r="N1024" s="87">
        <f>+[2]ordinario!I739+'[2]Extra 01'!H874+'[2]EXTRA 2'!H884</f>
        <v>79139634029.827759</v>
      </c>
    </row>
    <row r="1025" spans="1:14" s="85" customFormat="1" ht="12.75" customHeight="1">
      <c r="A1025" s="82"/>
      <c r="B1025" s="82"/>
      <c r="C1025" s="83"/>
      <c r="D1025" s="83"/>
      <c r="E1025" s="83">
        <f>+[2]ordinario!C739+'[2]Extra 01'!C874+'[2]EXTRA 2'!C884</f>
        <v>79139634029.828018</v>
      </c>
      <c r="F1025" s="234"/>
      <c r="G1025" s="188"/>
      <c r="H1025" s="189"/>
      <c r="I1025" s="102"/>
      <c r="J1025" s="102"/>
      <c r="K1025" s="102"/>
      <c r="L1025" s="102"/>
      <c r="M1025" s="102"/>
      <c r="N1025" s="102">
        <f>+N1024-D1023</f>
        <v>-2.44140625E-4</v>
      </c>
    </row>
    <row r="1026" spans="1:14" ht="12.75" customHeight="1">
      <c r="E1026" s="233">
        <f>+E1025-E1023</f>
        <v>-11141129994.51355</v>
      </c>
      <c r="M1026" s="233">
        <f>+M1024-E1023</f>
        <v>1.30462646484375E-2</v>
      </c>
      <c r="N1026" s="233">
        <f>+M1024-N1023</f>
        <v>41154804931.330009</v>
      </c>
    </row>
    <row r="1027" spans="1:14" ht="12.75" customHeight="1">
      <c r="N1027" s="233">
        <f>+N1026-N1025</f>
        <v>41154804931.330254</v>
      </c>
    </row>
    <row r="1028" spans="1:14" ht="12.75" customHeight="1"/>
    <row r="1029" spans="1:14" ht="12.75" customHeight="1">
      <c r="I1029" s="233">
        <f>41154804931.54-I1023</f>
        <v>0.20999908447265625</v>
      </c>
      <c r="L1029" s="233">
        <f>SUM(J1023:L1023)</f>
        <v>41154804931.330002</v>
      </c>
      <c r="N1029" s="233">
        <f>+N991+I991</f>
        <v>26543987139.970024</v>
      </c>
    </row>
    <row r="1030" spans="1:14" ht="12.75" customHeight="1">
      <c r="J1030" s="233">
        <f>25590065897.88-J1023</f>
        <v>0.20999908447265625</v>
      </c>
      <c r="K1030" s="233">
        <f>15298346159.61-K1023</f>
        <v>0</v>
      </c>
      <c r="N1030" s="233">
        <f>+N992+I992</f>
        <v>19912190480.816998</v>
      </c>
    </row>
    <row r="1031" spans="1:14" ht="12.75" customHeight="1"/>
    <row r="1032" spans="1:14" ht="12.75" customHeight="1"/>
    <row r="1033" spans="1:14" ht="12.75" customHeight="1">
      <c r="E1033" s="230">
        <f>+[4]REPORTEI!$M$178</f>
        <v>90280764024.339996</v>
      </c>
    </row>
    <row r="1034" spans="1:14" ht="12.75" customHeight="1">
      <c r="E1034" s="233">
        <f>+E1023-E1033</f>
        <v>1.5716552734375E-3</v>
      </c>
    </row>
    <row r="1035" spans="1:14" ht="12.75" customHeight="1"/>
    <row r="1036" spans="1:14" ht="12.75" customHeight="1"/>
    <row r="1037" spans="1:14" ht="12.75" customHeight="1"/>
    <row r="1038" spans="1:14" ht="12.75" customHeight="1"/>
    <row r="1039" spans="1:14" ht="12.75" customHeight="1"/>
  </sheetData>
  <mergeCells count="6">
    <mergeCell ref="J9:M9"/>
    <mergeCell ref="A2:N2"/>
    <mergeCell ref="A3:N3"/>
    <mergeCell ref="A4:N4"/>
    <mergeCell ref="A8:E8"/>
    <mergeCell ref="F8:N8"/>
  </mergeCells>
  <dataValidations disablePrompts="1" count="1">
    <dataValidation type="list" allowBlank="1" showErrorMessage="1" sqref="H450 H397:H401 H423:H425 H11:H23 H25:H95 H98:H395" xr:uid="{D34D3917-77C7-4541-918D-6751D9CF6630}">
      <formula1>#REF!</formula1>
    </dataValidation>
  </dataValidations>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01"/>
  <sheetViews>
    <sheetView showGridLines="0" view="pageBreakPreview" topLeftCell="D1" zoomScaleNormal="100" zoomScaleSheetLayoutView="100" workbookViewId="0">
      <pane ySplit="9" topLeftCell="A10" activePane="bottomLeft" state="frozen"/>
      <selection activeCell="G1" sqref="G1"/>
      <selection pane="bottomLeft" activeCell="O16" sqref="O16"/>
    </sheetView>
  </sheetViews>
  <sheetFormatPr baseColWidth="10" defaultColWidth="12.54296875" defaultRowHeight="15" customHeight="1"/>
  <cols>
    <col min="1" max="1" width="1.6328125" customWidth="1"/>
    <col min="2" max="2" width="16.453125" customWidth="1"/>
    <col min="3" max="3" width="17.54296875" customWidth="1"/>
    <col min="4" max="4" width="35.6328125" customWidth="1"/>
    <col min="5" max="5" width="16.26953125" customWidth="1"/>
    <col min="6" max="7" width="18.7265625" customWidth="1"/>
    <col min="8" max="8" width="18.90625" customWidth="1"/>
    <col min="9" max="9" width="16.7265625" customWidth="1"/>
    <col min="10" max="10" width="19.81640625" customWidth="1"/>
    <col min="11" max="11" width="18.90625" customWidth="1"/>
    <col min="12" max="13" width="18.7265625" customWidth="1"/>
    <col min="14" max="15" width="18.7265625" style="69" customWidth="1"/>
    <col min="16" max="16" width="30.7265625" customWidth="1"/>
    <col min="17" max="18" width="10.6328125" customWidth="1"/>
  </cols>
  <sheetData>
    <row r="1" spans="1:18">
      <c r="A1" s="39"/>
      <c r="B1" s="338" t="s">
        <v>55</v>
      </c>
      <c r="C1" s="308"/>
      <c r="D1" s="308"/>
      <c r="E1" s="308"/>
      <c r="F1" s="308"/>
      <c r="G1" s="308"/>
      <c r="H1" s="308"/>
      <c r="I1" s="308"/>
      <c r="J1" s="308"/>
      <c r="K1" s="308"/>
      <c r="L1" s="308"/>
      <c r="M1" s="308"/>
      <c r="N1" s="308"/>
      <c r="O1" s="216"/>
      <c r="P1" s="39"/>
      <c r="Q1" s="39"/>
      <c r="R1" s="39"/>
    </row>
    <row r="2" spans="1:18">
      <c r="A2" s="39"/>
      <c r="B2" s="339" t="s">
        <v>115</v>
      </c>
      <c r="C2" s="308"/>
      <c r="D2" s="308"/>
      <c r="E2" s="308"/>
      <c r="F2" s="308"/>
      <c r="G2" s="308"/>
      <c r="H2" s="308"/>
      <c r="I2" s="308"/>
      <c r="J2" s="308"/>
      <c r="K2" s="308"/>
      <c r="L2" s="308"/>
      <c r="M2" s="308"/>
      <c r="N2" s="308"/>
      <c r="O2" s="216"/>
      <c r="P2" s="39"/>
      <c r="Q2" s="39"/>
      <c r="R2" s="39"/>
    </row>
    <row r="3" spans="1:18" ht="16">
      <c r="A3" s="39"/>
      <c r="B3" s="338" t="s">
        <v>56</v>
      </c>
      <c r="C3" s="308"/>
      <c r="D3" s="308"/>
      <c r="E3" s="308"/>
      <c r="F3" s="308"/>
      <c r="G3" s="308"/>
      <c r="H3" s="308"/>
      <c r="I3" s="308"/>
      <c r="J3" s="308"/>
      <c r="K3" s="308"/>
      <c r="L3" s="308"/>
      <c r="M3" s="308"/>
      <c r="N3" s="308"/>
      <c r="O3" s="216"/>
      <c r="P3" s="39"/>
      <c r="Q3" s="39"/>
      <c r="R3" s="39"/>
    </row>
    <row r="4" spans="1:18" ht="7.5" customHeight="1">
      <c r="A4" s="39"/>
      <c r="B4" s="54"/>
      <c r="C4" s="54"/>
      <c r="D4" s="54"/>
      <c r="E4" s="54"/>
      <c r="F4" s="54"/>
      <c r="G4" s="54"/>
      <c r="H4" s="54"/>
      <c r="I4" s="54"/>
      <c r="J4" s="54"/>
      <c r="K4" s="54"/>
      <c r="L4" s="54"/>
      <c r="M4" s="207"/>
      <c r="N4" s="210"/>
      <c r="O4" s="216"/>
      <c r="P4" s="39"/>
      <c r="Q4" s="39"/>
      <c r="R4" s="39"/>
    </row>
    <row r="5" spans="1:18" ht="24" customHeight="1">
      <c r="A5" s="49"/>
      <c r="B5" s="322" t="s">
        <v>57</v>
      </c>
      <c r="C5" s="321"/>
      <c r="D5" s="321"/>
      <c r="E5" s="321"/>
      <c r="F5" s="321"/>
      <c r="G5" s="321"/>
      <c r="H5" s="321"/>
      <c r="I5" s="321"/>
      <c r="J5" s="321"/>
      <c r="K5" s="321"/>
      <c r="L5" s="321"/>
      <c r="M5" s="340"/>
      <c r="N5" s="321"/>
      <c r="O5" s="321"/>
      <c r="P5" s="321"/>
      <c r="Q5" s="49"/>
      <c r="R5" s="49"/>
    </row>
    <row r="6" spans="1:18" ht="6.75" customHeight="1">
      <c r="A6" s="39"/>
      <c r="B6" s="55"/>
      <c r="C6" s="55"/>
      <c r="D6" s="55"/>
      <c r="E6" s="55"/>
      <c r="F6" s="56"/>
      <c r="G6" s="56"/>
      <c r="H6" s="56"/>
      <c r="I6" s="56"/>
      <c r="J6" s="57"/>
      <c r="K6" s="57"/>
      <c r="L6" s="57"/>
      <c r="M6" s="208"/>
      <c r="N6" s="211"/>
      <c r="O6" s="216"/>
      <c r="P6" s="39"/>
      <c r="Q6" s="39"/>
      <c r="R6" s="39"/>
    </row>
    <row r="7" spans="1:18">
      <c r="A7" s="39"/>
      <c r="B7" s="341" t="s">
        <v>44</v>
      </c>
      <c r="C7" s="342"/>
      <c r="D7" s="342"/>
      <c r="E7" s="342"/>
      <c r="F7" s="342"/>
      <c r="G7" s="342"/>
      <c r="H7" s="334"/>
      <c r="I7" s="341" t="s">
        <v>45</v>
      </c>
      <c r="J7" s="342"/>
      <c r="K7" s="342"/>
      <c r="L7" s="342"/>
      <c r="M7" s="342"/>
      <c r="N7" s="342"/>
      <c r="O7" s="342"/>
      <c r="P7" s="334"/>
      <c r="Q7" s="39"/>
      <c r="R7" s="39"/>
    </row>
    <row r="8" spans="1:18" ht="15" customHeight="1">
      <c r="A8" s="39"/>
      <c r="B8" s="331" t="s">
        <v>58</v>
      </c>
      <c r="C8" s="343" t="s">
        <v>59</v>
      </c>
      <c r="D8" s="343" t="s">
        <v>60</v>
      </c>
      <c r="E8" s="331" t="s">
        <v>61</v>
      </c>
      <c r="F8" s="331" t="s">
        <v>62</v>
      </c>
      <c r="G8" s="331" t="s">
        <v>47</v>
      </c>
      <c r="H8" s="331" t="s">
        <v>63</v>
      </c>
      <c r="I8" s="58"/>
      <c r="J8" s="58"/>
      <c r="K8" s="333" t="s">
        <v>64</v>
      </c>
      <c r="L8" s="334"/>
      <c r="M8" s="206"/>
      <c r="N8" s="335" t="s">
        <v>65</v>
      </c>
      <c r="O8" s="335" t="s">
        <v>66</v>
      </c>
      <c r="P8" s="337" t="s">
        <v>51</v>
      </c>
      <c r="Q8" s="39"/>
      <c r="R8" s="39"/>
    </row>
    <row r="9" spans="1:18" ht="44.25" customHeight="1">
      <c r="A9" s="39"/>
      <c r="B9" s="332"/>
      <c r="C9" s="332"/>
      <c r="D9" s="332"/>
      <c r="E9" s="332"/>
      <c r="F9" s="332"/>
      <c r="G9" s="332"/>
      <c r="H9" s="332"/>
      <c r="I9" s="59" t="s">
        <v>67</v>
      </c>
      <c r="J9" s="60" t="s">
        <v>68</v>
      </c>
      <c r="K9" s="61" t="s">
        <v>69</v>
      </c>
      <c r="L9" s="61" t="s">
        <v>70</v>
      </c>
      <c r="M9" s="209" t="s">
        <v>54</v>
      </c>
      <c r="N9" s="336"/>
      <c r="O9" s="336"/>
      <c r="P9" s="332"/>
      <c r="Q9" s="39"/>
      <c r="R9" s="39"/>
    </row>
    <row r="10" spans="1:18" ht="39">
      <c r="A10" s="39"/>
      <c r="B10" s="191" t="s">
        <v>71</v>
      </c>
      <c r="C10" s="192" t="s">
        <v>73</v>
      </c>
      <c r="D10" s="191" t="s">
        <v>523</v>
      </c>
      <c r="E10" s="193" t="s">
        <v>72</v>
      </c>
      <c r="F10" s="194">
        <v>500000000</v>
      </c>
      <c r="G10" s="194">
        <f>+F10</f>
        <v>500000000</v>
      </c>
      <c r="H10" s="306">
        <v>158333333.33000001</v>
      </c>
      <c r="I10" s="195" t="s">
        <v>188</v>
      </c>
      <c r="J10" s="195" t="s">
        <v>80</v>
      </c>
      <c r="K10" s="196">
        <v>158333333.33000001</v>
      </c>
      <c r="L10" s="197"/>
      <c r="M10" s="197"/>
      <c r="N10" s="212">
        <f>SUM(K10:M10)</f>
        <v>158333333.33000001</v>
      </c>
      <c r="O10" s="212">
        <f>+H10-N10</f>
        <v>0</v>
      </c>
      <c r="P10" s="198"/>
      <c r="Q10" s="39"/>
      <c r="R10" s="39"/>
    </row>
    <row r="11" spans="1:18" ht="13" hidden="1">
      <c r="A11" s="39"/>
      <c r="B11" s="191"/>
      <c r="C11" s="192"/>
      <c r="D11" s="191"/>
      <c r="E11" s="193"/>
      <c r="F11" s="193"/>
      <c r="G11" s="193"/>
      <c r="H11" s="193"/>
      <c r="I11" s="195"/>
      <c r="J11" s="195" t="s">
        <v>84</v>
      </c>
      <c r="K11" s="196"/>
      <c r="L11" s="197"/>
      <c r="M11" s="196">
        <v>188465785.87</v>
      </c>
      <c r="N11" s="212">
        <f t="shared" ref="N11:N19" si="0">SUM(K11:M11)</f>
        <v>188465785.87</v>
      </c>
      <c r="O11" s="212"/>
      <c r="P11" s="198"/>
      <c r="Q11" s="39"/>
      <c r="R11" s="39"/>
    </row>
    <row r="12" spans="1:18" ht="13" hidden="1">
      <c r="A12" s="39"/>
      <c r="B12" s="191"/>
      <c r="C12" s="192"/>
      <c r="D12" s="191"/>
      <c r="E12" s="193"/>
      <c r="F12" s="193"/>
      <c r="G12" s="193"/>
      <c r="H12" s="193"/>
      <c r="I12" s="195"/>
      <c r="J12" s="195"/>
      <c r="K12" s="198"/>
      <c r="L12" s="197"/>
      <c r="M12" s="197"/>
      <c r="N12" s="212">
        <f t="shared" si="0"/>
        <v>0</v>
      </c>
      <c r="O12" s="212"/>
      <c r="P12" s="198"/>
      <c r="Q12" s="39"/>
      <c r="R12" s="39"/>
    </row>
    <row r="13" spans="1:18" ht="13" hidden="1">
      <c r="A13" s="39"/>
      <c r="B13" s="191"/>
      <c r="C13" s="192"/>
      <c r="D13" s="191"/>
      <c r="E13" s="193"/>
      <c r="F13" s="193"/>
      <c r="G13" s="193"/>
      <c r="H13" s="193"/>
      <c r="I13" s="195" t="s">
        <v>350</v>
      </c>
      <c r="J13" s="195" t="s">
        <v>81</v>
      </c>
      <c r="K13" s="198"/>
      <c r="L13" s="197"/>
      <c r="M13" s="196">
        <f>+'[5]3Detalle de Origen y Aplicación'!K450</f>
        <v>224926902.66999999</v>
      </c>
      <c r="N13" s="212">
        <f t="shared" si="0"/>
        <v>224926902.66999999</v>
      </c>
      <c r="O13" s="212"/>
      <c r="P13" s="198"/>
      <c r="Q13" s="39"/>
      <c r="R13" s="39"/>
    </row>
    <row r="14" spans="1:18" ht="14.5" hidden="1">
      <c r="A14" s="39"/>
      <c r="B14" s="191"/>
      <c r="C14" s="192"/>
      <c r="D14" s="191"/>
      <c r="E14" s="193"/>
      <c r="F14" s="193"/>
      <c r="G14" s="193"/>
      <c r="H14" s="193"/>
      <c r="I14" s="195" t="s">
        <v>351</v>
      </c>
      <c r="J14" s="195" t="s">
        <v>81</v>
      </c>
      <c r="K14" s="199"/>
      <c r="L14" s="199">
        <f t="shared" ref="L14" si="1">SUM(L8:L13)</f>
        <v>0</v>
      </c>
      <c r="M14" s="196">
        <f>+'[5]3Detalle de Origen y Aplicación'!K452</f>
        <v>51977399.439999998</v>
      </c>
      <c r="N14" s="212">
        <f t="shared" si="0"/>
        <v>51977399.439999998</v>
      </c>
      <c r="O14" s="213"/>
      <c r="P14" s="199"/>
      <c r="Q14" s="39"/>
      <c r="R14" s="39"/>
    </row>
    <row r="15" spans="1:18" ht="14.5" hidden="1">
      <c r="A15" s="39"/>
      <c r="B15" s="191"/>
      <c r="C15" s="192"/>
      <c r="D15" s="191"/>
      <c r="E15" s="193"/>
      <c r="F15" s="193"/>
      <c r="G15" s="193"/>
      <c r="H15" s="193"/>
      <c r="I15" s="195" t="s">
        <v>393</v>
      </c>
      <c r="J15" s="195" t="s">
        <v>81</v>
      </c>
      <c r="K15" s="199"/>
      <c r="L15" s="199"/>
      <c r="M15" s="199"/>
      <c r="N15" s="212">
        <f t="shared" si="0"/>
        <v>0</v>
      </c>
      <c r="O15" s="213"/>
      <c r="P15" s="199"/>
      <c r="Q15" s="39"/>
      <c r="R15" s="39"/>
    </row>
    <row r="16" spans="1:18" ht="14.5">
      <c r="A16" s="39"/>
      <c r="B16" s="191"/>
      <c r="C16" s="192"/>
      <c r="D16" s="191"/>
      <c r="E16" s="193"/>
      <c r="F16" s="193"/>
      <c r="G16" s="193"/>
      <c r="H16" s="193"/>
      <c r="I16" s="195"/>
      <c r="J16" s="195"/>
      <c r="K16" s="199"/>
      <c r="L16" s="199"/>
      <c r="M16" s="199"/>
      <c r="N16" s="212"/>
      <c r="O16" s="213"/>
      <c r="P16" s="199"/>
      <c r="Q16" s="39"/>
      <c r="R16" s="39"/>
    </row>
    <row r="17" spans="1:18" ht="39">
      <c r="A17" s="39"/>
      <c r="B17" s="191" t="s">
        <v>71</v>
      </c>
      <c r="C17" s="192" t="s">
        <v>74</v>
      </c>
      <c r="D17" s="191" t="s">
        <v>524</v>
      </c>
      <c r="E17" s="193" t="s">
        <v>72</v>
      </c>
      <c r="F17" s="306">
        <f>+'3_Detalle Origen y Aplicación'!D475</f>
        <v>1194580859.8800001</v>
      </c>
      <c r="G17" s="306">
        <f>+'3_Detalle Origen y Aplicación'!E475</f>
        <v>1194580860</v>
      </c>
      <c r="H17" s="306">
        <f>+G17</f>
        <v>1194580860</v>
      </c>
      <c r="I17" s="195" t="s">
        <v>245</v>
      </c>
      <c r="J17" s="200" t="s">
        <v>81</v>
      </c>
      <c r="K17" s="198"/>
      <c r="L17" s="198">
        <f>+'3_Detalle Origen y Aplicación'!K476</f>
        <v>548085810.53999996</v>
      </c>
      <c r="M17" s="197"/>
      <c r="N17" s="212">
        <f t="shared" si="0"/>
        <v>548085810.53999996</v>
      </c>
      <c r="O17" s="212">
        <f>+H17-N17</f>
        <v>646495049.46000004</v>
      </c>
      <c r="P17" s="198"/>
      <c r="Q17" s="39"/>
      <c r="R17" s="39"/>
    </row>
    <row r="18" spans="1:18" ht="13">
      <c r="A18" s="39"/>
      <c r="B18" s="191"/>
      <c r="C18" s="192"/>
      <c r="D18" s="191"/>
      <c r="E18" s="193"/>
      <c r="F18" s="193"/>
      <c r="G18" s="193"/>
      <c r="H18" s="193"/>
      <c r="I18" s="195"/>
      <c r="J18" s="200"/>
      <c r="K18" s="198"/>
      <c r="L18" s="198"/>
      <c r="M18" s="198"/>
      <c r="N18" s="212"/>
      <c r="O18" s="214"/>
      <c r="P18" s="198"/>
      <c r="Q18" s="39"/>
      <c r="R18" s="39"/>
    </row>
    <row r="19" spans="1:18" ht="25">
      <c r="A19" s="39"/>
      <c r="B19" s="191" t="s">
        <v>71</v>
      </c>
      <c r="C19" s="191" t="s">
        <v>76</v>
      </c>
      <c r="D19" s="191" t="s">
        <v>525</v>
      </c>
      <c r="E19" s="201" t="s">
        <v>72</v>
      </c>
      <c r="F19" s="202">
        <f>+'3_Detalle Origen y Aplicación'!D458</f>
        <v>78000000</v>
      </c>
      <c r="G19" s="202">
        <f>+F19</f>
        <v>78000000</v>
      </c>
      <c r="H19" s="194">
        <f>+'3_Detalle Origen y Aplicación'!E458</f>
        <v>72625176.659999996</v>
      </c>
      <c r="I19" s="203" t="s">
        <v>177</v>
      </c>
      <c r="J19" s="204" t="s">
        <v>77</v>
      </c>
      <c r="K19" s="198">
        <v>72625176.659999996</v>
      </c>
      <c r="L19" s="197"/>
      <c r="M19" s="197"/>
      <c r="N19" s="212">
        <f t="shared" si="0"/>
        <v>72625176.659999996</v>
      </c>
      <c r="O19" s="212">
        <f>+H19-N19</f>
        <v>0</v>
      </c>
      <c r="P19" s="198"/>
      <c r="Q19" s="39"/>
      <c r="R19" s="39"/>
    </row>
    <row r="20" spans="1:18" ht="12.5">
      <c r="A20" s="39"/>
      <c r="B20" s="191"/>
      <c r="C20" s="191"/>
      <c r="D20" s="191"/>
      <c r="E20" s="201"/>
      <c r="F20" s="205"/>
      <c r="G20" s="205"/>
      <c r="H20" s="205"/>
      <c r="I20" s="203"/>
      <c r="J20" s="204"/>
      <c r="K20" s="198"/>
      <c r="L20" s="197"/>
      <c r="M20" s="197"/>
      <c r="N20" s="212"/>
      <c r="O20" s="212">
        <f t="shared" ref="O20:O21" si="2">+H20-N20</f>
        <v>0</v>
      </c>
      <c r="P20" s="198"/>
      <c r="Q20" s="39"/>
      <c r="R20" s="39"/>
    </row>
    <row r="21" spans="1:18" ht="37.5">
      <c r="A21" s="39"/>
      <c r="B21" s="191" t="s">
        <v>71</v>
      </c>
      <c r="C21" s="191" t="s">
        <v>736</v>
      </c>
      <c r="D21" s="191" t="s">
        <v>737</v>
      </c>
      <c r="E21" s="201" t="s">
        <v>72</v>
      </c>
      <c r="F21" s="205">
        <f>+'3_Detalle Origen y Aplicación'!D464</f>
        <v>8545782</v>
      </c>
      <c r="G21" s="205">
        <f>+'3_Detalle Origen y Aplicación'!E464</f>
        <v>8545782</v>
      </c>
      <c r="H21" s="205">
        <f>+'3_Detalle Origen y Aplicación'!E464</f>
        <v>8545782</v>
      </c>
      <c r="I21" s="203" t="s">
        <v>164</v>
      </c>
      <c r="J21" s="204" t="s">
        <v>78</v>
      </c>
      <c r="K21" s="198"/>
      <c r="L21" s="197"/>
      <c r="M21" s="197"/>
      <c r="N21" s="212"/>
      <c r="O21" s="212">
        <f t="shared" si="2"/>
        <v>8545782</v>
      </c>
      <c r="P21" s="198"/>
      <c r="Q21" s="39"/>
      <c r="R21" s="39"/>
    </row>
    <row r="22" spans="1:18" ht="15.75" customHeight="1">
      <c r="A22" s="39"/>
      <c r="B22" s="62"/>
      <c r="C22" s="62"/>
      <c r="D22" s="62"/>
      <c r="E22" s="63"/>
      <c r="F22" s="64"/>
      <c r="G22" s="64"/>
      <c r="H22" s="64"/>
      <c r="I22" s="65"/>
      <c r="J22" s="53"/>
      <c r="K22" s="66"/>
      <c r="L22" s="67"/>
      <c r="M22" s="67"/>
      <c r="N22" s="215"/>
      <c r="O22" s="217"/>
      <c r="P22" s="68"/>
      <c r="Q22" s="39"/>
      <c r="R22" s="39"/>
    </row>
    <row r="23" spans="1:18" ht="15.75" customHeight="1">
      <c r="A23" s="39"/>
      <c r="B23" s="62"/>
      <c r="C23" s="62"/>
      <c r="D23" s="62"/>
      <c r="E23" s="63"/>
      <c r="F23" s="64"/>
      <c r="G23" s="64"/>
      <c r="H23" s="64"/>
      <c r="I23" s="65"/>
      <c r="J23" s="53"/>
      <c r="K23" s="66"/>
      <c r="L23" s="67"/>
      <c r="M23" s="67"/>
      <c r="N23" s="215"/>
      <c r="O23" s="217"/>
      <c r="P23" s="68"/>
      <c r="Q23" s="39"/>
      <c r="R23" s="39"/>
    </row>
    <row r="24" spans="1:18" ht="15.75" customHeight="1">
      <c r="A24" s="39"/>
      <c r="B24" s="62"/>
      <c r="C24" s="62"/>
      <c r="D24" s="62"/>
      <c r="E24" s="63"/>
      <c r="F24" s="64"/>
      <c r="G24" s="64"/>
      <c r="H24" s="64"/>
      <c r="I24" s="65"/>
      <c r="J24" s="53"/>
      <c r="K24" s="66"/>
      <c r="L24" s="67"/>
      <c r="M24" s="67"/>
      <c r="N24" s="215"/>
      <c r="O24" s="217"/>
      <c r="P24" s="68"/>
      <c r="Q24" s="39"/>
      <c r="R24" s="39"/>
    </row>
    <row r="25" spans="1:18" ht="15.75" customHeight="1">
      <c r="A25" s="39"/>
      <c r="B25" s="62"/>
      <c r="C25" s="62"/>
      <c r="D25" s="62"/>
      <c r="E25" s="63"/>
      <c r="F25" s="64"/>
      <c r="G25" s="64"/>
      <c r="H25" s="64"/>
      <c r="I25" s="65"/>
      <c r="J25" s="53"/>
      <c r="K25" s="66"/>
      <c r="L25" s="67"/>
      <c r="M25" s="67"/>
      <c r="N25" s="215"/>
      <c r="O25" s="217"/>
      <c r="P25" s="68"/>
      <c r="Q25" s="39"/>
      <c r="R25" s="39"/>
    </row>
    <row r="26" spans="1:18" ht="15.75" customHeight="1">
      <c r="A26" s="39"/>
      <c r="B26" s="62"/>
      <c r="C26" s="62"/>
      <c r="D26" s="62"/>
      <c r="E26" s="63"/>
      <c r="F26" s="64"/>
      <c r="G26" s="64"/>
      <c r="H26" s="64"/>
      <c r="I26" s="65"/>
      <c r="J26" s="53"/>
      <c r="K26" s="66"/>
      <c r="L26" s="67"/>
      <c r="M26" s="67"/>
      <c r="N26" s="215"/>
      <c r="O26" s="217"/>
      <c r="P26" s="68"/>
      <c r="Q26" s="39"/>
      <c r="R26" s="39"/>
    </row>
    <row r="27" spans="1:18" ht="15.75" customHeight="1">
      <c r="A27" s="39"/>
      <c r="B27" s="62"/>
      <c r="C27" s="62"/>
      <c r="D27" s="62"/>
      <c r="E27" s="63"/>
      <c r="F27" s="64"/>
      <c r="G27" s="64"/>
      <c r="H27" s="64"/>
      <c r="I27" s="65"/>
      <c r="J27" s="53"/>
      <c r="K27" s="66"/>
      <c r="L27" s="67"/>
      <c r="M27" s="67"/>
      <c r="N27" s="215"/>
      <c r="O27" s="217"/>
      <c r="P27" s="68"/>
      <c r="Q27" s="39"/>
      <c r="R27" s="39"/>
    </row>
    <row r="28" spans="1:18" ht="15.75" customHeight="1">
      <c r="A28" s="39"/>
      <c r="B28" s="62"/>
      <c r="C28" s="62"/>
      <c r="D28" s="62"/>
      <c r="E28" s="63"/>
      <c r="F28" s="64"/>
      <c r="G28" s="64"/>
      <c r="H28" s="64"/>
      <c r="I28" s="65"/>
      <c r="J28" s="53"/>
      <c r="K28" s="66"/>
      <c r="L28" s="67"/>
      <c r="N28" s="215"/>
      <c r="O28" s="217"/>
      <c r="P28" s="68"/>
      <c r="Q28" s="39"/>
      <c r="R28" s="39"/>
    </row>
    <row r="29" spans="1:18" ht="15.75" customHeight="1">
      <c r="A29" s="39"/>
      <c r="B29" s="62"/>
      <c r="C29" s="62"/>
      <c r="D29" s="62"/>
      <c r="E29" s="63"/>
      <c r="F29" s="64"/>
      <c r="G29" s="64"/>
      <c r="H29" s="64"/>
      <c r="I29" s="65"/>
      <c r="J29" s="53"/>
      <c r="K29" s="66"/>
      <c r="L29" s="67"/>
      <c r="N29" s="215"/>
      <c r="O29" s="217"/>
      <c r="P29" s="68"/>
      <c r="Q29" s="39"/>
      <c r="R29" s="39"/>
    </row>
    <row r="30" spans="1:18" ht="15.75" customHeight="1">
      <c r="A30" s="39"/>
      <c r="B30" s="62"/>
      <c r="C30" s="62"/>
      <c r="D30" s="62"/>
      <c r="E30" s="63"/>
      <c r="F30" s="64"/>
      <c r="G30" s="64"/>
      <c r="H30" s="64"/>
      <c r="I30" s="65"/>
      <c r="J30" s="53"/>
      <c r="K30" s="66"/>
      <c r="L30" s="67"/>
      <c r="N30" s="215"/>
      <c r="O30" s="217"/>
      <c r="P30" s="68"/>
      <c r="Q30" s="39"/>
      <c r="R30" s="39"/>
    </row>
    <row r="31" spans="1:18" ht="15.75" customHeight="1">
      <c r="A31" s="39"/>
      <c r="B31" s="62"/>
      <c r="C31" s="62"/>
      <c r="D31" s="62"/>
      <c r="E31" s="63"/>
      <c r="F31" s="64"/>
      <c r="G31" s="64"/>
      <c r="H31" s="64"/>
      <c r="I31" s="65"/>
      <c r="J31" s="53"/>
      <c r="K31" s="66"/>
      <c r="L31" s="67"/>
      <c r="N31" s="215"/>
      <c r="O31" s="217"/>
      <c r="P31" s="68"/>
      <c r="Q31" s="39"/>
      <c r="R31" s="39"/>
    </row>
    <row r="32" spans="1:18" ht="15.75" customHeight="1">
      <c r="A32" s="39"/>
      <c r="B32" s="62"/>
      <c r="C32" s="62"/>
      <c r="D32" s="62"/>
      <c r="E32" s="63"/>
      <c r="F32" s="64"/>
      <c r="G32" s="64"/>
      <c r="H32" s="64"/>
      <c r="I32" s="65"/>
      <c r="J32" s="53"/>
      <c r="K32" s="66"/>
      <c r="L32" s="67"/>
      <c r="N32" s="215"/>
      <c r="O32" s="217"/>
      <c r="P32" s="68"/>
      <c r="Q32" s="39"/>
      <c r="R32" s="39"/>
    </row>
    <row r="33" spans="1:18" ht="15.75" customHeight="1">
      <c r="A33" s="39"/>
      <c r="B33" s="62"/>
      <c r="C33" s="62"/>
      <c r="D33" s="62"/>
      <c r="E33" s="63"/>
      <c r="F33" s="64"/>
      <c r="G33" s="64"/>
      <c r="H33" s="64"/>
      <c r="I33" s="65"/>
      <c r="J33" s="53"/>
      <c r="K33" s="66"/>
      <c r="L33" s="67"/>
      <c r="N33" s="215"/>
      <c r="O33" s="217"/>
      <c r="P33" s="68"/>
      <c r="Q33" s="39"/>
      <c r="R33" s="39"/>
    </row>
    <row r="34" spans="1:18" ht="15.75" customHeight="1">
      <c r="A34" s="39"/>
      <c r="B34" s="62"/>
      <c r="C34" s="62"/>
      <c r="D34" s="62"/>
      <c r="E34" s="63"/>
      <c r="F34" s="64"/>
      <c r="G34" s="64"/>
      <c r="H34" s="64"/>
      <c r="I34" s="65"/>
      <c r="J34" s="53"/>
      <c r="K34" s="66"/>
      <c r="L34" s="67"/>
      <c r="N34" s="215"/>
      <c r="O34" s="217"/>
      <c r="P34" s="68"/>
      <c r="Q34" s="39"/>
      <c r="R34" s="39"/>
    </row>
    <row r="35" spans="1:18" ht="15.75" customHeight="1">
      <c r="A35" s="39"/>
      <c r="B35" s="62"/>
      <c r="C35" s="62"/>
      <c r="D35" s="62"/>
      <c r="E35" s="63"/>
      <c r="F35" s="64"/>
      <c r="G35" s="64"/>
      <c r="H35" s="64"/>
      <c r="I35" s="65"/>
      <c r="J35" s="53"/>
      <c r="K35" s="66"/>
      <c r="L35" s="67"/>
      <c r="N35" s="215"/>
      <c r="O35" s="217"/>
      <c r="P35" s="68"/>
      <c r="Q35" s="39"/>
      <c r="R35" s="39"/>
    </row>
    <row r="36" spans="1:18" ht="15.75" customHeight="1">
      <c r="A36" s="39"/>
      <c r="B36" s="62"/>
      <c r="C36" s="62"/>
      <c r="D36" s="62"/>
      <c r="E36" s="63"/>
      <c r="F36" s="64"/>
      <c r="G36" s="64"/>
      <c r="H36" s="64"/>
      <c r="I36" s="65"/>
      <c r="J36" s="53"/>
      <c r="K36" s="66"/>
      <c r="L36" s="67"/>
      <c r="N36" s="215"/>
      <c r="O36" s="217"/>
      <c r="P36" s="68"/>
      <c r="Q36" s="39"/>
      <c r="R36" s="39"/>
    </row>
    <row r="37" spans="1:18" ht="15.75" customHeight="1">
      <c r="A37" s="39"/>
      <c r="B37" s="62"/>
      <c r="C37" s="62"/>
      <c r="D37" s="62"/>
      <c r="E37" s="63"/>
      <c r="F37" s="64"/>
      <c r="G37" s="64"/>
      <c r="H37" s="64"/>
      <c r="I37" s="65"/>
      <c r="J37" s="53"/>
      <c r="K37" s="66"/>
      <c r="L37" s="67"/>
      <c r="N37" s="215"/>
      <c r="O37" s="217"/>
      <c r="P37" s="68"/>
      <c r="Q37" s="39"/>
      <c r="R37" s="39"/>
    </row>
    <row r="38" spans="1:18" ht="15.75" customHeight="1">
      <c r="A38" s="39"/>
      <c r="B38" s="62"/>
      <c r="C38" s="62"/>
      <c r="D38" s="62"/>
      <c r="E38" s="63"/>
      <c r="F38" s="64"/>
      <c r="G38" s="64"/>
      <c r="H38" s="64"/>
      <c r="I38" s="65"/>
      <c r="J38" s="53"/>
      <c r="K38" s="66"/>
      <c r="L38" s="67"/>
      <c r="N38" s="215"/>
      <c r="O38" s="217"/>
      <c r="P38" s="68"/>
      <c r="Q38" s="39"/>
      <c r="R38" s="39"/>
    </row>
    <row r="39" spans="1:18" ht="15.75" customHeight="1">
      <c r="A39" s="39"/>
      <c r="B39" s="62"/>
      <c r="C39" s="62"/>
      <c r="D39" s="62"/>
      <c r="E39" s="63"/>
      <c r="F39" s="64"/>
      <c r="G39" s="64"/>
      <c r="H39" s="64"/>
      <c r="I39" s="65"/>
      <c r="J39" s="53"/>
      <c r="K39" s="66"/>
      <c r="L39" s="67"/>
      <c r="N39" s="215"/>
      <c r="O39" s="217"/>
      <c r="P39" s="68"/>
      <c r="Q39" s="39"/>
      <c r="R39" s="39"/>
    </row>
    <row r="40" spans="1:18" ht="15.75" customHeight="1">
      <c r="A40" s="39"/>
      <c r="B40" s="62"/>
      <c r="C40" s="62"/>
      <c r="D40" s="62"/>
      <c r="E40" s="63"/>
      <c r="F40" s="64"/>
      <c r="G40" s="64"/>
      <c r="H40" s="64"/>
      <c r="I40" s="65"/>
      <c r="J40" s="53"/>
      <c r="K40" s="66"/>
      <c r="L40" s="67"/>
      <c r="N40" s="215"/>
      <c r="O40" s="217"/>
      <c r="P40" s="68"/>
      <c r="Q40" s="39"/>
      <c r="R40" s="39"/>
    </row>
    <row r="41" spans="1:18" ht="15.75" customHeight="1">
      <c r="A41" s="39"/>
      <c r="B41" s="62"/>
      <c r="C41" s="62"/>
      <c r="D41" s="62"/>
      <c r="E41" s="63"/>
      <c r="F41" s="64"/>
      <c r="G41" s="64"/>
      <c r="H41" s="64"/>
      <c r="I41" s="65"/>
      <c r="J41" s="53"/>
      <c r="K41" s="66"/>
      <c r="L41" s="67"/>
      <c r="N41" s="215"/>
      <c r="O41" s="217"/>
      <c r="P41" s="68"/>
      <c r="Q41" s="39"/>
      <c r="R41" s="39"/>
    </row>
    <row r="42" spans="1:18" ht="15.75" customHeight="1">
      <c r="A42" s="39"/>
      <c r="B42" s="62"/>
      <c r="C42" s="62"/>
      <c r="D42" s="62"/>
      <c r="E42" s="63"/>
      <c r="F42" s="64"/>
      <c r="G42" s="64"/>
      <c r="H42" s="64"/>
      <c r="I42" s="65"/>
      <c r="J42" s="53"/>
      <c r="K42" s="66"/>
      <c r="L42" s="67"/>
      <c r="N42" s="215"/>
      <c r="O42" s="217"/>
      <c r="P42" s="68"/>
      <c r="Q42" s="39"/>
      <c r="R42" s="39"/>
    </row>
    <row r="43" spans="1:18" ht="15.75" customHeight="1">
      <c r="A43" s="39"/>
      <c r="B43" s="62"/>
      <c r="C43" s="62"/>
      <c r="D43" s="62"/>
      <c r="E43" s="63"/>
      <c r="F43" s="64"/>
      <c r="G43" s="64"/>
      <c r="H43" s="64"/>
      <c r="I43" s="65"/>
      <c r="J43" s="53"/>
      <c r="K43" s="66"/>
      <c r="L43" s="67"/>
      <c r="N43" s="215"/>
      <c r="O43" s="217"/>
      <c r="P43" s="68"/>
      <c r="Q43" s="39"/>
      <c r="R43" s="39"/>
    </row>
    <row r="44" spans="1:18" ht="15.75" customHeight="1">
      <c r="A44" s="39"/>
      <c r="B44" s="62"/>
      <c r="C44" s="62"/>
      <c r="D44" s="62"/>
      <c r="E44" s="63"/>
      <c r="F44" s="64"/>
      <c r="G44" s="64"/>
      <c r="H44" s="64"/>
      <c r="I44" s="65"/>
      <c r="J44" s="53"/>
      <c r="K44" s="66"/>
      <c r="L44" s="67"/>
      <c r="N44" s="215"/>
      <c r="O44" s="217"/>
      <c r="P44" s="68"/>
      <c r="Q44" s="39"/>
      <c r="R44" s="39"/>
    </row>
    <row r="45" spans="1:18" ht="15.75" customHeight="1">
      <c r="A45" s="39"/>
      <c r="B45" s="62"/>
      <c r="C45" s="62"/>
      <c r="D45" s="62"/>
      <c r="E45" s="63"/>
      <c r="F45" s="64"/>
      <c r="G45" s="64"/>
      <c r="H45" s="64"/>
      <c r="I45" s="65"/>
      <c r="J45" s="53"/>
      <c r="K45" s="66"/>
      <c r="L45" s="67"/>
      <c r="N45" s="215"/>
      <c r="O45" s="217"/>
      <c r="P45" s="68"/>
      <c r="Q45" s="39"/>
      <c r="R45" s="39"/>
    </row>
    <row r="46" spans="1:18" ht="15.75" customHeight="1">
      <c r="A46" s="39"/>
      <c r="B46" s="62"/>
      <c r="C46" s="62"/>
      <c r="D46" s="62"/>
      <c r="E46" s="63"/>
      <c r="F46" s="64"/>
      <c r="G46" s="64"/>
      <c r="H46" s="64"/>
      <c r="I46" s="65"/>
      <c r="J46" s="53"/>
      <c r="K46" s="66"/>
      <c r="L46" s="67"/>
      <c r="N46" s="215"/>
      <c r="O46" s="217"/>
      <c r="P46" s="68"/>
      <c r="Q46" s="39"/>
      <c r="R46" s="39"/>
    </row>
    <row r="47" spans="1:18" ht="15.75" customHeight="1">
      <c r="A47" s="39"/>
      <c r="B47" s="62"/>
      <c r="C47" s="62"/>
      <c r="D47" s="62"/>
      <c r="E47" s="63"/>
      <c r="F47" s="64"/>
      <c r="G47" s="64"/>
      <c r="H47" s="64"/>
      <c r="I47" s="65"/>
      <c r="J47" s="53"/>
      <c r="K47" s="66"/>
      <c r="L47" s="67"/>
      <c r="N47" s="215"/>
      <c r="O47" s="217"/>
      <c r="P47" s="68"/>
      <c r="Q47" s="39"/>
      <c r="R47" s="39"/>
    </row>
    <row r="48" spans="1:18" ht="15.75" customHeight="1">
      <c r="A48" s="39"/>
      <c r="B48" s="62"/>
      <c r="C48" s="62"/>
      <c r="D48" s="62"/>
      <c r="E48" s="63"/>
      <c r="F48" s="64"/>
      <c r="G48" s="64"/>
      <c r="H48" s="64"/>
      <c r="I48" s="65"/>
      <c r="J48" s="53"/>
      <c r="K48" s="66"/>
      <c r="L48" s="67"/>
      <c r="N48" s="215"/>
      <c r="O48" s="217"/>
      <c r="P48" s="68"/>
      <c r="Q48" s="39"/>
      <c r="R48" s="39"/>
    </row>
    <row r="49" spans="1:18" ht="15.75" customHeight="1">
      <c r="A49" s="39"/>
      <c r="B49" s="62"/>
      <c r="C49" s="62"/>
      <c r="D49" s="62"/>
      <c r="E49" s="63"/>
      <c r="F49" s="64"/>
      <c r="G49" s="64"/>
      <c r="H49" s="64"/>
      <c r="I49" s="65"/>
      <c r="J49" s="53"/>
      <c r="K49" s="66"/>
      <c r="L49" s="67"/>
      <c r="N49" s="215"/>
      <c r="O49" s="217"/>
      <c r="P49" s="68"/>
      <c r="Q49" s="39"/>
      <c r="R49" s="39"/>
    </row>
    <row r="50" spans="1:18" ht="15.75" customHeight="1">
      <c r="A50" s="39"/>
      <c r="B50" s="62"/>
      <c r="C50" s="62"/>
      <c r="D50" s="62"/>
      <c r="E50" s="63"/>
      <c r="F50" s="64"/>
      <c r="G50" s="64"/>
      <c r="H50" s="64"/>
      <c r="I50" s="65"/>
      <c r="J50" s="53"/>
      <c r="K50" s="66"/>
      <c r="L50" s="67"/>
      <c r="N50" s="215"/>
      <c r="O50" s="217"/>
      <c r="P50" s="68"/>
      <c r="Q50" s="39"/>
      <c r="R50" s="39"/>
    </row>
    <row r="51" spans="1:18" ht="15.75" customHeight="1">
      <c r="A51" s="39"/>
      <c r="B51" s="62"/>
      <c r="C51" s="62"/>
      <c r="D51" s="62"/>
      <c r="E51" s="63"/>
      <c r="F51" s="64"/>
      <c r="G51" s="64"/>
      <c r="H51" s="64"/>
      <c r="I51" s="65"/>
      <c r="J51" s="53"/>
      <c r="K51" s="66"/>
      <c r="L51" s="67"/>
      <c r="N51" s="215"/>
      <c r="O51" s="217"/>
      <c r="P51" s="68"/>
      <c r="Q51" s="39"/>
      <c r="R51" s="39"/>
    </row>
    <row r="52" spans="1:18" ht="15.75" customHeight="1">
      <c r="A52" s="39"/>
      <c r="B52" s="62"/>
      <c r="C52" s="62"/>
      <c r="D52" s="62"/>
      <c r="E52" s="63"/>
      <c r="F52" s="64"/>
      <c r="G52" s="64"/>
      <c r="H52" s="64"/>
      <c r="I52" s="65"/>
      <c r="J52" s="53"/>
      <c r="K52" s="66"/>
      <c r="L52" s="67"/>
      <c r="N52" s="215"/>
      <c r="O52" s="217"/>
      <c r="P52" s="68"/>
      <c r="Q52" s="39"/>
      <c r="R52" s="39"/>
    </row>
    <row r="53" spans="1:18" ht="15.75" customHeight="1">
      <c r="A53" s="39"/>
      <c r="B53" s="62"/>
      <c r="C53" s="62"/>
      <c r="D53" s="62"/>
      <c r="E53" s="63"/>
      <c r="F53" s="64"/>
      <c r="G53" s="64"/>
      <c r="H53" s="64"/>
      <c r="I53" s="65"/>
      <c r="J53" s="53"/>
      <c r="K53" s="66"/>
      <c r="L53" s="67"/>
      <c r="N53" s="215"/>
      <c r="O53" s="217"/>
      <c r="P53" s="68"/>
      <c r="Q53" s="39"/>
      <c r="R53" s="39"/>
    </row>
    <row r="54" spans="1:18" ht="15.75" customHeight="1">
      <c r="A54" s="39"/>
      <c r="B54" s="62"/>
      <c r="C54" s="62"/>
      <c r="D54" s="62"/>
      <c r="E54" s="63"/>
      <c r="F54" s="64"/>
      <c r="G54" s="64"/>
      <c r="H54" s="64"/>
      <c r="I54" s="65"/>
      <c r="J54" s="53"/>
      <c r="K54" s="66"/>
      <c r="L54" s="67"/>
      <c r="N54" s="215"/>
      <c r="O54" s="217"/>
      <c r="P54" s="68"/>
      <c r="Q54" s="39"/>
      <c r="R54" s="39"/>
    </row>
    <row r="55" spans="1:18" ht="15.75" customHeight="1">
      <c r="A55" s="39"/>
      <c r="B55" s="62"/>
      <c r="C55" s="62"/>
      <c r="D55" s="62"/>
      <c r="E55" s="63"/>
      <c r="F55" s="64"/>
      <c r="G55" s="64"/>
      <c r="H55" s="64"/>
      <c r="I55" s="65"/>
      <c r="J55" s="53"/>
      <c r="K55" s="66"/>
      <c r="L55" s="67"/>
      <c r="N55" s="215"/>
      <c r="O55" s="217"/>
      <c r="P55" s="68"/>
      <c r="Q55" s="39"/>
      <c r="R55" s="39"/>
    </row>
    <row r="56" spans="1:18" ht="15.75" customHeight="1">
      <c r="A56" s="39"/>
      <c r="B56" s="62"/>
      <c r="C56" s="62"/>
      <c r="D56" s="62"/>
      <c r="E56" s="63"/>
      <c r="F56" s="64"/>
      <c r="G56" s="64"/>
      <c r="H56" s="64"/>
      <c r="I56" s="65"/>
      <c r="J56" s="53"/>
      <c r="K56" s="66"/>
      <c r="L56" s="67"/>
      <c r="N56" s="215"/>
      <c r="O56" s="217"/>
      <c r="P56" s="68"/>
      <c r="Q56" s="39"/>
      <c r="R56" s="39"/>
    </row>
    <row r="57" spans="1:18" ht="15.75" customHeight="1">
      <c r="A57" s="39"/>
      <c r="B57" s="62"/>
      <c r="C57" s="62"/>
      <c r="D57" s="62"/>
      <c r="E57" s="63"/>
      <c r="F57" s="64"/>
      <c r="G57" s="64"/>
      <c r="H57" s="64"/>
      <c r="I57" s="65"/>
      <c r="J57" s="53"/>
      <c r="K57" s="66"/>
      <c r="L57" s="67"/>
      <c r="N57" s="215"/>
      <c r="O57" s="217"/>
      <c r="P57" s="68"/>
      <c r="Q57" s="39"/>
      <c r="R57" s="39"/>
    </row>
    <row r="58" spans="1:18" ht="15.75" customHeight="1">
      <c r="A58" s="39"/>
      <c r="B58" s="62"/>
      <c r="C58" s="62"/>
      <c r="D58" s="62"/>
      <c r="E58" s="63"/>
      <c r="F58" s="64"/>
      <c r="G58" s="64"/>
      <c r="H58" s="64"/>
      <c r="I58" s="65"/>
      <c r="J58" s="53"/>
      <c r="K58" s="66"/>
      <c r="L58" s="67"/>
      <c r="N58" s="215"/>
      <c r="O58" s="217"/>
      <c r="P58" s="68"/>
      <c r="Q58" s="39"/>
      <c r="R58" s="39"/>
    </row>
    <row r="59" spans="1:18" ht="15.75" customHeight="1">
      <c r="A59" s="39"/>
      <c r="B59" s="39"/>
      <c r="C59" s="39"/>
      <c r="D59" s="39"/>
      <c r="E59" s="39"/>
      <c r="F59" s="39"/>
      <c r="G59" s="39"/>
      <c r="H59" s="39"/>
      <c r="I59" s="39"/>
      <c r="J59" s="39"/>
      <c r="K59" s="39"/>
      <c r="L59" s="39"/>
      <c r="N59" s="216"/>
      <c r="O59" s="216"/>
      <c r="P59" s="39"/>
      <c r="Q59" s="39"/>
      <c r="R59" s="39"/>
    </row>
    <row r="60" spans="1:18" ht="15.75" customHeight="1">
      <c r="A60" s="39"/>
      <c r="B60" s="39"/>
      <c r="C60" s="39"/>
      <c r="D60" s="39"/>
      <c r="E60" s="39"/>
      <c r="F60" s="39"/>
      <c r="G60" s="39"/>
      <c r="H60" s="39"/>
      <c r="I60" s="39"/>
      <c r="J60" s="39"/>
      <c r="K60" s="39"/>
      <c r="L60" s="39"/>
      <c r="N60" s="216"/>
      <c r="O60" s="216"/>
      <c r="P60" s="39"/>
      <c r="Q60" s="39"/>
      <c r="R60" s="39"/>
    </row>
    <row r="61" spans="1:18" ht="15.75" customHeight="1">
      <c r="A61" s="39"/>
      <c r="B61" s="39"/>
      <c r="C61" s="39"/>
      <c r="D61" s="39"/>
      <c r="E61" s="39"/>
      <c r="F61" s="39"/>
      <c r="G61" s="39"/>
      <c r="H61" s="39"/>
      <c r="I61" s="39"/>
      <c r="J61" s="39"/>
      <c r="K61" s="39"/>
      <c r="L61" s="39"/>
      <c r="N61" s="216"/>
      <c r="O61" s="216"/>
      <c r="P61" s="39"/>
      <c r="Q61" s="39"/>
      <c r="R61" s="39"/>
    </row>
    <row r="62" spans="1:18" ht="15.75" customHeight="1">
      <c r="A62" s="39"/>
      <c r="B62" s="39"/>
      <c r="C62" s="39"/>
      <c r="D62" s="39"/>
      <c r="E62" s="39"/>
      <c r="F62" s="39"/>
      <c r="G62" s="39"/>
      <c r="H62" s="39"/>
      <c r="I62" s="39"/>
      <c r="J62" s="39"/>
      <c r="K62" s="39"/>
      <c r="L62" s="39"/>
      <c r="N62" s="216"/>
      <c r="O62" s="216"/>
      <c r="P62" s="39"/>
      <c r="Q62" s="39"/>
      <c r="R62" s="39"/>
    </row>
    <row r="63" spans="1:18" ht="15.75" customHeight="1">
      <c r="A63" s="39"/>
      <c r="B63" s="39"/>
      <c r="C63" s="39"/>
      <c r="D63" s="39"/>
      <c r="E63" s="39"/>
      <c r="F63" s="39"/>
      <c r="G63" s="39"/>
      <c r="H63" s="39"/>
      <c r="I63" s="39"/>
      <c r="J63" s="39"/>
      <c r="K63" s="39"/>
      <c r="L63" s="39"/>
      <c r="N63" s="216"/>
      <c r="O63" s="216"/>
      <c r="P63" s="39"/>
      <c r="Q63" s="39"/>
      <c r="R63" s="39"/>
    </row>
    <row r="64" spans="1:18" ht="15.75" customHeight="1">
      <c r="A64" s="39"/>
      <c r="B64" s="39"/>
      <c r="C64" s="39"/>
      <c r="D64" s="39"/>
      <c r="E64" s="39"/>
      <c r="F64" s="39"/>
      <c r="G64" s="39"/>
      <c r="H64" s="39"/>
      <c r="I64" s="39"/>
      <c r="J64" s="39"/>
      <c r="K64" s="39"/>
      <c r="L64" s="39"/>
      <c r="N64" s="216"/>
      <c r="O64" s="216"/>
      <c r="P64" s="39"/>
      <c r="Q64" s="39"/>
      <c r="R64" s="39"/>
    </row>
    <row r="65" spans="1:18" ht="15.75" customHeight="1">
      <c r="A65" s="39"/>
      <c r="B65" s="39"/>
      <c r="C65" s="39"/>
      <c r="D65" s="39"/>
      <c r="E65" s="39"/>
      <c r="F65" s="39"/>
      <c r="G65" s="39"/>
      <c r="H65" s="39"/>
      <c r="I65" s="39"/>
      <c r="J65" s="39"/>
      <c r="K65" s="39"/>
      <c r="L65" s="39"/>
      <c r="N65" s="216"/>
      <c r="O65" s="216"/>
      <c r="P65" s="39"/>
      <c r="Q65" s="39"/>
      <c r="R65" s="39"/>
    </row>
    <row r="66" spans="1:18" ht="15.75" customHeight="1">
      <c r="A66" s="39"/>
      <c r="B66" s="39"/>
      <c r="C66" s="39"/>
      <c r="D66" s="39"/>
      <c r="E66" s="39"/>
      <c r="F66" s="39"/>
      <c r="G66" s="39"/>
      <c r="H66" s="39"/>
      <c r="I66" s="39"/>
      <c r="J66" s="39"/>
      <c r="K66" s="39"/>
      <c r="L66" s="39"/>
      <c r="N66" s="216"/>
      <c r="O66" s="216"/>
      <c r="P66" s="39"/>
      <c r="Q66" s="39"/>
      <c r="R66" s="39"/>
    </row>
    <row r="67" spans="1:18" ht="15.75" customHeight="1">
      <c r="A67" s="39"/>
      <c r="B67" s="39"/>
      <c r="C67" s="39"/>
      <c r="D67" s="39"/>
      <c r="E67" s="39"/>
      <c r="F67" s="39"/>
      <c r="G67" s="39"/>
      <c r="H67" s="39"/>
      <c r="I67" s="39"/>
      <c r="J67" s="39"/>
      <c r="K67" s="39"/>
      <c r="L67" s="39"/>
      <c r="N67" s="216"/>
      <c r="O67" s="216"/>
      <c r="P67" s="39"/>
      <c r="Q67" s="39"/>
      <c r="R67" s="39"/>
    </row>
    <row r="68" spans="1:18" ht="15.75" customHeight="1">
      <c r="A68" s="39"/>
      <c r="B68" s="39"/>
      <c r="C68" s="39"/>
      <c r="D68" s="39"/>
      <c r="E68" s="39"/>
      <c r="F68" s="39"/>
      <c r="G68" s="39"/>
      <c r="H68" s="39"/>
      <c r="I68" s="39"/>
      <c r="J68" s="39"/>
      <c r="K68" s="39"/>
      <c r="L68" s="39"/>
      <c r="N68" s="216"/>
      <c r="O68" s="216"/>
      <c r="P68" s="39"/>
      <c r="Q68" s="39"/>
      <c r="R68" s="39"/>
    </row>
    <row r="69" spans="1:18" ht="15.75" customHeight="1">
      <c r="A69" s="39"/>
      <c r="B69" s="39"/>
      <c r="C69" s="39"/>
      <c r="D69" s="39"/>
      <c r="E69" s="39"/>
      <c r="F69" s="39"/>
      <c r="G69" s="39"/>
      <c r="H69" s="39"/>
      <c r="I69" s="39"/>
      <c r="J69" s="39"/>
      <c r="K69" s="39"/>
      <c r="L69" s="39"/>
      <c r="N69" s="216"/>
      <c r="O69" s="216"/>
      <c r="P69" s="39"/>
      <c r="Q69" s="39"/>
      <c r="R69" s="39"/>
    </row>
    <row r="70" spans="1:18" ht="15.75" customHeight="1">
      <c r="A70" s="39"/>
      <c r="B70" s="39"/>
      <c r="C70" s="39"/>
      <c r="D70" s="39"/>
      <c r="E70" s="39"/>
      <c r="F70" s="39"/>
      <c r="G70" s="39"/>
      <c r="H70" s="39"/>
      <c r="I70" s="39"/>
      <c r="J70" s="39"/>
      <c r="K70" s="39"/>
      <c r="L70" s="39"/>
      <c r="N70" s="216"/>
      <c r="O70" s="216"/>
      <c r="P70" s="39"/>
      <c r="Q70" s="39"/>
      <c r="R70" s="39"/>
    </row>
    <row r="71" spans="1:18" ht="15.75" customHeight="1">
      <c r="A71" s="39"/>
      <c r="B71" s="39"/>
      <c r="C71" s="39"/>
      <c r="D71" s="39"/>
      <c r="E71" s="39"/>
      <c r="F71" s="39"/>
      <c r="G71" s="39"/>
      <c r="H71" s="39"/>
      <c r="I71" s="39"/>
      <c r="J71" s="39"/>
      <c r="K71" s="39"/>
      <c r="L71" s="39"/>
      <c r="N71" s="216"/>
      <c r="O71" s="216"/>
      <c r="P71" s="39"/>
      <c r="Q71" s="39"/>
      <c r="R71" s="39"/>
    </row>
    <row r="72" spans="1:18" ht="15.75" customHeight="1">
      <c r="A72" s="39"/>
      <c r="B72" s="39"/>
      <c r="C72" s="39"/>
      <c r="D72" s="39"/>
      <c r="E72" s="39"/>
      <c r="F72" s="39"/>
      <c r="G72" s="39"/>
      <c r="H72" s="39"/>
      <c r="I72" s="39"/>
      <c r="J72" s="39"/>
      <c r="K72" s="39"/>
      <c r="L72" s="39"/>
      <c r="N72" s="216"/>
      <c r="O72" s="216"/>
      <c r="P72" s="39"/>
      <c r="Q72" s="39"/>
      <c r="R72" s="39"/>
    </row>
    <row r="73" spans="1:18" ht="15.75" customHeight="1">
      <c r="A73" s="39"/>
      <c r="B73" s="39"/>
      <c r="C73" s="39"/>
      <c r="D73" s="39"/>
      <c r="E73" s="39"/>
      <c r="F73" s="39"/>
      <c r="G73" s="39"/>
      <c r="H73" s="39"/>
      <c r="I73" s="39"/>
      <c r="J73" s="39"/>
      <c r="K73" s="39"/>
      <c r="L73" s="39"/>
      <c r="N73" s="216"/>
      <c r="O73" s="216"/>
      <c r="P73" s="39"/>
      <c r="Q73" s="39"/>
      <c r="R73" s="39"/>
    </row>
    <row r="74" spans="1:18" ht="15.75" customHeight="1">
      <c r="A74" s="39"/>
      <c r="B74" s="39"/>
      <c r="C74" s="39"/>
      <c r="D74" s="39"/>
      <c r="E74" s="39"/>
      <c r="F74" s="39"/>
      <c r="G74" s="39"/>
      <c r="H74" s="39"/>
      <c r="I74" s="39"/>
      <c r="J74" s="39"/>
      <c r="K74" s="39"/>
      <c r="L74" s="39"/>
      <c r="N74" s="216"/>
      <c r="O74" s="216"/>
      <c r="P74" s="39"/>
      <c r="Q74" s="39"/>
      <c r="R74" s="39"/>
    </row>
    <row r="75" spans="1:18" ht="15.75" customHeight="1">
      <c r="A75" s="39"/>
      <c r="B75" s="39"/>
      <c r="C75" s="39"/>
      <c r="D75" s="39"/>
      <c r="E75" s="39"/>
      <c r="F75" s="39"/>
      <c r="G75" s="39"/>
      <c r="H75" s="39"/>
      <c r="I75" s="39"/>
      <c r="J75" s="39"/>
      <c r="K75" s="39"/>
      <c r="L75" s="39"/>
      <c r="N75" s="216"/>
      <c r="O75" s="216"/>
      <c r="P75" s="39"/>
      <c r="Q75" s="39"/>
      <c r="R75" s="39"/>
    </row>
    <row r="76" spans="1:18" ht="15.75" customHeight="1">
      <c r="A76" s="39"/>
      <c r="B76" s="39"/>
      <c r="C76" s="39"/>
      <c r="D76" s="39"/>
      <c r="E76" s="39"/>
      <c r="F76" s="39"/>
      <c r="G76" s="39"/>
      <c r="H76" s="39"/>
      <c r="I76" s="39"/>
      <c r="J76" s="39"/>
      <c r="K76" s="39"/>
      <c r="L76" s="39"/>
      <c r="N76" s="216"/>
      <c r="O76" s="216"/>
      <c r="P76" s="39"/>
      <c r="Q76" s="39"/>
      <c r="R76" s="39"/>
    </row>
    <row r="77" spans="1:18" ht="15.75" customHeight="1">
      <c r="A77" s="39"/>
      <c r="B77" s="39"/>
      <c r="C77" s="39"/>
      <c r="D77" s="39"/>
      <c r="E77" s="39"/>
      <c r="F77" s="39"/>
      <c r="G77" s="39"/>
      <c r="H77" s="39"/>
      <c r="I77" s="39"/>
      <c r="J77" s="39"/>
      <c r="K77" s="39"/>
      <c r="L77" s="39"/>
      <c r="N77" s="216"/>
      <c r="O77" s="216"/>
      <c r="P77" s="39"/>
      <c r="Q77" s="39"/>
      <c r="R77" s="39"/>
    </row>
    <row r="78" spans="1:18" ht="15.75" customHeight="1">
      <c r="A78" s="39"/>
      <c r="B78" s="39"/>
      <c r="C78" s="39"/>
      <c r="D78" s="39"/>
      <c r="E78" s="39"/>
      <c r="F78" s="39"/>
      <c r="G78" s="39"/>
      <c r="H78" s="39"/>
      <c r="I78" s="39"/>
      <c r="J78" s="39"/>
      <c r="K78" s="39"/>
      <c r="L78" s="39"/>
      <c r="N78" s="216"/>
      <c r="O78" s="216"/>
      <c r="P78" s="39"/>
      <c r="Q78" s="39"/>
      <c r="R78" s="39"/>
    </row>
    <row r="79" spans="1:18" ht="15.75" customHeight="1">
      <c r="A79" s="39"/>
      <c r="B79" s="39"/>
      <c r="C79" s="39"/>
      <c r="D79" s="39"/>
      <c r="E79" s="39"/>
      <c r="F79" s="39"/>
      <c r="G79" s="39"/>
      <c r="H79" s="39"/>
      <c r="I79" s="39"/>
      <c r="J79" s="39"/>
      <c r="K79" s="39"/>
      <c r="L79" s="39"/>
      <c r="N79" s="216"/>
      <c r="O79" s="216"/>
      <c r="P79" s="39"/>
      <c r="Q79" s="39"/>
      <c r="R79" s="39"/>
    </row>
    <row r="80" spans="1:18" ht="15.75" customHeight="1">
      <c r="A80" s="39"/>
      <c r="B80" s="39"/>
      <c r="C80" s="39"/>
      <c r="D80" s="39"/>
      <c r="E80" s="39"/>
      <c r="F80" s="39"/>
      <c r="G80" s="39"/>
      <c r="H80" s="39"/>
      <c r="I80" s="39"/>
      <c r="J80" s="39"/>
      <c r="K80" s="39"/>
      <c r="L80" s="39"/>
      <c r="N80" s="216"/>
      <c r="O80" s="216"/>
      <c r="P80" s="39"/>
      <c r="Q80" s="39"/>
      <c r="R80" s="39"/>
    </row>
    <row r="81" spans="1:18" ht="15.75" customHeight="1">
      <c r="A81" s="39"/>
      <c r="B81" s="39"/>
      <c r="C81" s="39"/>
      <c r="D81" s="39"/>
      <c r="E81" s="39"/>
      <c r="F81" s="39"/>
      <c r="G81" s="39"/>
      <c r="H81" s="39"/>
      <c r="I81" s="39"/>
      <c r="J81" s="39"/>
      <c r="K81" s="39"/>
      <c r="L81" s="39"/>
      <c r="N81" s="216"/>
      <c r="O81" s="216"/>
      <c r="P81" s="39"/>
      <c r="Q81" s="39"/>
      <c r="R81" s="39"/>
    </row>
    <row r="82" spans="1:18" ht="15.75" customHeight="1">
      <c r="A82" s="39"/>
      <c r="B82" s="39"/>
      <c r="C82" s="39"/>
      <c r="D82" s="39"/>
      <c r="E82" s="39"/>
      <c r="F82" s="39"/>
      <c r="G82" s="39"/>
      <c r="H82" s="39"/>
      <c r="I82" s="39"/>
      <c r="J82" s="39"/>
      <c r="K82" s="39"/>
      <c r="L82" s="39"/>
      <c r="N82" s="216"/>
      <c r="O82" s="216"/>
      <c r="P82" s="39"/>
      <c r="Q82" s="39"/>
      <c r="R82" s="39"/>
    </row>
    <row r="83" spans="1:18" ht="15.75" customHeight="1">
      <c r="A83" s="39"/>
      <c r="B83" s="39"/>
      <c r="C83" s="39"/>
      <c r="D83" s="39"/>
      <c r="E83" s="39"/>
      <c r="F83" s="39"/>
      <c r="G83" s="39"/>
      <c r="H83" s="39"/>
      <c r="I83" s="39"/>
      <c r="J83" s="39"/>
      <c r="K83" s="39"/>
      <c r="L83" s="39"/>
      <c r="N83" s="216"/>
      <c r="O83" s="216"/>
      <c r="P83" s="39"/>
      <c r="Q83" s="39"/>
      <c r="R83" s="39"/>
    </row>
    <row r="84" spans="1:18" ht="15.75" customHeight="1">
      <c r="A84" s="39"/>
      <c r="B84" s="39"/>
      <c r="C84" s="39"/>
      <c r="D84" s="39"/>
      <c r="E84" s="39"/>
      <c r="F84" s="39"/>
      <c r="G84" s="39"/>
      <c r="H84" s="39"/>
      <c r="I84" s="39"/>
      <c r="J84" s="39"/>
      <c r="K84" s="39"/>
      <c r="L84" s="39"/>
      <c r="N84" s="216"/>
      <c r="O84" s="216"/>
      <c r="P84" s="39"/>
      <c r="Q84" s="39"/>
      <c r="R84" s="39"/>
    </row>
    <row r="85" spans="1:18" ht="15.75" customHeight="1">
      <c r="A85" s="39"/>
      <c r="B85" s="39"/>
      <c r="C85" s="39"/>
      <c r="D85" s="39"/>
      <c r="E85" s="39"/>
      <c r="F85" s="39"/>
      <c r="G85" s="39"/>
      <c r="H85" s="39"/>
      <c r="I85" s="39"/>
      <c r="J85" s="39"/>
      <c r="K85" s="39"/>
      <c r="L85" s="39"/>
      <c r="N85" s="216"/>
      <c r="O85" s="216"/>
      <c r="P85" s="39"/>
      <c r="Q85" s="39"/>
      <c r="R85" s="39"/>
    </row>
    <row r="86" spans="1:18" ht="15.75" customHeight="1">
      <c r="A86" s="39"/>
      <c r="B86" s="39"/>
      <c r="C86" s="39"/>
      <c r="D86" s="39"/>
      <c r="E86" s="39"/>
      <c r="F86" s="39"/>
      <c r="G86" s="39"/>
      <c r="H86" s="39"/>
      <c r="I86" s="39"/>
      <c r="J86" s="39"/>
      <c r="K86" s="39"/>
      <c r="L86" s="39"/>
      <c r="N86" s="216"/>
      <c r="O86" s="216"/>
      <c r="P86" s="39"/>
      <c r="Q86" s="39"/>
      <c r="R86" s="39"/>
    </row>
    <row r="87" spans="1:18" ht="15.75" customHeight="1">
      <c r="A87" s="39"/>
      <c r="B87" s="39"/>
      <c r="C87" s="39"/>
      <c r="D87" s="39"/>
      <c r="E87" s="39"/>
      <c r="F87" s="39"/>
      <c r="G87" s="39"/>
      <c r="H87" s="39"/>
      <c r="I87" s="39"/>
      <c r="J87" s="39"/>
      <c r="K87" s="39"/>
      <c r="L87" s="39"/>
      <c r="N87" s="216"/>
      <c r="O87" s="216"/>
      <c r="P87" s="39"/>
      <c r="Q87" s="39"/>
      <c r="R87" s="39"/>
    </row>
    <row r="88" spans="1:18" ht="15.75" customHeight="1">
      <c r="A88" s="39"/>
      <c r="B88" s="39"/>
      <c r="C88" s="39"/>
      <c r="D88" s="39"/>
      <c r="E88" s="39"/>
      <c r="F88" s="39"/>
      <c r="G88" s="39"/>
      <c r="H88" s="39"/>
      <c r="I88" s="39"/>
      <c r="J88" s="39"/>
      <c r="K88" s="39"/>
      <c r="L88" s="39"/>
      <c r="N88" s="216"/>
      <c r="O88" s="216"/>
      <c r="P88" s="39"/>
      <c r="Q88" s="39"/>
      <c r="R88" s="39"/>
    </row>
    <row r="89" spans="1:18" ht="15.75" customHeight="1">
      <c r="A89" s="39"/>
      <c r="B89" s="39"/>
      <c r="C89" s="39"/>
      <c r="D89" s="39"/>
      <c r="E89" s="39"/>
      <c r="F89" s="39"/>
      <c r="G89" s="39"/>
      <c r="H89" s="39"/>
      <c r="I89" s="39"/>
      <c r="J89" s="39"/>
      <c r="K89" s="39"/>
      <c r="L89" s="39"/>
      <c r="N89" s="216"/>
      <c r="O89" s="216"/>
      <c r="P89" s="39"/>
      <c r="Q89" s="39"/>
      <c r="R89" s="39"/>
    </row>
    <row r="90" spans="1:18" ht="15.75" customHeight="1">
      <c r="A90" s="39"/>
      <c r="B90" s="39"/>
      <c r="C90" s="39"/>
      <c r="D90" s="39"/>
      <c r="E90" s="39"/>
      <c r="F90" s="39"/>
      <c r="G90" s="39"/>
      <c r="H90" s="39"/>
      <c r="I90" s="39"/>
      <c r="J90" s="39"/>
      <c r="K90" s="39"/>
      <c r="L90" s="39"/>
      <c r="N90" s="216"/>
      <c r="O90" s="216"/>
      <c r="P90" s="39"/>
      <c r="Q90" s="39"/>
      <c r="R90" s="39"/>
    </row>
    <row r="91" spans="1:18" ht="15.75" customHeight="1">
      <c r="A91" s="39"/>
      <c r="B91" s="39"/>
      <c r="C91" s="39"/>
      <c r="D91" s="39"/>
      <c r="E91" s="39"/>
      <c r="F91" s="39"/>
      <c r="G91" s="39"/>
      <c r="H91" s="39"/>
      <c r="I91" s="39"/>
      <c r="J91" s="39"/>
      <c r="K91" s="39"/>
      <c r="L91" s="39"/>
      <c r="N91" s="216"/>
      <c r="O91" s="216"/>
      <c r="P91" s="39"/>
      <c r="Q91" s="39"/>
      <c r="R91" s="39"/>
    </row>
    <row r="92" spans="1:18" ht="15.75" customHeight="1">
      <c r="A92" s="39"/>
      <c r="B92" s="39"/>
      <c r="C92" s="39"/>
      <c r="D92" s="39"/>
      <c r="E92" s="39"/>
      <c r="F92" s="39"/>
      <c r="G92" s="39"/>
      <c r="H92" s="39"/>
      <c r="I92" s="39"/>
      <c r="J92" s="39"/>
      <c r="K92" s="39"/>
      <c r="L92" s="39"/>
      <c r="N92" s="216"/>
      <c r="O92" s="216"/>
      <c r="P92" s="39"/>
      <c r="Q92" s="39"/>
      <c r="R92" s="39"/>
    </row>
    <row r="93" spans="1:18" ht="15.75" customHeight="1">
      <c r="A93" s="39"/>
      <c r="B93" s="39"/>
      <c r="C93" s="39"/>
      <c r="D93" s="39"/>
      <c r="E93" s="39"/>
      <c r="F93" s="39"/>
      <c r="G93" s="39"/>
      <c r="H93" s="39"/>
      <c r="I93" s="39"/>
      <c r="J93" s="39"/>
      <c r="K93" s="39"/>
      <c r="L93" s="39"/>
      <c r="N93" s="216"/>
      <c r="O93" s="216"/>
      <c r="P93" s="39"/>
      <c r="Q93" s="39"/>
      <c r="R93" s="39"/>
    </row>
    <row r="94" spans="1:18" ht="15.75" customHeight="1">
      <c r="A94" s="39"/>
      <c r="B94" s="39"/>
      <c r="C94" s="39"/>
      <c r="D94" s="39"/>
      <c r="E94" s="39"/>
      <c r="F94" s="39"/>
      <c r="G94" s="39"/>
      <c r="H94" s="39"/>
      <c r="I94" s="39"/>
      <c r="J94" s="39"/>
      <c r="K94" s="39"/>
      <c r="L94" s="39"/>
      <c r="N94" s="216"/>
      <c r="O94" s="216"/>
      <c r="P94" s="39"/>
      <c r="Q94" s="39"/>
      <c r="R94" s="39"/>
    </row>
    <row r="95" spans="1:18" ht="15.75" customHeight="1">
      <c r="A95" s="39"/>
      <c r="B95" s="39"/>
      <c r="C95" s="39"/>
      <c r="D95" s="39"/>
      <c r="E95" s="39"/>
      <c r="F95" s="39"/>
      <c r="G95" s="39"/>
      <c r="H95" s="39"/>
      <c r="I95" s="39"/>
      <c r="J95" s="39"/>
      <c r="K95" s="39"/>
      <c r="L95" s="39"/>
      <c r="N95" s="216"/>
      <c r="O95" s="216"/>
      <c r="P95" s="39"/>
      <c r="Q95" s="39"/>
      <c r="R95" s="39"/>
    </row>
    <row r="96" spans="1:18" ht="15.75" customHeight="1">
      <c r="A96" s="39"/>
      <c r="B96" s="39"/>
      <c r="C96" s="39"/>
      <c r="D96" s="39"/>
      <c r="E96" s="39"/>
      <c r="F96" s="39"/>
      <c r="G96" s="39"/>
      <c r="H96" s="39"/>
      <c r="I96" s="39"/>
      <c r="J96" s="39"/>
      <c r="K96" s="39"/>
      <c r="L96" s="39"/>
      <c r="N96" s="216"/>
      <c r="O96" s="216"/>
      <c r="P96" s="39"/>
      <c r="Q96" s="39"/>
      <c r="R96" s="39"/>
    </row>
    <row r="97" spans="1:18" ht="15.75" customHeight="1">
      <c r="A97" s="39"/>
      <c r="B97" s="39"/>
      <c r="C97" s="39"/>
      <c r="D97" s="39"/>
      <c r="E97" s="39"/>
      <c r="F97" s="39"/>
      <c r="G97" s="39"/>
      <c r="H97" s="39"/>
      <c r="I97" s="39"/>
      <c r="J97" s="39"/>
      <c r="K97" s="39"/>
      <c r="L97" s="39"/>
      <c r="N97" s="216"/>
      <c r="O97" s="216"/>
      <c r="P97" s="39"/>
      <c r="Q97" s="39"/>
      <c r="R97" s="39"/>
    </row>
    <row r="98" spans="1:18" ht="15.75" customHeight="1">
      <c r="A98" s="39"/>
      <c r="B98" s="39"/>
      <c r="C98" s="39"/>
      <c r="D98" s="39"/>
      <c r="E98" s="39"/>
      <c r="F98" s="39"/>
      <c r="G98" s="39"/>
      <c r="H98" s="39"/>
      <c r="I98" s="39"/>
      <c r="J98" s="39"/>
      <c r="K98" s="39"/>
      <c r="L98" s="39"/>
      <c r="N98" s="216"/>
      <c r="O98" s="216"/>
      <c r="P98" s="39"/>
      <c r="Q98" s="39"/>
      <c r="R98" s="39"/>
    </row>
    <row r="99" spans="1:18" ht="15.75" customHeight="1">
      <c r="A99" s="39"/>
      <c r="B99" s="39"/>
      <c r="C99" s="39"/>
      <c r="D99" s="39"/>
      <c r="E99" s="39"/>
      <c r="F99" s="39"/>
      <c r="G99" s="39"/>
      <c r="H99" s="39"/>
      <c r="I99" s="39"/>
      <c r="J99" s="39"/>
      <c r="K99" s="39"/>
      <c r="L99" s="39"/>
      <c r="N99" s="216"/>
      <c r="O99" s="216"/>
      <c r="P99" s="39"/>
      <c r="Q99" s="39"/>
      <c r="R99" s="39"/>
    </row>
    <row r="100" spans="1:18" ht="15.75" customHeight="1">
      <c r="A100" s="39"/>
      <c r="B100" s="39"/>
      <c r="C100" s="39"/>
      <c r="D100" s="39"/>
      <c r="E100" s="39"/>
      <c r="F100" s="39"/>
      <c r="G100" s="39"/>
      <c r="H100" s="39"/>
      <c r="I100" s="39"/>
      <c r="J100" s="39"/>
      <c r="K100" s="39"/>
      <c r="L100" s="39"/>
      <c r="N100" s="216"/>
      <c r="O100" s="216"/>
      <c r="P100" s="39"/>
      <c r="Q100" s="39"/>
      <c r="R100" s="39"/>
    </row>
    <row r="101" spans="1:18" ht="15.75" customHeight="1">
      <c r="A101" s="39"/>
      <c r="B101" s="39"/>
      <c r="C101" s="39"/>
      <c r="D101" s="39"/>
      <c r="E101" s="39"/>
      <c r="F101" s="39"/>
      <c r="G101" s="39"/>
      <c r="H101" s="39"/>
      <c r="I101" s="39"/>
      <c r="J101" s="39"/>
      <c r="K101" s="39"/>
      <c r="L101" s="39"/>
      <c r="N101" s="216"/>
      <c r="O101" s="216"/>
      <c r="P101" s="39"/>
      <c r="Q101" s="39"/>
      <c r="R101" s="39"/>
    </row>
    <row r="102" spans="1:18" ht="15.75" customHeight="1">
      <c r="A102" s="39"/>
      <c r="B102" s="39"/>
      <c r="C102" s="39"/>
      <c r="D102" s="39"/>
      <c r="E102" s="39"/>
      <c r="F102" s="39"/>
      <c r="G102" s="39"/>
      <c r="H102" s="39"/>
      <c r="I102" s="39"/>
      <c r="J102" s="39"/>
      <c r="K102" s="39"/>
      <c r="L102" s="39"/>
      <c r="N102" s="216"/>
      <c r="O102" s="216"/>
      <c r="P102" s="39"/>
      <c r="Q102" s="39"/>
      <c r="R102" s="39"/>
    </row>
    <row r="103" spans="1:18" ht="15.75" customHeight="1">
      <c r="A103" s="39"/>
      <c r="B103" s="39"/>
      <c r="C103" s="39"/>
      <c r="D103" s="39"/>
      <c r="E103" s="39"/>
      <c r="F103" s="39"/>
      <c r="G103" s="39"/>
      <c r="H103" s="39"/>
      <c r="I103" s="39"/>
      <c r="J103" s="39"/>
      <c r="K103" s="39"/>
      <c r="L103" s="39"/>
      <c r="N103" s="216"/>
      <c r="O103" s="216"/>
      <c r="P103" s="39"/>
      <c r="Q103" s="39"/>
      <c r="R103" s="39"/>
    </row>
    <row r="104" spans="1:18" ht="15.75" customHeight="1">
      <c r="A104" s="39"/>
      <c r="B104" s="39"/>
      <c r="C104" s="39"/>
      <c r="D104" s="39"/>
      <c r="E104" s="39"/>
      <c r="F104" s="39"/>
      <c r="G104" s="39"/>
      <c r="H104" s="39"/>
      <c r="I104" s="39"/>
      <c r="J104" s="39"/>
      <c r="K104" s="39"/>
      <c r="L104" s="39"/>
      <c r="N104" s="216"/>
      <c r="O104" s="216"/>
      <c r="P104" s="39"/>
      <c r="Q104" s="39"/>
      <c r="R104" s="39"/>
    </row>
    <row r="105" spans="1:18" ht="15.75" customHeight="1">
      <c r="A105" s="39"/>
      <c r="B105" s="39"/>
      <c r="C105" s="39"/>
      <c r="D105" s="39"/>
      <c r="E105" s="39"/>
      <c r="F105" s="39"/>
      <c r="G105" s="39"/>
      <c r="H105" s="39"/>
      <c r="I105" s="39"/>
      <c r="J105" s="39"/>
      <c r="K105" s="39"/>
      <c r="L105" s="39"/>
      <c r="N105" s="216"/>
      <c r="O105" s="216"/>
      <c r="P105" s="39"/>
      <c r="Q105" s="39"/>
      <c r="R105" s="39"/>
    </row>
    <row r="106" spans="1:18" ht="15.75" customHeight="1">
      <c r="A106" s="39"/>
      <c r="B106" s="39"/>
      <c r="C106" s="39"/>
      <c r="D106" s="39"/>
      <c r="E106" s="39"/>
      <c r="F106" s="39"/>
      <c r="G106" s="39"/>
      <c r="H106" s="39"/>
      <c r="I106" s="39"/>
      <c r="J106" s="39"/>
      <c r="K106" s="39"/>
      <c r="L106" s="39"/>
      <c r="N106" s="216"/>
      <c r="O106" s="216"/>
      <c r="P106" s="39"/>
      <c r="Q106" s="39"/>
      <c r="R106" s="39"/>
    </row>
    <row r="107" spans="1:18" ht="15.75" customHeight="1">
      <c r="A107" s="39"/>
      <c r="B107" s="39"/>
      <c r="C107" s="39"/>
      <c r="D107" s="39"/>
      <c r="E107" s="39"/>
      <c r="F107" s="39"/>
      <c r="G107" s="39"/>
      <c r="H107" s="39"/>
      <c r="I107" s="39"/>
      <c r="J107" s="39"/>
      <c r="K107" s="39"/>
      <c r="L107" s="39"/>
      <c r="N107" s="216"/>
      <c r="O107" s="216"/>
      <c r="P107" s="39"/>
      <c r="Q107" s="39"/>
      <c r="R107" s="39"/>
    </row>
    <row r="108" spans="1:18" ht="15.75" customHeight="1">
      <c r="A108" s="39"/>
      <c r="B108" s="39"/>
      <c r="C108" s="39"/>
      <c r="D108" s="39"/>
      <c r="E108" s="39"/>
      <c r="F108" s="39"/>
      <c r="G108" s="39"/>
      <c r="H108" s="39"/>
      <c r="I108" s="39"/>
      <c r="J108" s="39"/>
      <c r="K108" s="39"/>
      <c r="L108" s="39"/>
      <c r="N108" s="216"/>
      <c r="O108" s="216"/>
      <c r="P108" s="39"/>
      <c r="Q108" s="39"/>
      <c r="R108" s="39"/>
    </row>
    <row r="109" spans="1:18" ht="15.75" customHeight="1">
      <c r="A109" s="39"/>
      <c r="B109" s="39"/>
      <c r="C109" s="39"/>
      <c r="D109" s="39"/>
      <c r="E109" s="39"/>
      <c r="F109" s="39"/>
      <c r="G109" s="39"/>
      <c r="H109" s="39"/>
      <c r="I109" s="39"/>
      <c r="J109" s="39"/>
      <c r="K109" s="39"/>
      <c r="L109" s="39"/>
      <c r="N109" s="216"/>
      <c r="O109" s="216"/>
      <c r="P109" s="39"/>
      <c r="Q109" s="39"/>
      <c r="R109" s="39"/>
    </row>
    <row r="110" spans="1:18" ht="15.75" customHeight="1">
      <c r="A110" s="39"/>
      <c r="B110" s="39"/>
      <c r="C110" s="39"/>
      <c r="D110" s="39"/>
      <c r="E110" s="39"/>
      <c r="F110" s="39"/>
      <c r="G110" s="39"/>
      <c r="H110" s="39"/>
      <c r="I110" s="39"/>
      <c r="J110" s="39"/>
      <c r="K110" s="39"/>
      <c r="L110" s="39"/>
      <c r="N110" s="216"/>
      <c r="O110" s="216"/>
      <c r="P110" s="39"/>
      <c r="Q110" s="39"/>
      <c r="R110" s="39"/>
    </row>
    <row r="111" spans="1:18" ht="15.75" customHeight="1">
      <c r="A111" s="39"/>
      <c r="B111" s="39"/>
      <c r="C111" s="39"/>
      <c r="D111" s="39"/>
      <c r="E111" s="39"/>
      <c r="F111" s="39"/>
      <c r="G111" s="39"/>
      <c r="H111" s="39"/>
      <c r="I111" s="39"/>
      <c r="J111" s="39"/>
      <c r="K111" s="39"/>
      <c r="L111" s="39"/>
      <c r="N111" s="216"/>
      <c r="O111" s="216"/>
      <c r="P111" s="39"/>
      <c r="Q111" s="39"/>
      <c r="R111" s="39"/>
    </row>
    <row r="112" spans="1:18" ht="15.75" customHeight="1">
      <c r="A112" s="39"/>
      <c r="B112" s="39"/>
      <c r="C112" s="39"/>
      <c r="D112" s="39"/>
      <c r="E112" s="39"/>
      <c r="F112" s="39"/>
      <c r="G112" s="39"/>
      <c r="H112" s="39"/>
      <c r="I112" s="39"/>
      <c r="J112" s="39"/>
      <c r="K112" s="39"/>
      <c r="L112" s="39"/>
      <c r="N112" s="216"/>
      <c r="O112" s="216"/>
      <c r="P112" s="39"/>
      <c r="Q112" s="39"/>
      <c r="R112" s="39"/>
    </row>
    <row r="113" spans="1:18" ht="15.75" customHeight="1">
      <c r="A113" s="39"/>
      <c r="B113" s="39"/>
      <c r="C113" s="39"/>
      <c r="D113" s="39"/>
      <c r="E113" s="39"/>
      <c r="F113" s="39"/>
      <c r="G113" s="39"/>
      <c r="H113" s="39"/>
      <c r="I113" s="39"/>
      <c r="J113" s="39"/>
      <c r="K113" s="39"/>
      <c r="L113" s="39"/>
      <c r="N113" s="216"/>
      <c r="O113" s="216"/>
      <c r="P113" s="39"/>
      <c r="Q113" s="39"/>
      <c r="R113" s="39"/>
    </row>
    <row r="114" spans="1:18" ht="15.75" customHeight="1">
      <c r="A114" s="39"/>
      <c r="B114" s="39"/>
      <c r="C114" s="39"/>
      <c r="D114" s="39"/>
      <c r="E114" s="39"/>
      <c r="F114" s="39"/>
      <c r="G114" s="39"/>
      <c r="H114" s="39"/>
      <c r="I114" s="39"/>
      <c r="J114" s="39"/>
      <c r="K114" s="39"/>
      <c r="L114" s="39"/>
      <c r="N114" s="216"/>
      <c r="O114" s="216"/>
      <c r="P114" s="39"/>
      <c r="Q114" s="39"/>
      <c r="R114" s="39"/>
    </row>
    <row r="115" spans="1:18" ht="15.75" customHeight="1">
      <c r="A115" s="39"/>
      <c r="B115" s="39"/>
      <c r="C115" s="39"/>
      <c r="D115" s="39"/>
      <c r="E115" s="39"/>
      <c r="F115" s="39"/>
      <c r="G115" s="39"/>
      <c r="H115" s="39"/>
      <c r="I115" s="39"/>
      <c r="J115" s="39"/>
      <c r="K115" s="39"/>
      <c r="L115" s="39"/>
      <c r="N115" s="216"/>
      <c r="O115" s="216"/>
      <c r="P115" s="39"/>
      <c r="Q115" s="39"/>
      <c r="R115" s="39"/>
    </row>
    <row r="116" spans="1:18" ht="15.75" customHeight="1">
      <c r="A116" s="39"/>
      <c r="B116" s="39"/>
      <c r="C116" s="39"/>
      <c r="D116" s="39"/>
      <c r="E116" s="39"/>
      <c r="F116" s="39"/>
      <c r="G116" s="39"/>
      <c r="H116" s="39"/>
      <c r="I116" s="39"/>
      <c r="J116" s="39"/>
      <c r="K116" s="39"/>
      <c r="L116" s="39"/>
      <c r="N116" s="216"/>
      <c r="O116" s="216"/>
      <c r="P116" s="39"/>
      <c r="Q116" s="39"/>
      <c r="R116" s="39"/>
    </row>
    <row r="117" spans="1:18" ht="15.75" customHeight="1">
      <c r="A117" s="39"/>
      <c r="B117" s="39"/>
      <c r="C117" s="39"/>
      <c r="D117" s="39"/>
      <c r="E117" s="39"/>
      <c r="F117" s="39"/>
      <c r="G117" s="39"/>
      <c r="H117" s="39"/>
      <c r="I117" s="39"/>
      <c r="J117" s="39"/>
      <c r="K117" s="39"/>
      <c r="L117" s="39"/>
      <c r="N117" s="216"/>
      <c r="O117" s="216"/>
      <c r="P117" s="39"/>
      <c r="Q117" s="39"/>
      <c r="R117" s="39"/>
    </row>
    <row r="118" spans="1:18" ht="15.75" customHeight="1">
      <c r="A118" s="39"/>
      <c r="B118" s="39"/>
      <c r="C118" s="39"/>
      <c r="D118" s="39"/>
      <c r="E118" s="39"/>
      <c r="F118" s="39"/>
      <c r="G118" s="39"/>
      <c r="H118" s="39"/>
      <c r="I118" s="39"/>
      <c r="J118" s="39"/>
      <c r="K118" s="39"/>
      <c r="L118" s="39"/>
      <c r="N118" s="216"/>
      <c r="O118" s="216"/>
      <c r="P118" s="39"/>
      <c r="Q118" s="39"/>
      <c r="R118" s="39"/>
    </row>
    <row r="119" spans="1:18" ht="15.75" customHeight="1">
      <c r="A119" s="39"/>
      <c r="B119" s="39"/>
      <c r="C119" s="39"/>
      <c r="D119" s="39"/>
      <c r="E119" s="39"/>
      <c r="F119" s="39"/>
      <c r="G119" s="39"/>
      <c r="H119" s="39"/>
      <c r="I119" s="39"/>
      <c r="J119" s="39"/>
      <c r="K119" s="39"/>
      <c r="L119" s="39"/>
      <c r="N119" s="216"/>
      <c r="O119" s="216"/>
      <c r="P119" s="39"/>
      <c r="Q119" s="39"/>
      <c r="R119" s="39"/>
    </row>
    <row r="120" spans="1:18" ht="15.75" customHeight="1">
      <c r="A120" s="39"/>
      <c r="B120" s="39"/>
      <c r="C120" s="39"/>
      <c r="D120" s="39"/>
      <c r="E120" s="39"/>
      <c r="F120" s="39"/>
      <c r="G120" s="39"/>
      <c r="H120" s="39"/>
      <c r="I120" s="39"/>
      <c r="J120" s="39"/>
      <c r="K120" s="39"/>
      <c r="L120" s="39"/>
      <c r="N120" s="216"/>
      <c r="O120" s="216"/>
      <c r="P120" s="39"/>
      <c r="Q120" s="39"/>
      <c r="R120" s="39"/>
    </row>
    <row r="121" spans="1:18" ht="15.75" customHeight="1">
      <c r="A121" s="39"/>
      <c r="B121" s="39"/>
      <c r="C121" s="39"/>
      <c r="D121" s="39"/>
      <c r="E121" s="39"/>
      <c r="F121" s="39"/>
      <c r="G121" s="39"/>
      <c r="H121" s="39"/>
      <c r="I121" s="39"/>
      <c r="J121" s="39"/>
      <c r="K121" s="39"/>
      <c r="L121" s="39"/>
      <c r="N121" s="216"/>
      <c r="O121" s="216"/>
      <c r="P121" s="39"/>
      <c r="Q121" s="39"/>
      <c r="R121" s="39"/>
    </row>
    <row r="122" spans="1:18" ht="15.75" customHeight="1">
      <c r="A122" s="39"/>
      <c r="B122" s="39"/>
      <c r="C122" s="39"/>
      <c r="D122" s="39"/>
      <c r="E122" s="39"/>
      <c r="F122" s="39"/>
      <c r="G122" s="39"/>
      <c r="H122" s="39"/>
      <c r="I122" s="39"/>
      <c r="J122" s="39"/>
      <c r="K122" s="39"/>
      <c r="L122" s="39"/>
      <c r="N122" s="216"/>
      <c r="O122" s="216"/>
      <c r="P122" s="39"/>
      <c r="Q122" s="39"/>
      <c r="R122" s="39"/>
    </row>
    <row r="123" spans="1:18" ht="15.75" customHeight="1">
      <c r="A123" s="39"/>
      <c r="B123" s="39"/>
      <c r="C123" s="39"/>
      <c r="D123" s="39"/>
      <c r="E123" s="39"/>
      <c r="F123" s="39"/>
      <c r="G123" s="39"/>
      <c r="H123" s="39"/>
      <c r="I123" s="39"/>
      <c r="J123" s="39"/>
      <c r="K123" s="39"/>
      <c r="L123" s="39"/>
      <c r="N123" s="216"/>
      <c r="O123" s="216"/>
      <c r="P123" s="39"/>
      <c r="Q123" s="39"/>
      <c r="R123" s="39"/>
    </row>
    <row r="124" spans="1:18" ht="15.75" customHeight="1">
      <c r="A124" s="39"/>
      <c r="B124" s="39"/>
      <c r="C124" s="39"/>
      <c r="D124" s="39"/>
      <c r="E124" s="39"/>
      <c r="F124" s="39"/>
      <c r="G124" s="39"/>
      <c r="H124" s="39"/>
      <c r="I124" s="39"/>
      <c r="J124" s="39"/>
      <c r="K124" s="39"/>
      <c r="L124" s="39"/>
      <c r="N124" s="216"/>
      <c r="O124" s="216"/>
      <c r="P124" s="39"/>
      <c r="Q124" s="39"/>
      <c r="R124" s="39"/>
    </row>
    <row r="125" spans="1:18" ht="15.75" customHeight="1">
      <c r="A125" s="39"/>
      <c r="B125" s="39"/>
      <c r="C125" s="39"/>
      <c r="D125" s="39"/>
      <c r="E125" s="39"/>
      <c r="F125" s="39"/>
      <c r="G125" s="39"/>
      <c r="H125" s="39"/>
      <c r="I125" s="39"/>
      <c r="J125" s="39"/>
      <c r="K125" s="39"/>
      <c r="L125" s="39"/>
      <c r="N125" s="216"/>
      <c r="O125" s="216"/>
      <c r="P125" s="39"/>
      <c r="Q125" s="39"/>
      <c r="R125" s="39"/>
    </row>
    <row r="126" spans="1:18" ht="15.75" customHeight="1">
      <c r="A126" s="39"/>
      <c r="B126" s="39"/>
      <c r="C126" s="39"/>
      <c r="D126" s="39"/>
      <c r="E126" s="39"/>
      <c r="F126" s="39"/>
      <c r="G126" s="39"/>
      <c r="H126" s="39"/>
      <c r="I126" s="39"/>
      <c r="J126" s="39"/>
      <c r="K126" s="39"/>
      <c r="L126" s="39"/>
      <c r="N126" s="216"/>
      <c r="O126" s="216"/>
      <c r="P126" s="39"/>
      <c r="Q126" s="39"/>
      <c r="R126" s="39"/>
    </row>
    <row r="127" spans="1:18" ht="15.75" customHeight="1">
      <c r="A127" s="39"/>
      <c r="B127" s="39"/>
      <c r="C127" s="39"/>
      <c r="D127" s="39"/>
      <c r="E127" s="39"/>
      <c r="F127" s="39"/>
      <c r="G127" s="39"/>
      <c r="H127" s="39"/>
      <c r="I127" s="39"/>
      <c r="J127" s="39"/>
      <c r="K127" s="39"/>
      <c r="L127" s="39"/>
      <c r="N127" s="216"/>
      <c r="O127" s="216"/>
      <c r="P127" s="39"/>
      <c r="Q127" s="39"/>
      <c r="R127" s="39"/>
    </row>
    <row r="128" spans="1:18" ht="15.75" customHeight="1">
      <c r="A128" s="39"/>
      <c r="B128" s="39"/>
      <c r="C128" s="39"/>
      <c r="D128" s="39"/>
      <c r="E128" s="39"/>
      <c r="F128" s="39"/>
      <c r="G128" s="39"/>
      <c r="H128" s="39"/>
      <c r="I128" s="39"/>
      <c r="J128" s="39"/>
      <c r="K128" s="39"/>
      <c r="L128" s="39"/>
      <c r="N128" s="216"/>
      <c r="O128" s="216"/>
      <c r="P128" s="39"/>
      <c r="Q128" s="39"/>
      <c r="R128" s="39"/>
    </row>
    <row r="129" spans="1:18" ht="15.75" customHeight="1">
      <c r="A129" s="39"/>
      <c r="B129" s="39"/>
      <c r="C129" s="39"/>
      <c r="D129" s="39"/>
      <c r="E129" s="39"/>
      <c r="F129" s="39"/>
      <c r="G129" s="39"/>
      <c r="H129" s="39"/>
      <c r="I129" s="39"/>
      <c r="J129" s="39"/>
      <c r="K129" s="39"/>
      <c r="L129" s="39"/>
      <c r="N129" s="216"/>
      <c r="O129" s="216"/>
      <c r="P129" s="39"/>
      <c r="Q129" s="39"/>
      <c r="R129" s="39"/>
    </row>
    <row r="130" spans="1:18" ht="15.75" customHeight="1">
      <c r="A130" s="39"/>
      <c r="B130" s="39"/>
      <c r="C130" s="39"/>
      <c r="D130" s="39"/>
      <c r="E130" s="39"/>
      <c r="F130" s="39"/>
      <c r="G130" s="39"/>
      <c r="H130" s="39"/>
      <c r="I130" s="39"/>
      <c r="J130" s="39"/>
      <c r="K130" s="39"/>
      <c r="L130" s="39"/>
      <c r="N130" s="216"/>
      <c r="O130" s="216"/>
      <c r="P130" s="39"/>
      <c r="Q130" s="39"/>
      <c r="R130" s="39"/>
    </row>
    <row r="131" spans="1:18" ht="15.75" customHeight="1">
      <c r="A131" s="39"/>
      <c r="B131" s="39"/>
      <c r="C131" s="39"/>
      <c r="D131" s="39"/>
      <c r="E131" s="39"/>
      <c r="F131" s="39"/>
      <c r="G131" s="39"/>
      <c r="H131" s="39"/>
      <c r="I131" s="39"/>
      <c r="J131" s="39"/>
      <c r="K131" s="39"/>
      <c r="L131" s="39"/>
      <c r="N131" s="216"/>
      <c r="O131" s="216"/>
      <c r="P131" s="39"/>
      <c r="Q131" s="39"/>
      <c r="R131" s="39"/>
    </row>
    <row r="132" spans="1:18" ht="15.75" customHeight="1">
      <c r="A132" s="39"/>
      <c r="B132" s="39"/>
      <c r="C132" s="39"/>
      <c r="D132" s="39"/>
      <c r="E132" s="39"/>
      <c r="F132" s="39"/>
      <c r="G132" s="39"/>
      <c r="H132" s="39"/>
      <c r="I132" s="39"/>
      <c r="J132" s="39"/>
      <c r="K132" s="39"/>
      <c r="L132" s="39"/>
      <c r="N132" s="216"/>
      <c r="O132" s="216"/>
      <c r="P132" s="39"/>
      <c r="Q132" s="39"/>
      <c r="R132" s="39"/>
    </row>
    <row r="133" spans="1:18" ht="15.75" customHeight="1">
      <c r="A133" s="39"/>
      <c r="B133" s="39"/>
      <c r="C133" s="39"/>
      <c r="D133" s="39"/>
      <c r="E133" s="39"/>
      <c r="F133" s="39"/>
      <c r="G133" s="39"/>
      <c r="H133" s="39"/>
      <c r="I133" s="39"/>
      <c r="J133" s="39"/>
      <c r="K133" s="39"/>
      <c r="L133" s="39"/>
      <c r="N133" s="216"/>
      <c r="O133" s="216"/>
      <c r="P133" s="39"/>
      <c r="Q133" s="39"/>
      <c r="R133" s="39"/>
    </row>
    <row r="134" spans="1:18" ht="15.75" customHeight="1">
      <c r="A134" s="39"/>
      <c r="B134" s="39"/>
      <c r="C134" s="39"/>
      <c r="D134" s="39"/>
      <c r="E134" s="39"/>
      <c r="F134" s="39"/>
      <c r="G134" s="39"/>
      <c r="H134" s="39"/>
      <c r="I134" s="39"/>
      <c r="J134" s="39"/>
      <c r="K134" s="39"/>
      <c r="L134" s="39"/>
      <c r="N134" s="216"/>
      <c r="O134" s="216"/>
      <c r="P134" s="39"/>
      <c r="Q134" s="39"/>
      <c r="R134" s="39"/>
    </row>
    <row r="135" spans="1:18" ht="15.75" customHeight="1">
      <c r="A135" s="39"/>
      <c r="B135" s="39"/>
      <c r="C135" s="39"/>
      <c r="D135" s="39"/>
      <c r="E135" s="39"/>
      <c r="F135" s="39"/>
      <c r="G135" s="39"/>
      <c r="H135" s="39"/>
      <c r="I135" s="39"/>
      <c r="J135" s="39"/>
      <c r="K135" s="39"/>
      <c r="L135" s="39"/>
      <c r="N135" s="216"/>
      <c r="O135" s="216"/>
      <c r="P135" s="39"/>
      <c r="Q135" s="39"/>
      <c r="R135" s="39"/>
    </row>
    <row r="136" spans="1:18" ht="15.75" customHeight="1">
      <c r="A136" s="39"/>
      <c r="B136" s="39"/>
      <c r="C136" s="39"/>
      <c r="D136" s="39"/>
      <c r="E136" s="39"/>
      <c r="F136" s="39"/>
      <c r="G136" s="39"/>
      <c r="H136" s="39"/>
      <c r="I136" s="39"/>
      <c r="J136" s="39"/>
      <c r="K136" s="39"/>
      <c r="L136" s="39"/>
      <c r="N136" s="216"/>
      <c r="O136" s="216"/>
      <c r="P136" s="39"/>
      <c r="Q136" s="39"/>
      <c r="R136" s="39"/>
    </row>
    <row r="137" spans="1:18" ht="15.75" customHeight="1">
      <c r="A137" s="39"/>
      <c r="B137" s="39"/>
      <c r="C137" s="39"/>
      <c r="D137" s="39"/>
      <c r="E137" s="39"/>
      <c r="F137" s="39"/>
      <c r="G137" s="39"/>
      <c r="H137" s="39"/>
      <c r="I137" s="39"/>
      <c r="J137" s="39"/>
      <c r="K137" s="39"/>
      <c r="L137" s="39"/>
      <c r="N137" s="216"/>
      <c r="O137" s="216"/>
      <c r="P137" s="39"/>
      <c r="Q137" s="39"/>
      <c r="R137" s="39"/>
    </row>
    <row r="138" spans="1:18" ht="15.75" customHeight="1">
      <c r="A138" s="39"/>
      <c r="B138" s="39"/>
      <c r="C138" s="39"/>
      <c r="D138" s="39"/>
      <c r="E138" s="39"/>
      <c r="F138" s="39"/>
      <c r="G138" s="39"/>
      <c r="H138" s="39"/>
      <c r="I138" s="39"/>
      <c r="J138" s="39"/>
      <c r="K138" s="39"/>
      <c r="L138" s="39"/>
      <c r="N138" s="216"/>
      <c r="O138" s="216"/>
      <c r="P138" s="39"/>
      <c r="Q138" s="39"/>
      <c r="R138" s="39"/>
    </row>
    <row r="139" spans="1:18" ht="15.75" customHeight="1">
      <c r="A139" s="39"/>
      <c r="B139" s="39"/>
      <c r="C139" s="39"/>
      <c r="D139" s="39"/>
      <c r="E139" s="39"/>
      <c r="F139" s="39"/>
      <c r="G139" s="39"/>
      <c r="H139" s="39"/>
      <c r="I139" s="39"/>
      <c r="J139" s="39"/>
      <c r="K139" s="39"/>
      <c r="L139" s="39"/>
      <c r="N139" s="216"/>
      <c r="O139" s="216"/>
      <c r="P139" s="39"/>
      <c r="Q139" s="39"/>
      <c r="R139" s="39"/>
    </row>
    <row r="140" spans="1:18" ht="15.75" customHeight="1">
      <c r="A140" s="39"/>
      <c r="B140" s="39"/>
      <c r="C140" s="39"/>
      <c r="D140" s="39"/>
      <c r="E140" s="39"/>
      <c r="F140" s="39"/>
      <c r="G140" s="39"/>
      <c r="H140" s="39"/>
      <c r="I140" s="39"/>
      <c r="J140" s="39"/>
      <c r="K140" s="39"/>
      <c r="L140" s="39"/>
      <c r="N140" s="216"/>
      <c r="O140" s="216"/>
      <c r="P140" s="39"/>
      <c r="Q140" s="39"/>
      <c r="R140" s="39"/>
    </row>
    <row r="141" spans="1:18" ht="15.75" customHeight="1">
      <c r="A141" s="39"/>
      <c r="B141" s="39"/>
      <c r="C141" s="39"/>
      <c r="D141" s="39"/>
      <c r="E141" s="39"/>
      <c r="F141" s="39"/>
      <c r="G141" s="39"/>
      <c r="H141" s="39"/>
      <c r="I141" s="39"/>
      <c r="J141" s="39"/>
      <c r="K141" s="39"/>
      <c r="L141" s="39"/>
      <c r="N141" s="216"/>
      <c r="O141" s="216"/>
      <c r="P141" s="39"/>
      <c r="Q141" s="39"/>
      <c r="R141" s="39"/>
    </row>
    <row r="142" spans="1:18" ht="15.75" customHeight="1">
      <c r="A142" s="39"/>
      <c r="B142" s="39"/>
      <c r="C142" s="39"/>
      <c r="D142" s="39"/>
      <c r="E142" s="39"/>
      <c r="F142" s="39"/>
      <c r="G142" s="39"/>
      <c r="H142" s="39"/>
      <c r="I142" s="39"/>
      <c r="J142" s="39"/>
      <c r="K142" s="39"/>
      <c r="L142" s="39"/>
      <c r="N142" s="216"/>
      <c r="O142" s="216"/>
      <c r="P142" s="39"/>
      <c r="Q142" s="39"/>
      <c r="R142" s="39"/>
    </row>
    <row r="143" spans="1:18" ht="15.75" customHeight="1">
      <c r="A143" s="39"/>
      <c r="B143" s="39"/>
      <c r="C143" s="39"/>
      <c r="D143" s="39"/>
      <c r="E143" s="39"/>
      <c r="F143" s="39"/>
      <c r="G143" s="39"/>
      <c r="H143" s="39"/>
      <c r="I143" s="39"/>
      <c r="J143" s="39"/>
      <c r="K143" s="39"/>
      <c r="L143" s="39"/>
      <c r="N143" s="216"/>
      <c r="O143" s="216"/>
      <c r="P143" s="39"/>
      <c r="Q143" s="39"/>
      <c r="R143" s="39"/>
    </row>
    <row r="144" spans="1:18" ht="15.75" customHeight="1">
      <c r="A144" s="39"/>
      <c r="B144" s="39"/>
      <c r="C144" s="39"/>
      <c r="D144" s="39"/>
      <c r="E144" s="39"/>
      <c r="F144" s="39"/>
      <c r="G144" s="39"/>
      <c r="H144" s="39"/>
      <c r="I144" s="39"/>
      <c r="J144" s="39"/>
      <c r="K144" s="39"/>
      <c r="L144" s="39"/>
      <c r="N144" s="216"/>
      <c r="O144" s="216"/>
      <c r="P144" s="39"/>
      <c r="Q144" s="39"/>
      <c r="R144" s="39"/>
    </row>
    <row r="145" spans="1:18" ht="15.75" customHeight="1">
      <c r="A145" s="39"/>
      <c r="B145" s="39"/>
      <c r="C145" s="39"/>
      <c r="D145" s="39"/>
      <c r="E145" s="39"/>
      <c r="F145" s="39"/>
      <c r="G145" s="39"/>
      <c r="H145" s="39"/>
      <c r="I145" s="39"/>
      <c r="J145" s="39"/>
      <c r="K145" s="39"/>
      <c r="L145" s="39"/>
      <c r="N145" s="216"/>
      <c r="O145" s="216"/>
      <c r="P145" s="39"/>
      <c r="Q145" s="39"/>
      <c r="R145" s="39"/>
    </row>
    <row r="146" spans="1:18" ht="15.75" customHeight="1">
      <c r="A146" s="39"/>
      <c r="B146" s="39"/>
      <c r="C146" s="39"/>
      <c r="D146" s="39"/>
      <c r="E146" s="39"/>
      <c r="F146" s="39"/>
      <c r="G146" s="39"/>
      <c r="H146" s="39"/>
      <c r="I146" s="39"/>
      <c r="J146" s="39"/>
      <c r="K146" s="39"/>
      <c r="L146" s="39"/>
      <c r="N146" s="216"/>
      <c r="O146" s="216"/>
      <c r="P146" s="39"/>
      <c r="Q146" s="39"/>
      <c r="R146" s="39"/>
    </row>
    <row r="147" spans="1:18" ht="15.75" customHeight="1">
      <c r="A147" s="39"/>
      <c r="B147" s="39"/>
      <c r="C147" s="39"/>
      <c r="D147" s="39"/>
      <c r="E147" s="39"/>
      <c r="F147" s="39"/>
      <c r="G147" s="39"/>
      <c r="H147" s="39"/>
      <c r="I147" s="39"/>
      <c r="J147" s="39"/>
      <c r="K147" s="39"/>
      <c r="L147" s="39"/>
      <c r="N147" s="216"/>
      <c r="O147" s="216"/>
      <c r="P147" s="39"/>
      <c r="Q147" s="39"/>
      <c r="R147" s="39"/>
    </row>
    <row r="148" spans="1:18" ht="15.75" customHeight="1">
      <c r="A148" s="39"/>
      <c r="B148" s="39"/>
      <c r="C148" s="39"/>
      <c r="D148" s="39"/>
      <c r="E148" s="39"/>
      <c r="F148" s="39"/>
      <c r="G148" s="39"/>
      <c r="H148" s="39"/>
      <c r="I148" s="39"/>
      <c r="J148" s="39"/>
      <c r="K148" s="39"/>
      <c r="L148" s="39"/>
      <c r="N148" s="216"/>
      <c r="O148" s="216"/>
      <c r="P148" s="39"/>
      <c r="Q148" s="39"/>
      <c r="R148" s="39"/>
    </row>
    <row r="149" spans="1:18" ht="15.75" customHeight="1">
      <c r="A149" s="39"/>
      <c r="B149" s="39"/>
      <c r="C149" s="39"/>
      <c r="D149" s="39"/>
      <c r="E149" s="39"/>
      <c r="F149" s="39"/>
      <c r="G149" s="39"/>
      <c r="H149" s="39"/>
      <c r="I149" s="39"/>
      <c r="J149" s="39"/>
      <c r="K149" s="39"/>
      <c r="L149" s="39"/>
      <c r="N149" s="216"/>
      <c r="O149" s="216"/>
      <c r="P149" s="39"/>
      <c r="Q149" s="39"/>
      <c r="R149" s="39"/>
    </row>
    <row r="150" spans="1:18" ht="15.75" customHeight="1">
      <c r="A150" s="39"/>
      <c r="B150" s="39"/>
      <c r="C150" s="39"/>
      <c r="D150" s="39"/>
      <c r="E150" s="39"/>
      <c r="F150" s="39"/>
      <c r="G150" s="39"/>
      <c r="H150" s="39"/>
      <c r="I150" s="39"/>
      <c r="J150" s="39"/>
      <c r="K150" s="39"/>
      <c r="L150" s="39"/>
      <c r="N150" s="216"/>
      <c r="O150" s="216"/>
      <c r="P150" s="39"/>
      <c r="Q150" s="39"/>
      <c r="R150" s="39"/>
    </row>
    <row r="151" spans="1:18" ht="15.75" customHeight="1">
      <c r="A151" s="39"/>
      <c r="B151" s="39"/>
      <c r="C151" s="39"/>
      <c r="D151" s="39"/>
      <c r="E151" s="39"/>
      <c r="F151" s="39"/>
      <c r="G151" s="39"/>
      <c r="H151" s="39"/>
      <c r="I151" s="39"/>
      <c r="J151" s="39"/>
      <c r="K151" s="39"/>
      <c r="L151" s="39"/>
      <c r="N151" s="216"/>
      <c r="O151" s="216"/>
      <c r="P151" s="39"/>
      <c r="Q151" s="39"/>
      <c r="R151" s="39"/>
    </row>
    <row r="152" spans="1:18" ht="15.75" customHeight="1">
      <c r="A152" s="39"/>
      <c r="B152" s="39"/>
      <c r="C152" s="39"/>
      <c r="D152" s="39"/>
      <c r="E152" s="39"/>
      <c r="F152" s="39"/>
      <c r="G152" s="39"/>
      <c r="H152" s="39"/>
      <c r="I152" s="39"/>
      <c r="J152" s="39"/>
      <c r="K152" s="39"/>
      <c r="L152" s="39"/>
      <c r="N152" s="216"/>
      <c r="O152" s="216"/>
      <c r="P152" s="39"/>
      <c r="Q152" s="39"/>
      <c r="R152" s="39"/>
    </row>
    <row r="153" spans="1:18" ht="15.75" customHeight="1">
      <c r="A153" s="39"/>
      <c r="B153" s="39"/>
      <c r="C153" s="39"/>
      <c r="D153" s="39"/>
      <c r="E153" s="39"/>
      <c r="F153" s="39"/>
      <c r="G153" s="39"/>
      <c r="H153" s="39"/>
      <c r="I153" s="39"/>
      <c r="J153" s="39"/>
      <c r="K153" s="39"/>
      <c r="L153" s="39"/>
      <c r="N153" s="216"/>
      <c r="O153" s="216"/>
      <c r="P153" s="39"/>
      <c r="Q153" s="39"/>
      <c r="R153" s="39"/>
    </row>
    <row r="154" spans="1:18" ht="15.75" customHeight="1">
      <c r="A154" s="39"/>
      <c r="B154" s="39"/>
      <c r="C154" s="39"/>
      <c r="D154" s="39"/>
      <c r="E154" s="39"/>
      <c r="F154" s="39"/>
      <c r="G154" s="39"/>
      <c r="H154" s="39"/>
      <c r="I154" s="39"/>
      <c r="J154" s="39"/>
      <c r="K154" s="39"/>
      <c r="L154" s="39"/>
      <c r="N154" s="216"/>
      <c r="O154" s="216"/>
      <c r="P154" s="39"/>
      <c r="Q154" s="39"/>
      <c r="R154" s="39"/>
    </row>
    <row r="155" spans="1:18" ht="15.75" customHeight="1">
      <c r="A155" s="39"/>
      <c r="B155" s="39"/>
      <c r="C155" s="39"/>
      <c r="D155" s="39"/>
      <c r="E155" s="39"/>
      <c r="F155" s="39"/>
      <c r="G155" s="39"/>
      <c r="H155" s="39"/>
      <c r="I155" s="39"/>
      <c r="J155" s="39"/>
      <c r="K155" s="39"/>
      <c r="L155" s="39"/>
      <c r="N155" s="216"/>
      <c r="O155" s="216"/>
      <c r="P155" s="39"/>
      <c r="Q155" s="39"/>
      <c r="R155" s="39"/>
    </row>
    <row r="156" spans="1:18" ht="15.75" customHeight="1">
      <c r="A156" s="39"/>
      <c r="B156" s="39"/>
      <c r="C156" s="39"/>
      <c r="D156" s="39"/>
      <c r="E156" s="39"/>
      <c r="F156" s="39"/>
      <c r="G156" s="39"/>
      <c r="H156" s="39"/>
      <c r="I156" s="39"/>
      <c r="J156" s="39"/>
      <c r="K156" s="39"/>
      <c r="L156" s="39"/>
      <c r="N156" s="216"/>
      <c r="O156" s="216"/>
      <c r="P156" s="39"/>
      <c r="Q156" s="39"/>
      <c r="R156" s="39"/>
    </row>
    <row r="157" spans="1:18" ht="15.75" customHeight="1">
      <c r="A157" s="39"/>
      <c r="B157" s="39"/>
      <c r="C157" s="39"/>
      <c r="D157" s="39"/>
      <c r="E157" s="39"/>
      <c r="F157" s="39"/>
      <c r="G157" s="39"/>
      <c r="H157" s="39"/>
      <c r="I157" s="39"/>
      <c r="J157" s="39"/>
      <c r="K157" s="39"/>
      <c r="L157" s="39"/>
      <c r="N157" s="216"/>
      <c r="O157" s="216"/>
      <c r="P157" s="39"/>
      <c r="Q157" s="39"/>
      <c r="R157" s="39"/>
    </row>
    <row r="158" spans="1:18" ht="15.75" customHeight="1">
      <c r="A158" s="39"/>
      <c r="B158" s="39"/>
      <c r="C158" s="39"/>
      <c r="D158" s="39"/>
      <c r="E158" s="39"/>
      <c r="F158" s="39"/>
      <c r="G158" s="39"/>
      <c r="H158" s="39"/>
      <c r="I158" s="39"/>
      <c r="J158" s="39"/>
      <c r="K158" s="39"/>
      <c r="L158" s="39"/>
      <c r="N158" s="216"/>
      <c r="O158" s="216"/>
      <c r="P158" s="39"/>
      <c r="Q158" s="39"/>
      <c r="R158" s="39"/>
    </row>
    <row r="159" spans="1:18" ht="15.75" customHeight="1">
      <c r="A159" s="39"/>
      <c r="B159" s="39"/>
      <c r="C159" s="39"/>
      <c r="D159" s="39"/>
      <c r="E159" s="39"/>
      <c r="F159" s="39"/>
      <c r="G159" s="39"/>
      <c r="H159" s="39"/>
      <c r="I159" s="39"/>
      <c r="J159" s="39"/>
      <c r="K159" s="39"/>
      <c r="L159" s="39"/>
      <c r="N159" s="216"/>
      <c r="O159" s="216"/>
      <c r="P159" s="39"/>
      <c r="Q159" s="39"/>
      <c r="R159" s="39"/>
    </row>
    <row r="160" spans="1:18" ht="15.75" customHeight="1">
      <c r="A160" s="39"/>
      <c r="B160" s="39"/>
      <c r="C160" s="39"/>
      <c r="D160" s="39"/>
      <c r="E160" s="39"/>
      <c r="F160" s="39"/>
      <c r="G160" s="39"/>
      <c r="H160" s="39"/>
      <c r="I160" s="39"/>
      <c r="J160" s="39"/>
      <c r="K160" s="39"/>
      <c r="L160" s="39"/>
      <c r="N160" s="216"/>
      <c r="O160" s="216"/>
      <c r="P160" s="39"/>
      <c r="Q160" s="39"/>
      <c r="R160" s="39"/>
    </row>
    <row r="161" spans="1:18" ht="15.75" customHeight="1">
      <c r="A161" s="39"/>
      <c r="B161" s="39"/>
      <c r="C161" s="39"/>
      <c r="D161" s="39"/>
      <c r="E161" s="39"/>
      <c r="F161" s="39"/>
      <c r="G161" s="39"/>
      <c r="H161" s="39"/>
      <c r="I161" s="39"/>
      <c r="J161" s="39"/>
      <c r="K161" s="39"/>
      <c r="L161" s="39"/>
      <c r="N161" s="216"/>
      <c r="O161" s="216"/>
      <c r="P161" s="39"/>
      <c r="Q161" s="39"/>
      <c r="R161" s="39"/>
    </row>
    <row r="162" spans="1:18" ht="15.75" customHeight="1">
      <c r="A162" s="39"/>
      <c r="B162" s="39"/>
      <c r="C162" s="39"/>
      <c r="D162" s="39"/>
      <c r="E162" s="39"/>
      <c r="F162" s="39"/>
      <c r="G162" s="39"/>
      <c r="H162" s="39"/>
      <c r="I162" s="39"/>
      <c r="J162" s="39"/>
      <c r="K162" s="39"/>
      <c r="L162" s="39"/>
      <c r="N162" s="216"/>
      <c r="O162" s="216"/>
      <c r="P162" s="39"/>
      <c r="Q162" s="39"/>
      <c r="R162" s="39"/>
    </row>
    <row r="163" spans="1:18" ht="15.75" customHeight="1">
      <c r="A163" s="39"/>
      <c r="B163" s="39"/>
      <c r="C163" s="39"/>
      <c r="D163" s="39"/>
      <c r="E163" s="39"/>
      <c r="F163" s="39"/>
      <c r="G163" s="39"/>
      <c r="H163" s="39"/>
      <c r="I163" s="39"/>
      <c r="J163" s="39"/>
      <c r="K163" s="39"/>
      <c r="L163" s="39"/>
      <c r="N163" s="216"/>
      <c r="O163" s="216"/>
      <c r="P163" s="39"/>
      <c r="Q163" s="39"/>
      <c r="R163" s="39"/>
    </row>
    <row r="164" spans="1:18" ht="15.75" customHeight="1">
      <c r="A164" s="39"/>
      <c r="B164" s="39"/>
      <c r="C164" s="39"/>
      <c r="D164" s="39"/>
      <c r="E164" s="39"/>
      <c r="F164" s="39"/>
      <c r="G164" s="39"/>
      <c r="H164" s="39"/>
      <c r="I164" s="39"/>
      <c r="J164" s="39"/>
      <c r="K164" s="39"/>
      <c r="L164" s="39"/>
      <c r="N164" s="216"/>
      <c r="O164" s="216"/>
      <c r="P164" s="39"/>
      <c r="Q164" s="39"/>
      <c r="R164" s="39"/>
    </row>
    <row r="165" spans="1:18" ht="15.75" customHeight="1">
      <c r="A165" s="39"/>
      <c r="B165" s="39"/>
      <c r="C165" s="39"/>
      <c r="D165" s="39"/>
      <c r="E165" s="39"/>
      <c r="F165" s="39"/>
      <c r="G165" s="39"/>
      <c r="H165" s="39"/>
      <c r="I165" s="39"/>
      <c r="J165" s="39"/>
      <c r="K165" s="39"/>
      <c r="L165" s="39"/>
      <c r="N165" s="216"/>
      <c r="O165" s="216"/>
      <c r="P165" s="39"/>
      <c r="Q165" s="39"/>
      <c r="R165" s="39"/>
    </row>
    <row r="166" spans="1:18" ht="15.75" customHeight="1">
      <c r="A166" s="39"/>
      <c r="B166" s="39"/>
      <c r="C166" s="39"/>
      <c r="D166" s="39"/>
      <c r="E166" s="39"/>
      <c r="F166" s="39"/>
      <c r="G166" s="39"/>
      <c r="H166" s="39"/>
      <c r="I166" s="39"/>
      <c r="J166" s="39"/>
      <c r="K166" s="39"/>
      <c r="L166" s="39"/>
      <c r="N166" s="216"/>
      <c r="O166" s="216"/>
      <c r="P166" s="39"/>
      <c r="Q166" s="39"/>
      <c r="R166" s="39"/>
    </row>
    <row r="167" spans="1:18" ht="15.75" customHeight="1">
      <c r="A167" s="39"/>
      <c r="B167" s="39"/>
      <c r="C167" s="39"/>
      <c r="D167" s="39"/>
      <c r="E167" s="39"/>
      <c r="F167" s="39"/>
      <c r="G167" s="39"/>
      <c r="H167" s="39"/>
      <c r="I167" s="39"/>
      <c r="J167" s="39"/>
      <c r="K167" s="39"/>
      <c r="L167" s="39"/>
      <c r="N167" s="216"/>
      <c r="O167" s="216"/>
      <c r="P167" s="39"/>
      <c r="Q167" s="39"/>
      <c r="R167" s="39"/>
    </row>
    <row r="168" spans="1:18" ht="15.75" customHeight="1">
      <c r="A168" s="39"/>
      <c r="B168" s="39"/>
      <c r="C168" s="39"/>
      <c r="D168" s="39"/>
      <c r="E168" s="39"/>
      <c r="F168" s="39"/>
      <c r="G168" s="39"/>
      <c r="H168" s="39"/>
      <c r="I168" s="39"/>
      <c r="J168" s="39"/>
      <c r="K168" s="39"/>
      <c r="L168" s="39"/>
      <c r="N168" s="216"/>
      <c r="O168" s="216"/>
      <c r="P168" s="39"/>
      <c r="Q168" s="39"/>
      <c r="R168" s="39"/>
    </row>
    <row r="169" spans="1:18" ht="15.75" customHeight="1">
      <c r="A169" s="39"/>
      <c r="B169" s="39"/>
      <c r="C169" s="39"/>
      <c r="D169" s="39"/>
      <c r="E169" s="39"/>
      <c r="F169" s="39"/>
      <c r="G169" s="39"/>
      <c r="H169" s="39"/>
      <c r="I169" s="39"/>
      <c r="J169" s="39"/>
      <c r="K169" s="39"/>
      <c r="L169" s="39"/>
      <c r="N169" s="216"/>
      <c r="O169" s="216"/>
      <c r="P169" s="39"/>
      <c r="Q169" s="39"/>
      <c r="R169" s="39"/>
    </row>
    <row r="170" spans="1:18" ht="15.75" customHeight="1">
      <c r="A170" s="39"/>
      <c r="B170" s="39"/>
      <c r="C170" s="39"/>
      <c r="D170" s="39"/>
      <c r="E170" s="39"/>
      <c r="F170" s="39"/>
      <c r="G170" s="39"/>
      <c r="H170" s="39"/>
      <c r="I170" s="39"/>
      <c r="J170" s="39"/>
      <c r="K170" s="39"/>
      <c r="L170" s="39"/>
      <c r="N170" s="216"/>
      <c r="O170" s="216"/>
      <c r="P170" s="39"/>
      <c r="Q170" s="39"/>
      <c r="R170" s="39"/>
    </row>
    <row r="171" spans="1:18" ht="15.75" customHeight="1">
      <c r="A171" s="39"/>
      <c r="B171" s="39"/>
      <c r="C171" s="39"/>
      <c r="D171" s="39"/>
      <c r="E171" s="39"/>
      <c r="F171" s="39"/>
      <c r="G171" s="39"/>
      <c r="H171" s="39"/>
      <c r="I171" s="39"/>
      <c r="J171" s="39"/>
      <c r="K171" s="39"/>
      <c r="L171" s="39"/>
      <c r="N171" s="216"/>
      <c r="O171" s="216"/>
      <c r="P171" s="39"/>
      <c r="Q171" s="39"/>
      <c r="R171" s="39"/>
    </row>
    <row r="172" spans="1:18" ht="15.75" customHeight="1">
      <c r="A172" s="39"/>
      <c r="B172" s="39"/>
      <c r="C172" s="39"/>
      <c r="D172" s="39"/>
      <c r="E172" s="39"/>
      <c r="F172" s="39"/>
      <c r="G172" s="39"/>
      <c r="H172" s="39"/>
      <c r="I172" s="39"/>
      <c r="J172" s="39"/>
      <c r="K172" s="39"/>
      <c r="L172" s="39"/>
      <c r="N172" s="216"/>
      <c r="O172" s="216"/>
      <c r="P172" s="39"/>
      <c r="Q172" s="39"/>
      <c r="R172" s="39"/>
    </row>
    <row r="173" spans="1:18" ht="15.75" customHeight="1">
      <c r="A173" s="39"/>
      <c r="B173" s="39"/>
      <c r="C173" s="39"/>
      <c r="D173" s="39"/>
      <c r="E173" s="39"/>
      <c r="F173" s="39"/>
      <c r="G173" s="39"/>
      <c r="H173" s="39"/>
      <c r="I173" s="39"/>
      <c r="J173" s="39"/>
      <c r="K173" s="39"/>
      <c r="L173" s="39"/>
      <c r="N173" s="216"/>
      <c r="O173" s="216"/>
      <c r="P173" s="39"/>
      <c r="Q173" s="39"/>
      <c r="R173" s="39"/>
    </row>
    <row r="174" spans="1:18" ht="15.75" customHeight="1">
      <c r="A174" s="39"/>
      <c r="B174" s="39"/>
      <c r="C174" s="39"/>
      <c r="D174" s="39"/>
      <c r="E174" s="39"/>
      <c r="F174" s="39"/>
      <c r="G174" s="39"/>
      <c r="H174" s="39"/>
      <c r="I174" s="39"/>
      <c r="J174" s="39"/>
      <c r="K174" s="39"/>
      <c r="L174" s="39"/>
      <c r="N174" s="216"/>
      <c r="O174" s="216"/>
      <c r="P174" s="39"/>
      <c r="Q174" s="39"/>
      <c r="R174" s="39"/>
    </row>
    <row r="175" spans="1:18" ht="15.75" customHeight="1">
      <c r="A175" s="39"/>
      <c r="B175" s="39"/>
      <c r="C175" s="39"/>
      <c r="D175" s="39"/>
      <c r="E175" s="39"/>
      <c r="F175" s="39"/>
      <c r="G175" s="39"/>
      <c r="H175" s="39"/>
      <c r="I175" s="39"/>
      <c r="J175" s="39"/>
      <c r="K175" s="39"/>
      <c r="L175" s="39"/>
      <c r="N175" s="216"/>
      <c r="O175" s="216"/>
      <c r="P175" s="39"/>
      <c r="Q175" s="39"/>
      <c r="R175" s="39"/>
    </row>
    <row r="176" spans="1:18" ht="15.75" customHeight="1">
      <c r="A176" s="39"/>
      <c r="B176" s="39"/>
      <c r="C176" s="39"/>
      <c r="D176" s="39"/>
      <c r="E176" s="39"/>
      <c r="F176" s="39"/>
      <c r="G176" s="39"/>
      <c r="H176" s="39"/>
      <c r="I176" s="39"/>
      <c r="J176" s="39"/>
      <c r="K176" s="39"/>
      <c r="L176" s="39"/>
      <c r="N176" s="216"/>
      <c r="O176" s="216"/>
      <c r="P176" s="39"/>
      <c r="Q176" s="39"/>
      <c r="R176" s="39"/>
    </row>
    <row r="177" spans="1:18" ht="15.75" customHeight="1">
      <c r="A177" s="39"/>
      <c r="B177" s="39"/>
      <c r="C177" s="39"/>
      <c r="D177" s="39"/>
      <c r="E177" s="39"/>
      <c r="F177" s="39"/>
      <c r="G177" s="39"/>
      <c r="H177" s="39"/>
      <c r="I177" s="39"/>
      <c r="J177" s="39"/>
      <c r="K177" s="39"/>
      <c r="L177" s="39"/>
      <c r="N177" s="216"/>
      <c r="O177" s="216"/>
      <c r="P177" s="39"/>
      <c r="Q177" s="39"/>
      <c r="R177" s="39"/>
    </row>
    <row r="178" spans="1:18" ht="15.75" customHeight="1">
      <c r="A178" s="39"/>
      <c r="B178" s="39"/>
      <c r="C178" s="39"/>
      <c r="D178" s="39"/>
      <c r="E178" s="39"/>
      <c r="F178" s="39"/>
      <c r="G178" s="39"/>
      <c r="H178" s="39"/>
      <c r="I178" s="39"/>
      <c r="J178" s="39"/>
      <c r="K178" s="39"/>
      <c r="L178" s="39"/>
      <c r="N178" s="216"/>
      <c r="O178" s="216"/>
      <c r="P178" s="39"/>
      <c r="Q178" s="39"/>
      <c r="R178" s="39"/>
    </row>
    <row r="179" spans="1:18" ht="15.75" customHeight="1">
      <c r="A179" s="39"/>
      <c r="B179" s="39"/>
      <c r="C179" s="39"/>
      <c r="D179" s="39"/>
      <c r="E179" s="39"/>
      <c r="F179" s="39"/>
      <c r="G179" s="39"/>
      <c r="H179" s="39"/>
      <c r="I179" s="39"/>
      <c r="J179" s="39"/>
      <c r="K179" s="39"/>
      <c r="L179" s="39"/>
      <c r="N179" s="216"/>
      <c r="O179" s="216"/>
      <c r="P179" s="39"/>
      <c r="Q179" s="39"/>
      <c r="R179" s="39"/>
    </row>
    <row r="180" spans="1:18" ht="15.75" customHeight="1">
      <c r="A180" s="39"/>
      <c r="B180" s="39"/>
      <c r="C180" s="39"/>
      <c r="D180" s="39"/>
      <c r="E180" s="39"/>
      <c r="F180" s="39"/>
      <c r="G180" s="39"/>
      <c r="H180" s="39"/>
      <c r="I180" s="39"/>
      <c r="J180" s="39"/>
      <c r="K180" s="39"/>
      <c r="L180" s="39"/>
      <c r="N180" s="216"/>
      <c r="O180" s="216"/>
      <c r="P180" s="39"/>
      <c r="Q180" s="39"/>
      <c r="R180" s="39"/>
    </row>
    <row r="181" spans="1:18" ht="15.75" customHeight="1">
      <c r="A181" s="39"/>
      <c r="B181" s="39"/>
      <c r="C181" s="39"/>
      <c r="D181" s="39"/>
      <c r="E181" s="39"/>
      <c r="F181" s="39"/>
      <c r="G181" s="39"/>
      <c r="H181" s="39"/>
      <c r="I181" s="39"/>
      <c r="J181" s="39"/>
      <c r="K181" s="39"/>
      <c r="L181" s="39"/>
      <c r="N181" s="216"/>
      <c r="O181" s="216"/>
      <c r="P181" s="39"/>
      <c r="Q181" s="39"/>
      <c r="R181" s="39"/>
    </row>
    <row r="182" spans="1:18" ht="15.75" customHeight="1">
      <c r="A182" s="39"/>
      <c r="B182" s="39"/>
      <c r="C182" s="39"/>
      <c r="D182" s="39"/>
      <c r="E182" s="39"/>
      <c r="F182" s="39"/>
      <c r="G182" s="39"/>
      <c r="H182" s="39"/>
      <c r="I182" s="39"/>
      <c r="J182" s="39"/>
      <c r="K182" s="39"/>
      <c r="L182" s="39"/>
      <c r="N182" s="216"/>
      <c r="O182" s="216"/>
      <c r="P182" s="39"/>
      <c r="Q182" s="39"/>
      <c r="R182" s="39"/>
    </row>
    <row r="183" spans="1:18" ht="15.75" customHeight="1">
      <c r="A183" s="39"/>
      <c r="B183" s="39"/>
      <c r="C183" s="39"/>
      <c r="D183" s="39"/>
      <c r="E183" s="39"/>
      <c r="F183" s="39"/>
      <c r="G183" s="39"/>
      <c r="H183" s="39"/>
      <c r="I183" s="39"/>
      <c r="J183" s="39"/>
      <c r="K183" s="39"/>
      <c r="L183" s="39"/>
      <c r="N183" s="216"/>
      <c r="O183" s="216"/>
      <c r="P183" s="39"/>
      <c r="Q183" s="39"/>
      <c r="R183" s="39"/>
    </row>
    <row r="184" spans="1:18" ht="15.75" customHeight="1">
      <c r="A184" s="39"/>
      <c r="B184" s="39"/>
      <c r="C184" s="39"/>
      <c r="D184" s="39"/>
      <c r="E184" s="39"/>
      <c r="F184" s="39"/>
      <c r="G184" s="39"/>
      <c r="H184" s="39"/>
      <c r="I184" s="39"/>
      <c r="J184" s="39"/>
      <c r="K184" s="39"/>
      <c r="L184" s="39"/>
      <c r="N184" s="216"/>
      <c r="O184" s="216"/>
      <c r="P184" s="39"/>
      <c r="Q184" s="39"/>
      <c r="R184" s="39"/>
    </row>
    <row r="185" spans="1:18" ht="15.75" customHeight="1">
      <c r="A185" s="39"/>
      <c r="B185" s="39"/>
      <c r="C185" s="39"/>
      <c r="D185" s="39"/>
      <c r="E185" s="39"/>
      <c r="F185" s="39"/>
      <c r="G185" s="39"/>
      <c r="H185" s="39"/>
      <c r="I185" s="39"/>
      <c r="J185" s="39"/>
      <c r="K185" s="39"/>
      <c r="L185" s="39"/>
      <c r="N185" s="216"/>
      <c r="O185" s="216"/>
      <c r="P185" s="39"/>
      <c r="Q185" s="39"/>
      <c r="R185" s="39"/>
    </row>
    <row r="186" spans="1:18" ht="15.75" customHeight="1">
      <c r="A186" s="39"/>
      <c r="B186" s="39"/>
      <c r="C186" s="39"/>
      <c r="D186" s="39"/>
      <c r="E186" s="39"/>
      <c r="F186" s="39"/>
      <c r="G186" s="39"/>
      <c r="H186" s="39"/>
      <c r="I186" s="39"/>
      <c r="J186" s="39"/>
      <c r="K186" s="39"/>
      <c r="L186" s="39"/>
      <c r="N186" s="216"/>
      <c r="O186" s="216"/>
      <c r="P186" s="39"/>
      <c r="Q186" s="39"/>
      <c r="R186" s="39"/>
    </row>
    <row r="187" spans="1:18" ht="15.75" customHeight="1">
      <c r="A187" s="39"/>
      <c r="B187" s="39"/>
      <c r="C187" s="39"/>
      <c r="D187" s="39"/>
      <c r="E187" s="39"/>
      <c r="F187" s="39"/>
      <c r="G187" s="39"/>
      <c r="H187" s="39"/>
      <c r="I187" s="39"/>
      <c r="J187" s="39"/>
      <c r="K187" s="39"/>
      <c r="L187" s="39"/>
      <c r="N187" s="216"/>
      <c r="O187" s="216"/>
      <c r="P187" s="39"/>
      <c r="Q187" s="39"/>
      <c r="R187" s="39"/>
    </row>
    <row r="188" spans="1:18" ht="15.75" customHeight="1">
      <c r="A188" s="39"/>
      <c r="B188" s="39"/>
      <c r="C188" s="39"/>
      <c r="D188" s="39"/>
      <c r="E188" s="39"/>
      <c r="F188" s="39"/>
      <c r="G188" s="39"/>
      <c r="H188" s="39"/>
      <c r="I188" s="39"/>
      <c r="J188" s="39"/>
      <c r="K188" s="39"/>
      <c r="L188" s="39"/>
      <c r="N188" s="216"/>
      <c r="O188" s="216"/>
      <c r="P188" s="39"/>
      <c r="Q188" s="39"/>
      <c r="R188" s="39"/>
    </row>
    <row r="189" spans="1:18" ht="15.75" customHeight="1">
      <c r="A189" s="39"/>
      <c r="B189" s="39"/>
      <c r="C189" s="39"/>
      <c r="D189" s="39"/>
      <c r="E189" s="39"/>
      <c r="F189" s="39"/>
      <c r="G189" s="39"/>
      <c r="H189" s="39"/>
      <c r="I189" s="39"/>
      <c r="J189" s="39"/>
      <c r="K189" s="39"/>
      <c r="L189" s="39"/>
      <c r="N189" s="216"/>
      <c r="O189" s="216"/>
      <c r="P189" s="39"/>
      <c r="Q189" s="39"/>
      <c r="R189" s="39"/>
    </row>
    <row r="190" spans="1:18" ht="15.75" customHeight="1">
      <c r="A190" s="39"/>
      <c r="B190" s="39"/>
      <c r="C190" s="39"/>
      <c r="D190" s="39"/>
      <c r="E190" s="39"/>
      <c r="F190" s="39"/>
      <c r="G190" s="39"/>
      <c r="H190" s="39"/>
      <c r="I190" s="39"/>
      <c r="J190" s="39"/>
      <c r="K190" s="39"/>
      <c r="L190" s="39"/>
      <c r="N190" s="216"/>
      <c r="O190" s="216"/>
      <c r="P190" s="39"/>
      <c r="Q190" s="39"/>
      <c r="R190" s="39"/>
    </row>
    <row r="191" spans="1:18" ht="15.75" customHeight="1">
      <c r="A191" s="39"/>
      <c r="B191" s="39"/>
      <c r="C191" s="39"/>
      <c r="D191" s="39"/>
      <c r="E191" s="39"/>
      <c r="F191" s="39"/>
      <c r="G191" s="39"/>
      <c r="H191" s="39"/>
      <c r="I191" s="39"/>
      <c r="J191" s="39"/>
      <c r="K191" s="39"/>
      <c r="L191" s="39"/>
      <c r="N191" s="216"/>
      <c r="O191" s="216"/>
      <c r="P191" s="39"/>
      <c r="Q191" s="39"/>
      <c r="R191" s="39"/>
    </row>
    <row r="192" spans="1:18" ht="15.75" customHeight="1">
      <c r="A192" s="39"/>
      <c r="B192" s="39"/>
      <c r="C192" s="39"/>
      <c r="D192" s="39"/>
      <c r="E192" s="39"/>
      <c r="F192" s="39"/>
      <c r="G192" s="39"/>
      <c r="H192" s="39"/>
      <c r="I192" s="39"/>
      <c r="J192" s="39"/>
      <c r="K192" s="39"/>
      <c r="L192" s="39"/>
      <c r="N192" s="216"/>
      <c r="O192" s="216"/>
      <c r="P192" s="39"/>
      <c r="Q192" s="39"/>
      <c r="R192" s="39"/>
    </row>
    <row r="193" spans="1:18" ht="15.75" customHeight="1">
      <c r="A193" s="39"/>
      <c r="B193" s="39"/>
      <c r="C193" s="39"/>
      <c r="D193" s="39"/>
      <c r="E193" s="39"/>
      <c r="F193" s="39"/>
      <c r="G193" s="39"/>
      <c r="H193" s="39"/>
      <c r="I193" s="39"/>
      <c r="J193" s="39"/>
      <c r="K193" s="39"/>
      <c r="L193" s="39"/>
      <c r="N193" s="216"/>
      <c r="O193" s="216"/>
      <c r="P193" s="39"/>
      <c r="Q193" s="39"/>
      <c r="R193" s="39"/>
    </row>
    <row r="194" spans="1:18" ht="15.75" customHeight="1">
      <c r="A194" s="39"/>
      <c r="B194" s="39"/>
      <c r="C194" s="39"/>
      <c r="D194" s="39"/>
      <c r="E194" s="39"/>
      <c r="F194" s="39"/>
      <c r="G194" s="39"/>
      <c r="H194" s="39"/>
      <c r="I194" s="39"/>
      <c r="J194" s="39"/>
      <c r="K194" s="39"/>
      <c r="L194" s="39"/>
      <c r="N194" s="216"/>
      <c r="O194" s="216"/>
      <c r="P194" s="39"/>
      <c r="Q194" s="39"/>
      <c r="R194" s="39"/>
    </row>
    <row r="195" spans="1:18" ht="15.75" customHeight="1">
      <c r="A195" s="39"/>
      <c r="B195" s="39"/>
      <c r="C195" s="39"/>
      <c r="D195" s="39"/>
      <c r="E195" s="39"/>
      <c r="F195" s="39"/>
      <c r="G195" s="39"/>
      <c r="H195" s="39"/>
      <c r="I195" s="39"/>
      <c r="J195" s="39"/>
      <c r="K195" s="39"/>
      <c r="L195" s="39"/>
      <c r="N195" s="216"/>
      <c r="O195" s="216"/>
      <c r="P195" s="39"/>
      <c r="Q195" s="39"/>
      <c r="R195" s="39"/>
    </row>
    <row r="196" spans="1:18" ht="15.75" customHeight="1">
      <c r="A196" s="39"/>
      <c r="B196" s="39"/>
      <c r="C196" s="39"/>
      <c r="D196" s="39"/>
      <c r="E196" s="39"/>
      <c r="F196" s="39"/>
      <c r="G196" s="39"/>
      <c r="H196" s="39"/>
      <c r="I196" s="39"/>
      <c r="J196" s="39"/>
      <c r="K196" s="39"/>
      <c r="L196" s="39"/>
      <c r="N196" s="216"/>
      <c r="O196" s="216"/>
      <c r="P196" s="39"/>
      <c r="Q196" s="39"/>
      <c r="R196" s="39"/>
    </row>
    <row r="197" spans="1:18" ht="15.75" customHeight="1">
      <c r="A197" s="39"/>
      <c r="B197" s="39"/>
      <c r="C197" s="39"/>
      <c r="D197" s="39"/>
      <c r="E197" s="39"/>
      <c r="F197" s="39"/>
      <c r="G197" s="39"/>
      <c r="H197" s="39"/>
      <c r="I197" s="39"/>
      <c r="J197" s="39"/>
      <c r="K197" s="39"/>
      <c r="L197" s="39"/>
      <c r="N197" s="216"/>
      <c r="O197" s="216"/>
      <c r="P197" s="39"/>
      <c r="Q197" s="39"/>
      <c r="R197" s="39"/>
    </row>
    <row r="198" spans="1:18" ht="15.75" customHeight="1">
      <c r="A198" s="39"/>
      <c r="B198" s="39"/>
      <c r="C198" s="39"/>
      <c r="D198" s="39"/>
      <c r="E198" s="39"/>
      <c r="F198" s="39"/>
      <c r="G198" s="39"/>
      <c r="H198" s="39"/>
      <c r="I198" s="39"/>
      <c r="J198" s="39"/>
      <c r="K198" s="39"/>
      <c r="L198" s="39"/>
      <c r="N198" s="216"/>
      <c r="O198" s="216"/>
      <c r="P198" s="39"/>
      <c r="Q198" s="39"/>
      <c r="R198" s="39"/>
    </row>
    <row r="199" spans="1:18" ht="15.75" customHeight="1">
      <c r="A199" s="39"/>
      <c r="B199" s="39"/>
      <c r="C199" s="39"/>
      <c r="D199" s="39"/>
      <c r="E199" s="39"/>
      <c r="F199" s="39"/>
      <c r="G199" s="39"/>
      <c r="H199" s="39"/>
      <c r="I199" s="39"/>
      <c r="J199" s="39"/>
      <c r="K199" s="39"/>
      <c r="L199" s="39"/>
      <c r="N199" s="216"/>
      <c r="O199" s="216"/>
      <c r="P199" s="39"/>
      <c r="Q199" s="39"/>
      <c r="R199" s="39"/>
    </row>
    <row r="200" spans="1:18" ht="15.75" customHeight="1">
      <c r="A200" s="39"/>
      <c r="B200" s="39"/>
      <c r="C200" s="39"/>
      <c r="D200" s="39"/>
      <c r="E200" s="39"/>
      <c r="F200" s="39"/>
      <c r="G200" s="39"/>
      <c r="H200" s="39"/>
      <c r="I200" s="39"/>
      <c r="J200" s="39"/>
      <c r="K200" s="39"/>
      <c r="L200" s="39"/>
      <c r="N200" s="216"/>
      <c r="O200" s="216"/>
      <c r="P200" s="39"/>
      <c r="Q200" s="39"/>
      <c r="R200" s="39"/>
    </row>
    <row r="201" spans="1:18" ht="15.75" customHeight="1">
      <c r="A201" s="39"/>
      <c r="B201" s="39"/>
      <c r="C201" s="39"/>
      <c r="D201" s="39"/>
      <c r="E201" s="39"/>
      <c r="F201" s="39"/>
      <c r="G201" s="39"/>
      <c r="H201" s="39"/>
      <c r="I201" s="39"/>
      <c r="J201" s="39"/>
      <c r="K201" s="39"/>
      <c r="L201" s="39"/>
      <c r="N201" s="216"/>
      <c r="O201" s="216"/>
      <c r="P201" s="39"/>
      <c r="Q201" s="39"/>
      <c r="R201" s="39"/>
    </row>
    <row r="202" spans="1:18" ht="15.75" customHeight="1">
      <c r="A202" s="39"/>
      <c r="B202" s="39"/>
      <c r="C202" s="39"/>
      <c r="D202" s="39"/>
      <c r="E202" s="39"/>
      <c r="F202" s="39"/>
      <c r="G202" s="39"/>
      <c r="H202" s="39"/>
      <c r="I202" s="39"/>
      <c r="J202" s="39"/>
      <c r="K202" s="39"/>
      <c r="L202" s="39"/>
      <c r="N202" s="216"/>
      <c r="O202" s="216"/>
      <c r="P202" s="39"/>
      <c r="Q202" s="39"/>
      <c r="R202" s="39"/>
    </row>
    <row r="203" spans="1:18" ht="15.75" customHeight="1">
      <c r="A203" s="39"/>
      <c r="B203" s="39"/>
      <c r="C203" s="39"/>
      <c r="D203" s="39"/>
      <c r="E203" s="39"/>
      <c r="F203" s="39"/>
      <c r="G203" s="39"/>
      <c r="H203" s="39"/>
      <c r="I203" s="39"/>
      <c r="J203" s="39"/>
      <c r="K203" s="39"/>
      <c r="L203" s="39"/>
      <c r="N203" s="216"/>
      <c r="O203" s="216"/>
      <c r="P203" s="39"/>
      <c r="Q203" s="39"/>
      <c r="R203" s="39"/>
    </row>
    <row r="204" spans="1:18" ht="15.75" customHeight="1">
      <c r="A204" s="39"/>
      <c r="B204" s="39"/>
      <c r="C204" s="39"/>
      <c r="D204" s="39"/>
      <c r="E204" s="39"/>
      <c r="F204" s="39"/>
      <c r="G204" s="39"/>
      <c r="H204" s="39"/>
      <c r="I204" s="39"/>
      <c r="J204" s="39"/>
      <c r="K204" s="39"/>
      <c r="L204" s="39"/>
      <c r="N204" s="216"/>
      <c r="O204" s="216"/>
      <c r="P204" s="39"/>
      <c r="Q204" s="39"/>
      <c r="R204" s="39"/>
    </row>
    <row r="205" spans="1:18" ht="15.75" customHeight="1">
      <c r="A205" s="39"/>
      <c r="B205" s="39"/>
      <c r="C205" s="39"/>
      <c r="D205" s="39"/>
      <c r="E205" s="39"/>
      <c r="F205" s="39"/>
      <c r="G205" s="39"/>
      <c r="H205" s="39"/>
      <c r="I205" s="39"/>
      <c r="J205" s="39"/>
      <c r="K205" s="39"/>
      <c r="L205" s="39"/>
      <c r="N205" s="216"/>
      <c r="O205" s="216"/>
      <c r="P205" s="39"/>
      <c r="Q205" s="39"/>
      <c r="R205" s="39"/>
    </row>
    <row r="206" spans="1:18" ht="15.75" customHeight="1">
      <c r="A206" s="39"/>
      <c r="B206" s="39"/>
      <c r="C206" s="39"/>
      <c r="D206" s="39"/>
      <c r="E206" s="39"/>
      <c r="F206" s="39"/>
      <c r="G206" s="39"/>
      <c r="H206" s="39"/>
      <c r="I206" s="39"/>
      <c r="J206" s="39"/>
      <c r="K206" s="39"/>
      <c r="L206" s="39"/>
      <c r="N206" s="216"/>
      <c r="O206" s="216"/>
      <c r="P206" s="39"/>
      <c r="Q206" s="39"/>
      <c r="R206" s="39"/>
    </row>
    <row r="207" spans="1:18" ht="15.75" customHeight="1">
      <c r="A207" s="39"/>
      <c r="B207" s="39"/>
      <c r="C207" s="39"/>
      <c r="D207" s="39"/>
      <c r="E207" s="39"/>
      <c r="F207" s="39"/>
      <c r="G207" s="39"/>
      <c r="H207" s="39"/>
      <c r="I207" s="39"/>
      <c r="J207" s="39"/>
      <c r="K207" s="39"/>
      <c r="L207" s="39"/>
      <c r="N207" s="216"/>
      <c r="O207" s="216"/>
      <c r="P207" s="39"/>
      <c r="Q207" s="39"/>
      <c r="R207" s="39"/>
    </row>
    <row r="208" spans="1:18" ht="15.75" customHeight="1">
      <c r="A208" s="39"/>
      <c r="B208" s="39"/>
      <c r="C208" s="39"/>
      <c r="D208" s="39"/>
      <c r="E208" s="39"/>
      <c r="F208" s="39"/>
      <c r="G208" s="39"/>
      <c r="H208" s="39"/>
      <c r="I208" s="39"/>
      <c r="J208" s="39"/>
      <c r="K208" s="39"/>
      <c r="L208" s="39"/>
      <c r="N208" s="216"/>
      <c r="O208" s="216"/>
      <c r="P208" s="39"/>
      <c r="Q208" s="39"/>
      <c r="R208" s="39"/>
    </row>
    <row r="209" spans="1:18" ht="15.75" customHeight="1">
      <c r="A209" s="39"/>
      <c r="B209" s="39"/>
      <c r="C209" s="39"/>
      <c r="D209" s="39"/>
      <c r="E209" s="39"/>
      <c r="F209" s="39"/>
      <c r="G209" s="39"/>
      <c r="H209" s="39"/>
      <c r="I209" s="39"/>
      <c r="J209" s="39"/>
      <c r="K209" s="39"/>
      <c r="L209" s="39"/>
      <c r="N209" s="216"/>
      <c r="O209" s="216"/>
      <c r="P209" s="39"/>
      <c r="Q209" s="39"/>
      <c r="R209" s="39"/>
    </row>
    <row r="210" spans="1:18" ht="15.75" customHeight="1">
      <c r="A210" s="39"/>
      <c r="B210" s="39"/>
      <c r="C210" s="39"/>
      <c r="D210" s="39"/>
      <c r="E210" s="39"/>
      <c r="F210" s="39"/>
      <c r="G210" s="39"/>
      <c r="H210" s="39"/>
      <c r="I210" s="39"/>
      <c r="J210" s="39"/>
      <c r="K210" s="39"/>
      <c r="L210" s="39"/>
      <c r="N210" s="216"/>
      <c r="O210" s="216"/>
      <c r="P210" s="39"/>
      <c r="Q210" s="39"/>
      <c r="R210" s="39"/>
    </row>
    <row r="211" spans="1:18" ht="15.75" customHeight="1">
      <c r="A211" s="39"/>
      <c r="B211" s="39"/>
      <c r="C211" s="39"/>
      <c r="D211" s="39"/>
      <c r="E211" s="39"/>
      <c r="F211" s="39"/>
      <c r="G211" s="39"/>
      <c r="H211" s="39"/>
      <c r="I211" s="39"/>
      <c r="J211" s="39"/>
      <c r="K211" s="39"/>
      <c r="L211" s="39"/>
      <c r="N211" s="216"/>
      <c r="O211" s="216"/>
      <c r="P211" s="39"/>
      <c r="Q211" s="39"/>
      <c r="R211" s="39"/>
    </row>
    <row r="212" spans="1:18" ht="15.75" customHeight="1">
      <c r="A212" s="39"/>
      <c r="B212" s="39"/>
      <c r="C212" s="39"/>
      <c r="D212" s="39"/>
      <c r="E212" s="39"/>
      <c r="F212" s="39"/>
      <c r="G212" s="39"/>
      <c r="H212" s="39"/>
      <c r="I212" s="39"/>
      <c r="J212" s="39"/>
      <c r="K212" s="39"/>
      <c r="L212" s="39"/>
      <c r="N212" s="216"/>
      <c r="O212" s="216"/>
      <c r="P212" s="39"/>
      <c r="Q212" s="39"/>
      <c r="R212" s="39"/>
    </row>
    <row r="213" spans="1:18" ht="15.75" customHeight="1">
      <c r="A213" s="39"/>
      <c r="B213" s="39"/>
      <c r="C213" s="39"/>
      <c r="D213" s="39"/>
      <c r="E213" s="39"/>
      <c r="F213" s="39"/>
      <c r="G213" s="39"/>
      <c r="H213" s="39"/>
      <c r="I213" s="39"/>
      <c r="J213" s="39"/>
      <c r="K213" s="39"/>
      <c r="L213" s="39"/>
      <c r="N213" s="216"/>
      <c r="O213" s="216"/>
      <c r="P213" s="39"/>
      <c r="Q213" s="39"/>
      <c r="R213" s="39"/>
    </row>
    <row r="214" spans="1:18" ht="15.75" customHeight="1">
      <c r="A214" s="39"/>
      <c r="B214" s="39"/>
      <c r="C214" s="39"/>
      <c r="D214" s="39"/>
      <c r="E214" s="39"/>
      <c r="F214" s="39"/>
      <c r="G214" s="39"/>
      <c r="H214" s="39"/>
      <c r="I214" s="39"/>
      <c r="J214" s="39"/>
      <c r="K214" s="39"/>
      <c r="L214" s="39"/>
      <c r="N214" s="216"/>
      <c r="O214" s="216"/>
      <c r="P214" s="39"/>
      <c r="Q214" s="39"/>
      <c r="R214" s="39"/>
    </row>
    <row r="215" spans="1:18" ht="15.75" customHeight="1">
      <c r="A215" s="39"/>
      <c r="B215" s="39"/>
      <c r="C215" s="39"/>
      <c r="D215" s="39"/>
      <c r="E215" s="39"/>
      <c r="F215" s="39"/>
      <c r="G215" s="39"/>
      <c r="H215" s="39"/>
      <c r="I215" s="39"/>
      <c r="J215" s="39"/>
      <c r="K215" s="39"/>
      <c r="L215" s="39"/>
      <c r="N215" s="216"/>
      <c r="O215" s="216"/>
      <c r="P215" s="39"/>
      <c r="Q215" s="39"/>
      <c r="R215" s="39"/>
    </row>
    <row r="216" spans="1:18" ht="15.75" customHeight="1">
      <c r="A216" s="39"/>
      <c r="B216" s="39"/>
      <c r="C216" s="39"/>
      <c r="D216" s="39"/>
      <c r="E216" s="39"/>
      <c r="F216" s="39"/>
      <c r="G216" s="39"/>
      <c r="H216" s="39"/>
      <c r="I216" s="39"/>
      <c r="J216" s="39"/>
      <c r="K216" s="39"/>
      <c r="L216" s="39"/>
      <c r="N216" s="216"/>
      <c r="O216" s="216"/>
      <c r="P216" s="39"/>
      <c r="Q216" s="39"/>
      <c r="R216" s="39"/>
    </row>
    <row r="217" spans="1:18" ht="15.75" customHeight="1">
      <c r="A217" s="39"/>
      <c r="B217" s="39"/>
      <c r="C217" s="39"/>
      <c r="D217" s="39"/>
      <c r="E217" s="39"/>
      <c r="F217" s="39"/>
      <c r="G217" s="39"/>
      <c r="H217" s="39"/>
      <c r="I217" s="39"/>
      <c r="J217" s="39"/>
      <c r="K217" s="39"/>
      <c r="L217" s="39"/>
      <c r="N217" s="216"/>
      <c r="O217" s="216"/>
      <c r="P217" s="39"/>
      <c r="Q217" s="39"/>
      <c r="R217" s="39"/>
    </row>
    <row r="218" spans="1:18" ht="15.75" customHeight="1">
      <c r="A218" s="39"/>
      <c r="B218" s="39"/>
      <c r="C218" s="39"/>
      <c r="D218" s="39"/>
      <c r="E218" s="39"/>
      <c r="F218" s="39"/>
      <c r="G218" s="39"/>
      <c r="H218" s="39"/>
      <c r="I218" s="39"/>
      <c r="J218" s="39"/>
      <c r="K218" s="39"/>
      <c r="L218" s="39"/>
      <c r="N218" s="216"/>
      <c r="O218" s="216"/>
      <c r="P218" s="39"/>
      <c r="Q218" s="39"/>
      <c r="R218" s="39"/>
    </row>
    <row r="219" spans="1:18" ht="15.75" customHeight="1">
      <c r="A219" s="39"/>
      <c r="B219" s="39"/>
      <c r="C219" s="39"/>
      <c r="D219" s="39"/>
      <c r="E219" s="39"/>
      <c r="F219" s="39"/>
      <c r="G219" s="39"/>
      <c r="H219" s="39"/>
      <c r="I219" s="39"/>
      <c r="J219" s="39"/>
      <c r="K219" s="39"/>
      <c r="L219" s="39"/>
      <c r="N219" s="216"/>
      <c r="O219" s="216"/>
      <c r="P219" s="39"/>
      <c r="Q219" s="39"/>
      <c r="R219" s="39"/>
    </row>
    <row r="220" spans="1:18" ht="15.75" customHeight="1">
      <c r="A220" s="39"/>
      <c r="B220" s="39"/>
      <c r="C220" s="39"/>
      <c r="D220" s="39"/>
      <c r="E220" s="39"/>
      <c r="F220" s="39"/>
      <c r="G220" s="39"/>
      <c r="H220" s="39"/>
      <c r="I220" s="39"/>
      <c r="J220" s="39"/>
      <c r="K220" s="39"/>
      <c r="L220" s="39"/>
      <c r="N220" s="216"/>
      <c r="O220" s="216"/>
      <c r="P220" s="39"/>
      <c r="Q220" s="39"/>
      <c r="R220" s="39"/>
    </row>
    <row r="221" spans="1:18" ht="15.75" customHeight="1">
      <c r="A221" s="39"/>
      <c r="B221" s="39"/>
      <c r="C221" s="39"/>
      <c r="D221" s="39"/>
      <c r="E221" s="39"/>
      <c r="F221" s="39"/>
      <c r="G221" s="39"/>
      <c r="H221" s="39"/>
      <c r="I221" s="39"/>
      <c r="J221" s="39"/>
      <c r="K221" s="39"/>
      <c r="L221" s="39"/>
      <c r="N221" s="216"/>
      <c r="O221" s="216"/>
      <c r="P221" s="39"/>
      <c r="Q221" s="39"/>
      <c r="R221" s="39"/>
    </row>
    <row r="222" spans="1:18" ht="15.75" customHeight="1">
      <c r="A222" s="39"/>
      <c r="B222" s="39"/>
      <c r="C222" s="39"/>
      <c r="D222" s="39"/>
      <c r="E222" s="39"/>
      <c r="F222" s="39"/>
      <c r="G222" s="39"/>
      <c r="H222" s="39"/>
      <c r="I222" s="39"/>
      <c r="J222" s="39"/>
      <c r="K222" s="39"/>
      <c r="L222" s="39"/>
      <c r="N222" s="216"/>
      <c r="O222" s="216"/>
      <c r="P222" s="39"/>
      <c r="Q222" s="39"/>
      <c r="R222" s="39"/>
    </row>
    <row r="223" spans="1:18" ht="15.75" customHeight="1">
      <c r="A223" s="39"/>
      <c r="B223" s="39"/>
      <c r="C223" s="39"/>
      <c r="D223" s="39"/>
      <c r="E223" s="39"/>
      <c r="F223" s="39"/>
      <c r="G223" s="39"/>
      <c r="H223" s="39"/>
      <c r="I223" s="39"/>
      <c r="J223" s="39"/>
      <c r="K223" s="39"/>
      <c r="L223" s="39"/>
      <c r="N223" s="216"/>
      <c r="O223" s="216"/>
      <c r="P223" s="39"/>
      <c r="Q223" s="39"/>
      <c r="R223" s="39"/>
    </row>
    <row r="224" spans="1:18" ht="15.75" customHeight="1">
      <c r="A224" s="39"/>
      <c r="B224" s="39"/>
      <c r="C224" s="39"/>
      <c r="D224" s="39"/>
      <c r="E224" s="39"/>
      <c r="F224" s="39"/>
      <c r="G224" s="39"/>
      <c r="H224" s="39"/>
      <c r="I224" s="39"/>
      <c r="J224" s="39"/>
      <c r="K224" s="39"/>
      <c r="L224" s="39"/>
      <c r="N224" s="216"/>
      <c r="O224" s="216"/>
      <c r="P224" s="39"/>
      <c r="Q224" s="39"/>
      <c r="R224" s="39"/>
    </row>
    <row r="225" spans="1:18" ht="15.75" customHeight="1">
      <c r="A225" s="39"/>
      <c r="B225" s="39"/>
      <c r="C225" s="39"/>
      <c r="D225" s="39"/>
      <c r="E225" s="39"/>
      <c r="F225" s="39"/>
      <c r="G225" s="39"/>
      <c r="H225" s="39"/>
      <c r="I225" s="39"/>
      <c r="J225" s="39"/>
      <c r="K225" s="39"/>
      <c r="L225" s="39"/>
      <c r="N225" s="216"/>
      <c r="O225" s="216"/>
      <c r="P225" s="39"/>
      <c r="Q225" s="39"/>
      <c r="R225" s="39"/>
    </row>
    <row r="226" spans="1:18" ht="15.75" customHeight="1">
      <c r="A226" s="39"/>
      <c r="B226" s="39"/>
      <c r="C226" s="39"/>
      <c r="D226" s="39"/>
      <c r="E226" s="39"/>
      <c r="F226" s="39"/>
      <c r="G226" s="39"/>
      <c r="H226" s="39"/>
      <c r="I226" s="39"/>
      <c r="J226" s="39"/>
      <c r="K226" s="39"/>
      <c r="L226" s="39"/>
      <c r="N226" s="216"/>
      <c r="O226" s="216"/>
      <c r="P226" s="39"/>
      <c r="Q226" s="39"/>
      <c r="R226" s="39"/>
    </row>
    <row r="227" spans="1:18" ht="15.75" customHeight="1">
      <c r="A227" s="39"/>
      <c r="B227" s="39"/>
      <c r="C227" s="39"/>
      <c r="D227" s="39"/>
      <c r="E227" s="39"/>
      <c r="F227" s="39"/>
      <c r="G227" s="39"/>
      <c r="H227" s="39"/>
      <c r="I227" s="39"/>
      <c r="J227" s="39"/>
      <c r="K227" s="39"/>
      <c r="L227" s="39"/>
      <c r="N227" s="216"/>
      <c r="O227" s="216"/>
      <c r="P227" s="39"/>
      <c r="Q227" s="39"/>
      <c r="R227" s="39"/>
    </row>
    <row r="228" spans="1:18" ht="15.75" customHeight="1">
      <c r="A228" s="39"/>
      <c r="B228" s="39"/>
      <c r="C228" s="39"/>
      <c r="D228" s="39"/>
      <c r="E228" s="39"/>
      <c r="F228" s="39"/>
      <c r="G228" s="39"/>
      <c r="H228" s="39"/>
      <c r="I228" s="39"/>
      <c r="J228" s="39"/>
      <c r="K228" s="39"/>
      <c r="L228" s="39"/>
      <c r="N228" s="216"/>
      <c r="O228" s="216"/>
      <c r="P228" s="39"/>
      <c r="Q228" s="39"/>
      <c r="R228" s="39"/>
    </row>
    <row r="229" spans="1:18" ht="15.75" customHeight="1">
      <c r="A229" s="39"/>
      <c r="B229" s="39"/>
      <c r="C229" s="39"/>
      <c r="D229" s="39"/>
      <c r="E229" s="39"/>
      <c r="F229" s="39"/>
      <c r="G229" s="39"/>
      <c r="H229" s="39"/>
      <c r="I229" s="39"/>
      <c r="J229" s="39"/>
      <c r="K229" s="39"/>
      <c r="L229" s="39"/>
      <c r="N229" s="216"/>
      <c r="O229" s="216"/>
      <c r="P229" s="39"/>
      <c r="Q229" s="39"/>
      <c r="R229" s="39"/>
    </row>
    <row r="230" spans="1:18" ht="15.75" customHeight="1">
      <c r="A230" s="39"/>
      <c r="B230" s="39"/>
      <c r="C230" s="39"/>
      <c r="D230" s="39"/>
      <c r="E230" s="39"/>
      <c r="F230" s="39"/>
      <c r="G230" s="39"/>
      <c r="H230" s="39"/>
      <c r="I230" s="39"/>
      <c r="J230" s="39"/>
      <c r="K230" s="39"/>
      <c r="L230" s="39"/>
      <c r="N230" s="216"/>
      <c r="O230" s="216"/>
      <c r="P230" s="39"/>
      <c r="Q230" s="39"/>
      <c r="R230" s="39"/>
    </row>
    <row r="231" spans="1:18" ht="15.75" customHeight="1">
      <c r="A231" s="39"/>
      <c r="B231" s="39"/>
      <c r="C231" s="39"/>
      <c r="D231" s="39"/>
      <c r="E231" s="39"/>
      <c r="F231" s="39"/>
      <c r="G231" s="39"/>
      <c r="H231" s="39"/>
      <c r="I231" s="39"/>
      <c r="J231" s="39"/>
      <c r="K231" s="39"/>
      <c r="L231" s="39"/>
      <c r="N231" s="216"/>
      <c r="O231" s="216"/>
      <c r="P231" s="39"/>
      <c r="Q231" s="39"/>
      <c r="R231" s="39"/>
    </row>
    <row r="232" spans="1:18" ht="15.75" customHeight="1">
      <c r="A232" s="39"/>
      <c r="B232" s="39"/>
      <c r="C232" s="39"/>
      <c r="D232" s="39"/>
      <c r="E232" s="39"/>
      <c r="F232" s="39"/>
      <c r="G232" s="39"/>
      <c r="H232" s="39"/>
      <c r="I232" s="39"/>
      <c r="J232" s="39"/>
      <c r="K232" s="39"/>
      <c r="L232" s="39"/>
      <c r="N232" s="216"/>
      <c r="O232" s="216"/>
      <c r="P232" s="39"/>
      <c r="Q232" s="39"/>
      <c r="R232" s="39"/>
    </row>
    <row r="233" spans="1:18" ht="15.75" customHeight="1">
      <c r="A233" s="39"/>
      <c r="B233" s="39"/>
      <c r="C233" s="39"/>
      <c r="D233" s="39"/>
      <c r="E233" s="39"/>
      <c r="F233" s="39"/>
      <c r="G233" s="39"/>
      <c r="H233" s="39"/>
      <c r="I233" s="39"/>
      <c r="J233" s="39"/>
      <c r="K233" s="39"/>
      <c r="L233" s="39"/>
      <c r="N233" s="216"/>
      <c r="O233" s="216"/>
      <c r="P233" s="39"/>
      <c r="Q233" s="39"/>
      <c r="R233" s="39"/>
    </row>
    <row r="234" spans="1:18" ht="15.75" customHeight="1">
      <c r="A234" s="39"/>
      <c r="B234" s="39"/>
      <c r="C234" s="39"/>
      <c r="D234" s="39"/>
      <c r="E234" s="39"/>
      <c r="F234" s="39"/>
      <c r="G234" s="39"/>
      <c r="H234" s="39"/>
      <c r="I234" s="39"/>
      <c r="J234" s="39"/>
      <c r="K234" s="39"/>
      <c r="L234" s="39"/>
      <c r="N234" s="216"/>
      <c r="O234" s="216"/>
      <c r="P234" s="39"/>
      <c r="Q234" s="39"/>
      <c r="R234" s="39"/>
    </row>
    <row r="235" spans="1:18" ht="15.75" customHeight="1">
      <c r="A235" s="39"/>
      <c r="B235" s="39"/>
      <c r="C235" s="39"/>
      <c r="D235" s="39"/>
      <c r="E235" s="39"/>
      <c r="F235" s="39"/>
      <c r="G235" s="39"/>
      <c r="H235" s="39"/>
      <c r="I235" s="39"/>
      <c r="J235" s="39"/>
      <c r="K235" s="39"/>
      <c r="L235" s="39"/>
      <c r="N235" s="216"/>
      <c r="O235" s="216"/>
      <c r="P235" s="39"/>
      <c r="Q235" s="39"/>
      <c r="R235" s="39"/>
    </row>
    <row r="236" spans="1:18" ht="15.75" customHeight="1">
      <c r="A236" s="39"/>
      <c r="B236" s="39"/>
      <c r="C236" s="39"/>
      <c r="D236" s="39"/>
      <c r="E236" s="39"/>
      <c r="F236" s="39"/>
      <c r="G236" s="39"/>
      <c r="H236" s="39"/>
      <c r="I236" s="39"/>
      <c r="J236" s="39"/>
      <c r="K236" s="39"/>
      <c r="L236" s="39"/>
      <c r="N236" s="216"/>
      <c r="O236" s="216"/>
      <c r="P236" s="39"/>
      <c r="Q236" s="39"/>
      <c r="R236" s="39"/>
    </row>
    <row r="237" spans="1:18" ht="15.75" customHeight="1">
      <c r="A237" s="39"/>
      <c r="B237" s="39"/>
      <c r="C237" s="39"/>
      <c r="D237" s="39"/>
      <c r="E237" s="39"/>
      <c r="F237" s="39"/>
      <c r="G237" s="39"/>
      <c r="H237" s="39"/>
      <c r="I237" s="39"/>
      <c r="J237" s="39"/>
      <c r="K237" s="39"/>
      <c r="L237" s="39"/>
      <c r="N237" s="216"/>
      <c r="O237" s="216"/>
      <c r="P237" s="39"/>
      <c r="Q237" s="39"/>
      <c r="R237" s="39"/>
    </row>
    <row r="238" spans="1:18" ht="15.75" customHeight="1">
      <c r="A238" s="39"/>
      <c r="B238" s="39"/>
      <c r="C238" s="39"/>
      <c r="D238" s="39"/>
      <c r="E238" s="39"/>
      <c r="F238" s="39"/>
      <c r="G238" s="39"/>
      <c r="H238" s="39"/>
      <c r="I238" s="39"/>
      <c r="J238" s="39"/>
      <c r="K238" s="39"/>
      <c r="L238" s="39"/>
      <c r="N238" s="216"/>
      <c r="O238" s="216"/>
      <c r="P238" s="39"/>
      <c r="Q238" s="39"/>
      <c r="R238" s="39"/>
    </row>
    <row r="239" spans="1:18" ht="15.75" customHeight="1">
      <c r="A239" s="39"/>
      <c r="B239" s="39"/>
      <c r="C239" s="39"/>
      <c r="D239" s="39"/>
      <c r="E239" s="39"/>
      <c r="F239" s="39"/>
      <c r="G239" s="39"/>
      <c r="H239" s="39"/>
      <c r="I239" s="39"/>
      <c r="J239" s="39"/>
      <c r="K239" s="39"/>
      <c r="L239" s="39"/>
      <c r="N239" s="216"/>
      <c r="O239" s="216"/>
      <c r="P239" s="39"/>
      <c r="Q239" s="39"/>
      <c r="R239" s="39"/>
    </row>
    <row r="240" spans="1:18" ht="15.75" customHeight="1">
      <c r="A240" s="39"/>
      <c r="B240" s="39"/>
      <c r="C240" s="39"/>
      <c r="D240" s="39"/>
      <c r="E240" s="39"/>
      <c r="F240" s="39"/>
      <c r="G240" s="39"/>
      <c r="H240" s="39"/>
      <c r="I240" s="39"/>
      <c r="J240" s="39"/>
      <c r="K240" s="39"/>
      <c r="L240" s="39"/>
      <c r="N240" s="216"/>
      <c r="O240" s="216"/>
      <c r="P240" s="39"/>
      <c r="Q240" s="39"/>
      <c r="R240" s="39"/>
    </row>
    <row r="241" spans="1:18" ht="15.75" customHeight="1">
      <c r="A241" s="39"/>
      <c r="B241" s="39"/>
      <c r="C241" s="39"/>
      <c r="D241" s="39"/>
      <c r="E241" s="39"/>
      <c r="F241" s="39"/>
      <c r="G241" s="39"/>
      <c r="H241" s="39"/>
      <c r="I241" s="39"/>
      <c r="J241" s="39"/>
      <c r="K241" s="39"/>
      <c r="L241" s="39"/>
      <c r="N241" s="216"/>
      <c r="O241" s="216"/>
      <c r="P241" s="39"/>
      <c r="Q241" s="39"/>
      <c r="R241" s="39"/>
    </row>
    <row r="242" spans="1:18" ht="15.75" customHeight="1">
      <c r="A242" s="39"/>
      <c r="B242" s="39"/>
      <c r="C242" s="39"/>
      <c r="D242" s="39"/>
      <c r="E242" s="39"/>
      <c r="F242" s="39"/>
      <c r="G242" s="39"/>
      <c r="H242" s="39"/>
      <c r="I242" s="39"/>
      <c r="J242" s="39"/>
      <c r="K242" s="39"/>
      <c r="L242" s="39"/>
      <c r="N242" s="216"/>
      <c r="O242" s="216"/>
      <c r="P242" s="39"/>
      <c r="Q242" s="39"/>
      <c r="R242" s="39"/>
    </row>
    <row r="243" spans="1:18" ht="15.75" customHeight="1">
      <c r="A243" s="39"/>
      <c r="B243" s="39"/>
      <c r="C243" s="39"/>
      <c r="D243" s="39"/>
      <c r="E243" s="39"/>
      <c r="F243" s="39"/>
      <c r="G243" s="39"/>
      <c r="H243" s="39"/>
      <c r="I243" s="39"/>
      <c r="J243" s="39"/>
      <c r="K243" s="39"/>
      <c r="L243" s="39"/>
      <c r="N243" s="216"/>
      <c r="O243" s="216"/>
      <c r="P243" s="39"/>
      <c r="Q243" s="39"/>
      <c r="R243" s="39"/>
    </row>
    <row r="244" spans="1:18" ht="15.75" customHeight="1">
      <c r="A244" s="39"/>
      <c r="B244" s="39"/>
      <c r="C244" s="39"/>
      <c r="D244" s="39"/>
      <c r="E244" s="39"/>
      <c r="F244" s="39"/>
      <c r="G244" s="39"/>
      <c r="H244" s="39"/>
      <c r="I244" s="39"/>
      <c r="J244" s="39"/>
      <c r="K244" s="39"/>
      <c r="L244" s="39"/>
      <c r="N244" s="216"/>
      <c r="O244" s="216"/>
      <c r="P244" s="39"/>
      <c r="Q244" s="39"/>
      <c r="R244" s="39"/>
    </row>
    <row r="245" spans="1:18" ht="15.75" customHeight="1">
      <c r="A245" s="39"/>
      <c r="B245" s="39"/>
      <c r="C245" s="39"/>
      <c r="D245" s="39"/>
      <c r="E245" s="39"/>
      <c r="F245" s="39"/>
      <c r="G245" s="39"/>
      <c r="H245" s="39"/>
      <c r="I245" s="39"/>
      <c r="J245" s="39"/>
      <c r="K245" s="39"/>
      <c r="L245" s="39"/>
      <c r="N245" s="216"/>
      <c r="O245" s="216"/>
      <c r="P245" s="39"/>
      <c r="Q245" s="39"/>
      <c r="R245" s="39"/>
    </row>
    <row r="246" spans="1:18" ht="15.75" customHeight="1">
      <c r="A246" s="39"/>
      <c r="B246" s="39"/>
      <c r="C246" s="39"/>
      <c r="D246" s="39"/>
      <c r="E246" s="39"/>
      <c r="F246" s="39"/>
      <c r="G246" s="39"/>
      <c r="H246" s="39"/>
      <c r="I246" s="39"/>
      <c r="J246" s="39"/>
      <c r="K246" s="39"/>
      <c r="L246" s="39"/>
      <c r="N246" s="216"/>
      <c r="O246" s="216"/>
      <c r="P246" s="39"/>
      <c r="Q246" s="39"/>
      <c r="R246" s="39"/>
    </row>
    <row r="247" spans="1:18" ht="15.75" customHeight="1">
      <c r="A247" s="39"/>
      <c r="B247" s="39"/>
      <c r="C247" s="39"/>
      <c r="D247" s="39"/>
      <c r="E247" s="39"/>
      <c r="F247" s="39"/>
      <c r="G247" s="39"/>
      <c r="H247" s="39"/>
      <c r="I247" s="39"/>
      <c r="J247" s="39"/>
      <c r="K247" s="39"/>
      <c r="L247" s="39"/>
      <c r="N247" s="216"/>
      <c r="O247" s="216"/>
      <c r="P247" s="39"/>
      <c r="Q247" s="39"/>
      <c r="R247" s="39"/>
    </row>
    <row r="248" spans="1:18" ht="15.75" customHeight="1">
      <c r="A248" s="39"/>
      <c r="B248" s="39"/>
      <c r="C248" s="39"/>
      <c r="D248" s="39"/>
      <c r="E248" s="39"/>
      <c r="F248" s="39"/>
      <c r="G248" s="39"/>
      <c r="H248" s="39"/>
      <c r="I248" s="39"/>
      <c r="J248" s="39"/>
      <c r="K248" s="39"/>
      <c r="L248" s="39"/>
      <c r="N248" s="216"/>
      <c r="O248" s="216"/>
      <c r="P248" s="39"/>
      <c r="Q248" s="39"/>
      <c r="R248" s="39"/>
    </row>
    <row r="249" spans="1:18" ht="15.75" customHeight="1">
      <c r="A249" s="39"/>
      <c r="B249" s="39"/>
      <c r="C249" s="39"/>
      <c r="D249" s="39"/>
      <c r="E249" s="39"/>
      <c r="F249" s="39"/>
      <c r="G249" s="39"/>
      <c r="H249" s="39"/>
      <c r="I249" s="39"/>
      <c r="J249" s="39"/>
      <c r="K249" s="39"/>
      <c r="L249" s="39"/>
      <c r="N249" s="216"/>
      <c r="O249" s="216"/>
      <c r="P249" s="39"/>
      <c r="Q249" s="39"/>
      <c r="R249" s="39"/>
    </row>
    <row r="250" spans="1:18" ht="15.75" customHeight="1">
      <c r="A250" s="39"/>
      <c r="B250" s="39"/>
      <c r="C250" s="39"/>
      <c r="D250" s="39"/>
      <c r="E250" s="39"/>
      <c r="F250" s="39"/>
      <c r="G250" s="39"/>
      <c r="H250" s="39"/>
      <c r="I250" s="39"/>
      <c r="J250" s="39"/>
      <c r="K250" s="39"/>
      <c r="L250" s="39"/>
      <c r="N250" s="216"/>
      <c r="O250" s="216"/>
      <c r="P250" s="39"/>
      <c r="Q250" s="39"/>
      <c r="R250" s="39"/>
    </row>
    <row r="251" spans="1:18" ht="15.75" customHeight="1">
      <c r="A251" s="39"/>
      <c r="B251" s="39"/>
      <c r="C251" s="39"/>
      <c r="D251" s="39"/>
      <c r="E251" s="39"/>
      <c r="F251" s="39"/>
      <c r="G251" s="39"/>
      <c r="H251" s="39"/>
      <c r="I251" s="39"/>
      <c r="J251" s="39"/>
      <c r="K251" s="39"/>
      <c r="L251" s="39"/>
      <c r="N251" s="216"/>
      <c r="O251" s="216"/>
      <c r="P251" s="39"/>
      <c r="Q251" s="39"/>
      <c r="R251" s="39"/>
    </row>
    <row r="252" spans="1:18" ht="15.75" customHeight="1">
      <c r="A252" s="39"/>
      <c r="B252" s="39"/>
      <c r="C252" s="39"/>
      <c r="D252" s="39"/>
      <c r="E252" s="39"/>
      <c r="F252" s="39"/>
      <c r="G252" s="39"/>
      <c r="H252" s="39"/>
      <c r="I252" s="39"/>
      <c r="J252" s="39"/>
      <c r="K252" s="39"/>
      <c r="L252" s="39"/>
      <c r="N252" s="216"/>
      <c r="O252" s="216"/>
      <c r="P252" s="39"/>
      <c r="Q252" s="39"/>
      <c r="R252" s="39"/>
    </row>
    <row r="253" spans="1:18" ht="15.75" customHeight="1">
      <c r="A253" s="39"/>
      <c r="B253" s="39"/>
      <c r="C253" s="39"/>
      <c r="D253" s="39"/>
      <c r="E253" s="39"/>
      <c r="F253" s="39"/>
      <c r="G253" s="39"/>
      <c r="H253" s="39"/>
      <c r="I253" s="39"/>
      <c r="J253" s="39"/>
      <c r="K253" s="39"/>
      <c r="L253" s="39"/>
      <c r="N253" s="216"/>
      <c r="O253" s="216"/>
      <c r="P253" s="39"/>
      <c r="Q253" s="39"/>
      <c r="R253" s="39"/>
    </row>
    <row r="254" spans="1:18" ht="15.75" customHeight="1">
      <c r="A254" s="39"/>
      <c r="B254" s="39"/>
      <c r="C254" s="39"/>
      <c r="D254" s="39"/>
      <c r="E254" s="39"/>
      <c r="F254" s="39"/>
      <c r="G254" s="39"/>
      <c r="H254" s="39"/>
      <c r="I254" s="39"/>
      <c r="J254" s="39"/>
      <c r="K254" s="39"/>
      <c r="L254" s="39"/>
      <c r="N254" s="216"/>
      <c r="O254" s="216"/>
      <c r="P254" s="39"/>
      <c r="Q254" s="39"/>
      <c r="R254" s="39"/>
    </row>
    <row r="255" spans="1:18" ht="15.75" customHeight="1">
      <c r="A255" s="39"/>
      <c r="B255" s="39"/>
      <c r="C255" s="39"/>
      <c r="D255" s="39"/>
      <c r="E255" s="39"/>
      <c r="F255" s="39"/>
      <c r="G255" s="39"/>
      <c r="H255" s="39"/>
      <c r="I255" s="39"/>
      <c r="J255" s="39"/>
      <c r="K255" s="39"/>
      <c r="L255" s="39"/>
      <c r="N255" s="216"/>
      <c r="O255" s="216"/>
      <c r="P255" s="39"/>
      <c r="Q255" s="39"/>
      <c r="R255" s="39"/>
    </row>
    <row r="256" spans="1:18" ht="15.75" customHeight="1">
      <c r="A256" s="39"/>
      <c r="B256" s="39"/>
      <c r="C256" s="39"/>
      <c r="D256" s="39"/>
      <c r="E256" s="39"/>
      <c r="F256" s="39"/>
      <c r="G256" s="39"/>
      <c r="H256" s="39"/>
      <c r="I256" s="39"/>
      <c r="J256" s="39"/>
      <c r="K256" s="39"/>
      <c r="L256" s="39"/>
      <c r="N256" s="216"/>
      <c r="O256" s="216"/>
      <c r="P256" s="39"/>
      <c r="Q256" s="39"/>
      <c r="R256" s="39"/>
    </row>
    <row r="257" spans="1:18" ht="15.75" customHeight="1">
      <c r="A257" s="39"/>
      <c r="B257" s="39"/>
      <c r="C257" s="39"/>
      <c r="D257" s="39"/>
      <c r="E257" s="39"/>
      <c r="F257" s="39"/>
      <c r="G257" s="39"/>
      <c r="H257" s="39"/>
      <c r="I257" s="39"/>
      <c r="J257" s="39"/>
      <c r="K257" s="39"/>
      <c r="L257" s="39"/>
      <c r="N257" s="216"/>
      <c r="O257" s="216"/>
      <c r="P257" s="39"/>
      <c r="Q257" s="39"/>
      <c r="R257" s="39"/>
    </row>
    <row r="258" spans="1:18" ht="15.75" customHeight="1">
      <c r="A258" s="39"/>
      <c r="B258" s="39"/>
      <c r="C258" s="39"/>
      <c r="D258" s="39"/>
      <c r="E258" s="39"/>
      <c r="F258" s="39"/>
      <c r="G258" s="39"/>
      <c r="H258" s="39"/>
      <c r="I258" s="39"/>
      <c r="J258" s="39"/>
      <c r="K258" s="39"/>
      <c r="L258" s="39"/>
      <c r="N258" s="216"/>
      <c r="O258" s="216"/>
      <c r="P258" s="39"/>
      <c r="Q258" s="39"/>
      <c r="R258" s="39"/>
    </row>
    <row r="259" spans="1:18" ht="15.75" customHeight="1">
      <c r="A259" s="39"/>
      <c r="B259" s="39"/>
      <c r="C259" s="39"/>
      <c r="D259" s="39"/>
      <c r="E259" s="39"/>
      <c r="F259" s="39"/>
      <c r="G259" s="39"/>
      <c r="H259" s="39"/>
      <c r="I259" s="39"/>
      <c r="J259" s="39"/>
      <c r="K259" s="39"/>
      <c r="L259" s="39"/>
      <c r="N259" s="216"/>
      <c r="O259" s="216"/>
      <c r="P259" s="39"/>
      <c r="Q259" s="39"/>
      <c r="R259" s="39"/>
    </row>
    <row r="260" spans="1:18" ht="15.75" customHeight="1">
      <c r="A260" s="39"/>
      <c r="B260" s="39"/>
      <c r="C260" s="39"/>
      <c r="D260" s="39"/>
      <c r="E260" s="39"/>
      <c r="F260" s="39"/>
      <c r="G260" s="39"/>
      <c r="H260" s="39"/>
      <c r="I260" s="39"/>
      <c r="J260" s="39"/>
      <c r="K260" s="39"/>
      <c r="L260" s="39"/>
      <c r="N260" s="216"/>
      <c r="O260" s="216"/>
      <c r="P260" s="39"/>
      <c r="Q260" s="39"/>
      <c r="R260" s="39"/>
    </row>
    <row r="261" spans="1:18" ht="15.75" customHeight="1">
      <c r="A261" s="39"/>
      <c r="B261" s="39"/>
      <c r="C261" s="39"/>
      <c r="D261" s="39"/>
      <c r="E261" s="39"/>
      <c r="F261" s="39"/>
      <c r="G261" s="39"/>
      <c r="H261" s="39"/>
      <c r="I261" s="39"/>
      <c r="J261" s="39"/>
      <c r="K261" s="39"/>
      <c r="L261" s="39"/>
      <c r="N261" s="216"/>
      <c r="O261" s="216"/>
      <c r="P261" s="39"/>
      <c r="Q261" s="39"/>
      <c r="R261" s="39"/>
    </row>
    <row r="262" spans="1:18" ht="15.75" customHeight="1">
      <c r="A262" s="39"/>
      <c r="B262" s="39"/>
      <c r="C262" s="39"/>
      <c r="D262" s="39"/>
      <c r="E262" s="39"/>
      <c r="F262" s="39"/>
      <c r="G262" s="39"/>
      <c r="H262" s="39"/>
      <c r="I262" s="39"/>
      <c r="J262" s="39"/>
      <c r="K262" s="39"/>
      <c r="L262" s="39"/>
      <c r="N262" s="216"/>
      <c r="O262" s="216"/>
      <c r="P262" s="39"/>
      <c r="Q262" s="39"/>
      <c r="R262" s="39"/>
    </row>
    <row r="263" spans="1:18" ht="15.75" customHeight="1">
      <c r="A263" s="39"/>
      <c r="B263" s="39"/>
      <c r="C263" s="39"/>
      <c r="D263" s="39"/>
      <c r="E263" s="39"/>
      <c r="F263" s="39"/>
      <c r="G263" s="39"/>
      <c r="H263" s="39"/>
      <c r="I263" s="39"/>
      <c r="J263" s="39"/>
      <c r="K263" s="39"/>
      <c r="L263" s="39"/>
      <c r="N263" s="216"/>
      <c r="O263" s="216"/>
      <c r="P263" s="39"/>
      <c r="Q263" s="39"/>
      <c r="R263" s="39"/>
    </row>
    <row r="264" spans="1:18" ht="15.75" customHeight="1">
      <c r="A264" s="39"/>
      <c r="B264" s="39"/>
      <c r="C264" s="39"/>
      <c r="D264" s="39"/>
      <c r="E264" s="39"/>
      <c r="F264" s="39"/>
      <c r="G264" s="39"/>
      <c r="H264" s="39"/>
      <c r="I264" s="39"/>
      <c r="J264" s="39"/>
      <c r="K264" s="39"/>
      <c r="L264" s="39"/>
      <c r="N264" s="216"/>
      <c r="O264" s="216"/>
      <c r="P264" s="39"/>
      <c r="Q264" s="39"/>
      <c r="R264" s="39"/>
    </row>
    <row r="265" spans="1:18" ht="15.75" customHeight="1">
      <c r="A265" s="39"/>
      <c r="B265" s="39"/>
      <c r="C265" s="39"/>
      <c r="D265" s="39"/>
      <c r="E265" s="39"/>
      <c r="F265" s="39"/>
      <c r="G265" s="39"/>
      <c r="H265" s="39"/>
      <c r="I265" s="39"/>
      <c r="J265" s="39"/>
      <c r="K265" s="39"/>
      <c r="L265" s="39"/>
      <c r="N265" s="216"/>
      <c r="O265" s="216"/>
      <c r="P265" s="39"/>
      <c r="Q265" s="39"/>
      <c r="R265" s="39"/>
    </row>
    <row r="266" spans="1:18" ht="15.75" customHeight="1">
      <c r="A266" s="39"/>
      <c r="B266" s="39"/>
      <c r="C266" s="39"/>
      <c r="D266" s="39"/>
      <c r="E266" s="39"/>
      <c r="F266" s="39"/>
      <c r="G266" s="39"/>
      <c r="H266" s="39"/>
      <c r="I266" s="39"/>
      <c r="J266" s="39"/>
      <c r="K266" s="39"/>
      <c r="L266" s="39"/>
      <c r="N266" s="216"/>
      <c r="O266" s="216"/>
      <c r="P266" s="39"/>
      <c r="Q266" s="39"/>
      <c r="R266" s="39"/>
    </row>
    <row r="267" spans="1:18" ht="15.75" customHeight="1">
      <c r="A267" s="39"/>
      <c r="B267" s="39"/>
      <c r="C267" s="39"/>
      <c r="D267" s="39"/>
      <c r="E267" s="39"/>
      <c r="F267" s="39"/>
      <c r="G267" s="39"/>
      <c r="H267" s="39"/>
      <c r="I267" s="39"/>
      <c r="J267" s="39"/>
      <c r="K267" s="39"/>
      <c r="L267" s="39"/>
      <c r="N267" s="216"/>
      <c r="O267" s="216"/>
      <c r="P267" s="39"/>
      <c r="Q267" s="39"/>
      <c r="R267" s="39"/>
    </row>
    <row r="268" spans="1:18" ht="15.75" customHeight="1">
      <c r="A268" s="39"/>
      <c r="B268" s="39"/>
      <c r="C268" s="39"/>
      <c r="D268" s="39"/>
      <c r="E268" s="39"/>
      <c r="F268" s="39"/>
      <c r="G268" s="39"/>
      <c r="H268" s="39"/>
      <c r="I268" s="39"/>
      <c r="J268" s="39"/>
      <c r="K268" s="39"/>
      <c r="L268" s="39"/>
      <c r="N268" s="216"/>
      <c r="O268" s="216"/>
      <c r="P268" s="39"/>
      <c r="Q268" s="39"/>
      <c r="R268" s="39"/>
    </row>
    <row r="269" spans="1:18" ht="15.75" customHeight="1">
      <c r="A269" s="39"/>
      <c r="B269" s="39"/>
      <c r="C269" s="39"/>
      <c r="D269" s="39"/>
      <c r="E269" s="39"/>
      <c r="F269" s="39"/>
      <c r="G269" s="39"/>
      <c r="H269" s="39"/>
      <c r="I269" s="39"/>
      <c r="J269" s="39"/>
      <c r="K269" s="39"/>
      <c r="L269" s="39"/>
      <c r="N269" s="216"/>
      <c r="O269" s="216"/>
      <c r="P269" s="39"/>
      <c r="Q269" s="39"/>
      <c r="R269" s="39"/>
    </row>
    <row r="270" spans="1:18" ht="15.75" customHeight="1">
      <c r="A270" s="39"/>
      <c r="B270" s="39"/>
      <c r="C270" s="39"/>
      <c r="D270" s="39"/>
      <c r="E270" s="39"/>
      <c r="F270" s="39"/>
      <c r="G270" s="39"/>
      <c r="H270" s="39"/>
      <c r="I270" s="39"/>
      <c r="J270" s="39"/>
      <c r="K270" s="39"/>
      <c r="L270" s="39"/>
      <c r="N270" s="216"/>
      <c r="O270" s="216"/>
      <c r="P270" s="39"/>
      <c r="Q270" s="39"/>
      <c r="R270" s="39"/>
    </row>
    <row r="271" spans="1:18" ht="15.75" customHeight="1">
      <c r="A271" s="39"/>
      <c r="B271" s="39"/>
      <c r="C271" s="39"/>
      <c r="D271" s="39"/>
      <c r="E271" s="39"/>
      <c r="F271" s="39"/>
      <c r="G271" s="39"/>
      <c r="H271" s="39"/>
      <c r="I271" s="39"/>
      <c r="J271" s="39"/>
      <c r="K271" s="39"/>
      <c r="L271" s="39"/>
      <c r="N271" s="216"/>
      <c r="O271" s="216"/>
      <c r="P271" s="39"/>
      <c r="Q271" s="39"/>
      <c r="R271" s="39"/>
    </row>
    <row r="272" spans="1:18" ht="15.75" customHeight="1">
      <c r="A272" s="39"/>
      <c r="B272" s="39"/>
      <c r="C272" s="39"/>
      <c r="D272" s="39"/>
      <c r="E272" s="39"/>
      <c r="F272" s="39"/>
      <c r="G272" s="39"/>
      <c r="H272" s="39"/>
      <c r="I272" s="39"/>
      <c r="J272" s="39"/>
      <c r="K272" s="39"/>
      <c r="L272" s="39"/>
      <c r="N272" s="216"/>
      <c r="O272" s="216"/>
      <c r="P272" s="39"/>
      <c r="Q272" s="39"/>
      <c r="R272" s="39"/>
    </row>
    <row r="273" spans="1:18" ht="15.75" customHeight="1">
      <c r="A273" s="39"/>
      <c r="B273" s="39"/>
      <c r="C273" s="39"/>
      <c r="D273" s="39"/>
      <c r="E273" s="39"/>
      <c r="F273" s="39"/>
      <c r="G273" s="39"/>
      <c r="H273" s="39"/>
      <c r="I273" s="39"/>
      <c r="J273" s="39"/>
      <c r="K273" s="39"/>
      <c r="L273" s="39"/>
      <c r="N273" s="216"/>
      <c r="O273" s="216"/>
      <c r="P273" s="39"/>
      <c r="Q273" s="39"/>
      <c r="R273" s="39"/>
    </row>
    <row r="274" spans="1:18" ht="15.75" customHeight="1">
      <c r="A274" s="39"/>
      <c r="B274" s="39"/>
      <c r="C274" s="39"/>
      <c r="D274" s="39"/>
      <c r="E274" s="39"/>
      <c r="F274" s="39"/>
      <c r="G274" s="39"/>
      <c r="H274" s="39"/>
      <c r="I274" s="39"/>
      <c r="J274" s="39"/>
      <c r="K274" s="39"/>
      <c r="L274" s="39"/>
      <c r="N274" s="216"/>
      <c r="O274" s="216"/>
      <c r="P274" s="39"/>
      <c r="Q274" s="39"/>
      <c r="R274" s="39"/>
    </row>
    <row r="275" spans="1:18" ht="15.75" customHeight="1">
      <c r="A275" s="39"/>
      <c r="B275" s="39"/>
      <c r="C275" s="39"/>
      <c r="D275" s="39"/>
      <c r="E275" s="39"/>
      <c r="F275" s="39"/>
      <c r="G275" s="39"/>
      <c r="H275" s="39"/>
      <c r="I275" s="39"/>
      <c r="J275" s="39"/>
      <c r="K275" s="39"/>
      <c r="L275" s="39"/>
      <c r="N275" s="216"/>
      <c r="O275" s="216"/>
      <c r="P275" s="39"/>
      <c r="Q275" s="39"/>
      <c r="R275" s="39"/>
    </row>
    <row r="276" spans="1:18" ht="15.75" customHeight="1">
      <c r="A276" s="39"/>
      <c r="B276" s="39"/>
      <c r="C276" s="39"/>
      <c r="D276" s="39"/>
      <c r="E276" s="39"/>
      <c r="F276" s="39"/>
      <c r="G276" s="39"/>
      <c r="H276" s="39"/>
      <c r="I276" s="39"/>
      <c r="J276" s="39"/>
      <c r="K276" s="39"/>
      <c r="L276" s="39"/>
      <c r="N276" s="216"/>
      <c r="O276" s="216"/>
      <c r="P276" s="39"/>
      <c r="Q276" s="39"/>
      <c r="R276" s="39"/>
    </row>
    <row r="277" spans="1:18" ht="15.75" customHeight="1">
      <c r="A277" s="39"/>
      <c r="B277" s="39"/>
      <c r="C277" s="39"/>
      <c r="D277" s="39"/>
      <c r="E277" s="39"/>
      <c r="F277" s="39"/>
      <c r="G277" s="39"/>
      <c r="H277" s="39"/>
      <c r="I277" s="39"/>
      <c r="J277" s="39"/>
      <c r="K277" s="39"/>
      <c r="L277" s="39"/>
      <c r="N277" s="216"/>
      <c r="O277" s="216"/>
      <c r="P277" s="39"/>
      <c r="Q277" s="39"/>
      <c r="R277" s="39"/>
    </row>
    <row r="278" spans="1:18" ht="15.75" customHeight="1">
      <c r="A278" s="39"/>
      <c r="B278" s="39"/>
      <c r="C278" s="39"/>
      <c r="D278" s="39"/>
      <c r="E278" s="39"/>
      <c r="F278" s="39"/>
      <c r="G278" s="39"/>
      <c r="H278" s="39"/>
      <c r="I278" s="39"/>
      <c r="J278" s="39"/>
      <c r="K278" s="39"/>
      <c r="L278" s="39"/>
      <c r="N278" s="216"/>
      <c r="O278" s="216"/>
      <c r="P278" s="39"/>
      <c r="Q278" s="39"/>
      <c r="R278" s="39"/>
    </row>
    <row r="279" spans="1:18" ht="15.75" customHeight="1">
      <c r="A279" s="39"/>
      <c r="B279" s="39"/>
      <c r="C279" s="39"/>
      <c r="D279" s="39"/>
      <c r="E279" s="39"/>
      <c r="F279" s="39"/>
      <c r="G279" s="39"/>
      <c r="H279" s="39"/>
      <c r="I279" s="39"/>
      <c r="J279" s="39"/>
      <c r="K279" s="39"/>
      <c r="L279" s="39"/>
      <c r="N279" s="216"/>
      <c r="O279" s="216"/>
      <c r="P279" s="39"/>
      <c r="Q279" s="39"/>
      <c r="R279" s="39"/>
    </row>
    <row r="280" spans="1:18" ht="15.75" customHeight="1">
      <c r="A280" s="39"/>
      <c r="B280" s="39"/>
      <c r="C280" s="39"/>
      <c r="D280" s="39"/>
      <c r="E280" s="39"/>
      <c r="F280" s="39"/>
      <c r="G280" s="39"/>
      <c r="H280" s="39"/>
      <c r="I280" s="39"/>
      <c r="J280" s="39"/>
      <c r="K280" s="39"/>
      <c r="L280" s="39"/>
      <c r="N280" s="216"/>
      <c r="O280" s="216"/>
      <c r="P280" s="39"/>
      <c r="Q280" s="39"/>
      <c r="R280" s="39"/>
    </row>
    <row r="281" spans="1:18" ht="15.75" customHeight="1">
      <c r="A281" s="39"/>
      <c r="B281" s="39"/>
      <c r="C281" s="39"/>
      <c r="D281" s="39"/>
      <c r="E281" s="39"/>
      <c r="F281" s="39"/>
      <c r="G281" s="39"/>
      <c r="H281" s="39"/>
      <c r="I281" s="39"/>
      <c r="J281" s="39"/>
      <c r="K281" s="39"/>
      <c r="L281" s="39"/>
      <c r="N281" s="216"/>
      <c r="O281" s="216"/>
      <c r="P281" s="39"/>
      <c r="Q281" s="39"/>
      <c r="R281" s="39"/>
    </row>
    <row r="282" spans="1:18" ht="15.75" customHeight="1">
      <c r="A282" s="39"/>
      <c r="B282" s="39"/>
      <c r="C282" s="39"/>
      <c r="D282" s="39"/>
      <c r="E282" s="39"/>
      <c r="F282" s="39"/>
      <c r="G282" s="39"/>
      <c r="H282" s="39"/>
      <c r="I282" s="39"/>
      <c r="J282" s="39"/>
      <c r="K282" s="39"/>
      <c r="L282" s="39"/>
      <c r="N282" s="216"/>
      <c r="O282" s="216"/>
      <c r="P282" s="39"/>
      <c r="Q282" s="39"/>
      <c r="R282" s="39"/>
    </row>
    <row r="283" spans="1:18" ht="15.75" customHeight="1">
      <c r="A283" s="39"/>
      <c r="B283" s="39"/>
      <c r="C283" s="39"/>
      <c r="D283" s="39"/>
      <c r="E283" s="39"/>
      <c r="F283" s="39"/>
      <c r="G283" s="39"/>
      <c r="H283" s="39"/>
      <c r="I283" s="39"/>
      <c r="J283" s="39"/>
      <c r="K283" s="39"/>
      <c r="L283" s="39"/>
      <c r="N283" s="216"/>
      <c r="O283" s="216"/>
      <c r="P283" s="39"/>
      <c r="Q283" s="39"/>
      <c r="R283" s="39"/>
    </row>
    <row r="284" spans="1:18" ht="15.75" customHeight="1">
      <c r="A284" s="39"/>
      <c r="B284" s="39"/>
      <c r="C284" s="39"/>
      <c r="D284" s="39"/>
      <c r="E284" s="39"/>
      <c r="F284" s="39"/>
      <c r="G284" s="39"/>
      <c r="H284" s="39"/>
      <c r="I284" s="39"/>
      <c r="J284" s="39"/>
      <c r="K284" s="39"/>
      <c r="L284" s="39"/>
      <c r="N284" s="216"/>
      <c r="O284" s="216"/>
      <c r="P284" s="39"/>
      <c r="Q284" s="39"/>
      <c r="R284" s="39"/>
    </row>
    <row r="285" spans="1:18" ht="15.75" customHeight="1">
      <c r="A285" s="39"/>
      <c r="B285" s="39"/>
      <c r="C285" s="39"/>
      <c r="D285" s="39"/>
      <c r="E285" s="39"/>
      <c r="F285" s="39"/>
      <c r="G285" s="39"/>
      <c r="H285" s="39"/>
      <c r="I285" s="39"/>
      <c r="J285" s="39"/>
      <c r="K285" s="39"/>
      <c r="L285" s="39"/>
      <c r="N285" s="216"/>
      <c r="O285" s="216"/>
      <c r="P285" s="39"/>
      <c r="Q285" s="39"/>
      <c r="R285" s="39"/>
    </row>
    <row r="286" spans="1:18" ht="15.75" customHeight="1">
      <c r="A286" s="39"/>
      <c r="B286" s="39"/>
      <c r="C286" s="39"/>
      <c r="D286" s="39"/>
      <c r="E286" s="39"/>
      <c r="F286" s="39"/>
      <c r="G286" s="39"/>
      <c r="H286" s="39"/>
      <c r="I286" s="39"/>
      <c r="J286" s="39"/>
      <c r="K286" s="39"/>
      <c r="L286" s="39"/>
      <c r="N286" s="216"/>
      <c r="O286" s="216"/>
      <c r="P286" s="39"/>
      <c r="Q286" s="39"/>
      <c r="R286" s="39"/>
    </row>
    <row r="287" spans="1:18" ht="15.75" customHeight="1">
      <c r="A287" s="39"/>
      <c r="B287" s="39"/>
      <c r="C287" s="39"/>
      <c r="D287" s="39"/>
      <c r="E287" s="39"/>
      <c r="F287" s="39"/>
      <c r="G287" s="39"/>
      <c r="H287" s="39"/>
      <c r="I287" s="39"/>
      <c r="J287" s="39"/>
      <c r="K287" s="39"/>
      <c r="L287" s="39"/>
      <c r="N287" s="216"/>
      <c r="O287" s="216"/>
      <c r="P287" s="39"/>
      <c r="Q287" s="39"/>
      <c r="R287" s="39"/>
    </row>
    <row r="288" spans="1:18" ht="15.75" customHeight="1">
      <c r="A288" s="39"/>
      <c r="B288" s="39"/>
      <c r="C288" s="39"/>
      <c r="D288" s="39"/>
      <c r="E288" s="39"/>
      <c r="F288" s="39"/>
      <c r="G288" s="39"/>
      <c r="H288" s="39"/>
      <c r="I288" s="39"/>
      <c r="J288" s="39"/>
      <c r="K288" s="39"/>
      <c r="L288" s="39"/>
      <c r="N288" s="216"/>
      <c r="O288" s="216"/>
      <c r="P288" s="39"/>
      <c r="Q288" s="39"/>
      <c r="R288" s="39"/>
    </row>
    <row r="289" spans="1:18" ht="15.75" customHeight="1">
      <c r="A289" s="39"/>
      <c r="B289" s="39"/>
      <c r="C289" s="39"/>
      <c r="D289" s="39"/>
      <c r="E289" s="39"/>
      <c r="F289" s="39"/>
      <c r="G289" s="39"/>
      <c r="H289" s="39"/>
      <c r="I289" s="39"/>
      <c r="J289" s="39"/>
      <c r="K289" s="39"/>
      <c r="L289" s="39"/>
      <c r="N289" s="216"/>
      <c r="O289" s="216"/>
      <c r="P289" s="39"/>
      <c r="Q289" s="39"/>
      <c r="R289" s="39"/>
    </row>
    <row r="290" spans="1:18" ht="15.75" customHeight="1">
      <c r="A290" s="39"/>
      <c r="B290" s="39"/>
      <c r="C290" s="39"/>
      <c r="D290" s="39"/>
      <c r="E290" s="39"/>
      <c r="F290" s="39"/>
      <c r="G290" s="39"/>
      <c r="H290" s="39"/>
      <c r="I290" s="39"/>
      <c r="J290" s="39"/>
      <c r="K290" s="39"/>
      <c r="L290" s="39"/>
      <c r="N290" s="216"/>
      <c r="O290" s="216"/>
      <c r="P290" s="39"/>
      <c r="Q290" s="39"/>
      <c r="R290" s="39"/>
    </row>
    <row r="291" spans="1:18" ht="15.75" customHeight="1">
      <c r="A291" s="39"/>
      <c r="B291" s="39"/>
      <c r="C291" s="39"/>
      <c r="D291" s="39"/>
      <c r="E291" s="39"/>
      <c r="F291" s="39"/>
      <c r="G291" s="39"/>
      <c r="H291" s="39"/>
      <c r="I291" s="39"/>
      <c r="J291" s="39"/>
      <c r="K291" s="39"/>
      <c r="L291" s="39"/>
      <c r="N291" s="216"/>
      <c r="O291" s="216"/>
      <c r="P291" s="39"/>
      <c r="Q291" s="39"/>
      <c r="R291" s="39"/>
    </row>
    <row r="292" spans="1:18" ht="15.75" customHeight="1">
      <c r="A292" s="39"/>
      <c r="B292" s="39"/>
      <c r="C292" s="39"/>
      <c r="D292" s="39"/>
      <c r="E292" s="39"/>
      <c r="F292" s="39"/>
      <c r="G292" s="39"/>
      <c r="H292" s="39"/>
      <c r="I292" s="39"/>
      <c r="J292" s="39"/>
      <c r="K292" s="39"/>
      <c r="L292" s="39"/>
      <c r="N292" s="216"/>
      <c r="O292" s="216"/>
      <c r="P292" s="39"/>
      <c r="Q292" s="39"/>
      <c r="R292" s="39"/>
    </row>
    <row r="293" spans="1:18" ht="15.75" customHeight="1">
      <c r="A293" s="39"/>
      <c r="B293" s="39"/>
      <c r="C293" s="39"/>
      <c r="D293" s="39"/>
      <c r="E293" s="39"/>
      <c r="F293" s="39"/>
      <c r="G293" s="39"/>
      <c r="H293" s="39"/>
      <c r="I293" s="39"/>
      <c r="J293" s="39"/>
      <c r="K293" s="39"/>
      <c r="L293" s="39"/>
      <c r="N293" s="216"/>
      <c r="O293" s="216"/>
      <c r="P293" s="39"/>
      <c r="Q293" s="39"/>
      <c r="R293" s="39"/>
    </row>
    <row r="294" spans="1:18" ht="15.75" customHeight="1">
      <c r="A294" s="39"/>
      <c r="B294" s="39"/>
      <c r="C294" s="39"/>
      <c r="D294" s="39"/>
      <c r="E294" s="39"/>
      <c r="F294" s="39"/>
      <c r="G294" s="39"/>
      <c r="H294" s="39"/>
      <c r="I294" s="39"/>
      <c r="J294" s="39"/>
      <c r="K294" s="39"/>
      <c r="L294" s="39"/>
      <c r="N294" s="216"/>
      <c r="O294" s="216"/>
      <c r="P294" s="39"/>
      <c r="Q294" s="39"/>
      <c r="R294" s="39"/>
    </row>
    <row r="295" spans="1:18" ht="15.75" customHeight="1">
      <c r="A295" s="39"/>
      <c r="B295" s="39"/>
      <c r="C295" s="39"/>
      <c r="D295" s="39"/>
      <c r="E295" s="39"/>
      <c r="F295" s="39"/>
      <c r="G295" s="39"/>
      <c r="H295" s="39"/>
      <c r="I295" s="39"/>
      <c r="J295" s="39"/>
      <c r="K295" s="39"/>
      <c r="L295" s="39"/>
      <c r="N295" s="216"/>
      <c r="O295" s="216"/>
      <c r="P295" s="39"/>
      <c r="Q295" s="39"/>
      <c r="R295" s="39"/>
    </row>
    <row r="296" spans="1:18" ht="15.75" customHeight="1">
      <c r="A296" s="39"/>
      <c r="B296" s="39"/>
      <c r="C296" s="39"/>
      <c r="D296" s="39"/>
      <c r="E296" s="39"/>
      <c r="F296" s="39"/>
      <c r="G296" s="39"/>
      <c r="H296" s="39"/>
      <c r="I296" s="39"/>
      <c r="J296" s="39"/>
      <c r="K296" s="39"/>
      <c r="L296" s="39"/>
      <c r="N296" s="216"/>
      <c r="O296" s="216"/>
      <c r="P296" s="39"/>
      <c r="Q296" s="39"/>
      <c r="R296" s="39"/>
    </row>
    <row r="297" spans="1:18" ht="15.75" customHeight="1">
      <c r="A297" s="39"/>
      <c r="B297" s="39"/>
      <c r="C297" s="39"/>
      <c r="D297" s="39"/>
      <c r="E297" s="39"/>
      <c r="F297" s="39"/>
      <c r="G297" s="39"/>
      <c r="H297" s="39"/>
      <c r="I297" s="39"/>
      <c r="J297" s="39"/>
      <c r="K297" s="39"/>
      <c r="L297" s="39"/>
      <c r="N297" s="216"/>
      <c r="O297" s="216"/>
      <c r="P297" s="39"/>
      <c r="Q297" s="39"/>
      <c r="R297" s="39"/>
    </row>
    <row r="298" spans="1:18" ht="15.75" customHeight="1">
      <c r="A298" s="39"/>
      <c r="B298" s="39"/>
      <c r="C298" s="39"/>
      <c r="D298" s="39"/>
      <c r="E298" s="39"/>
      <c r="F298" s="39"/>
      <c r="G298" s="39"/>
      <c r="H298" s="39"/>
      <c r="I298" s="39"/>
      <c r="J298" s="39"/>
      <c r="K298" s="39"/>
      <c r="L298" s="39"/>
      <c r="N298" s="216"/>
      <c r="O298" s="216"/>
      <c r="P298" s="39"/>
      <c r="Q298" s="39"/>
      <c r="R298" s="39"/>
    </row>
    <row r="299" spans="1:18" ht="15.75" customHeight="1">
      <c r="A299" s="39"/>
      <c r="B299" s="39"/>
      <c r="C299" s="39"/>
      <c r="D299" s="39"/>
      <c r="E299" s="39"/>
      <c r="F299" s="39"/>
      <c r="G299" s="39"/>
      <c r="H299" s="39"/>
      <c r="I299" s="39"/>
      <c r="J299" s="39"/>
      <c r="K299" s="39"/>
      <c r="L299" s="39"/>
      <c r="N299" s="216"/>
      <c r="O299" s="216"/>
      <c r="P299" s="39"/>
      <c r="Q299" s="39"/>
      <c r="R299" s="39"/>
    </row>
    <row r="300" spans="1:18" ht="15.75" customHeight="1">
      <c r="A300" s="39"/>
      <c r="B300" s="39"/>
      <c r="C300" s="39"/>
      <c r="D300" s="39"/>
      <c r="E300" s="39"/>
      <c r="F300" s="39"/>
      <c r="G300" s="39"/>
      <c r="H300" s="39"/>
      <c r="I300" s="39"/>
      <c r="J300" s="39"/>
      <c r="K300" s="39"/>
      <c r="L300" s="39"/>
      <c r="N300" s="216"/>
      <c r="O300" s="216"/>
      <c r="P300" s="39"/>
      <c r="Q300" s="39"/>
      <c r="R300" s="39"/>
    </row>
    <row r="301" spans="1:18" ht="15.75" customHeight="1">
      <c r="A301" s="39"/>
      <c r="B301" s="39"/>
      <c r="C301" s="39"/>
      <c r="D301" s="39"/>
      <c r="E301" s="39"/>
      <c r="F301" s="39"/>
      <c r="G301" s="39"/>
      <c r="H301" s="39"/>
      <c r="I301" s="39"/>
      <c r="J301" s="39"/>
      <c r="K301" s="39"/>
      <c r="L301" s="39"/>
      <c r="N301" s="216"/>
      <c r="O301" s="216"/>
      <c r="P301" s="39"/>
      <c r="Q301" s="39"/>
      <c r="R301" s="39"/>
    </row>
    <row r="302" spans="1:18" ht="15.75" customHeight="1">
      <c r="A302" s="39"/>
      <c r="B302" s="39"/>
      <c r="C302" s="39"/>
      <c r="D302" s="39"/>
      <c r="E302" s="39"/>
      <c r="F302" s="39"/>
      <c r="G302" s="39"/>
      <c r="H302" s="39"/>
      <c r="I302" s="39"/>
      <c r="J302" s="39"/>
      <c r="K302" s="39"/>
      <c r="L302" s="39"/>
      <c r="N302" s="216"/>
      <c r="O302" s="216"/>
      <c r="P302" s="39"/>
      <c r="Q302" s="39"/>
      <c r="R302" s="39"/>
    </row>
    <row r="303" spans="1:18" ht="15.75" customHeight="1">
      <c r="A303" s="39"/>
      <c r="B303" s="39"/>
      <c r="C303" s="39"/>
      <c r="D303" s="39"/>
      <c r="E303" s="39"/>
      <c r="F303" s="39"/>
      <c r="G303" s="39"/>
      <c r="H303" s="39"/>
      <c r="I303" s="39"/>
      <c r="J303" s="39"/>
      <c r="K303" s="39"/>
      <c r="L303" s="39"/>
      <c r="N303" s="216"/>
      <c r="O303" s="216"/>
      <c r="P303" s="39"/>
      <c r="Q303" s="39"/>
      <c r="R303" s="39"/>
    </row>
    <row r="304" spans="1:18" ht="15.75" customHeight="1">
      <c r="A304" s="39"/>
      <c r="B304" s="39"/>
      <c r="C304" s="39"/>
      <c r="D304" s="39"/>
      <c r="E304" s="39"/>
      <c r="F304" s="39"/>
      <c r="G304" s="39"/>
      <c r="H304" s="39"/>
      <c r="I304" s="39"/>
      <c r="J304" s="39"/>
      <c r="K304" s="39"/>
      <c r="L304" s="39"/>
      <c r="N304" s="216"/>
      <c r="O304" s="216"/>
      <c r="P304" s="39"/>
      <c r="Q304" s="39"/>
      <c r="R304" s="39"/>
    </row>
    <row r="305" spans="1:18" ht="15.75" customHeight="1">
      <c r="A305" s="39"/>
      <c r="B305" s="39"/>
      <c r="C305" s="39"/>
      <c r="D305" s="39"/>
      <c r="E305" s="39"/>
      <c r="F305" s="39"/>
      <c r="G305" s="39"/>
      <c r="H305" s="39"/>
      <c r="I305" s="39"/>
      <c r="J305" s="39"/>
      <c r="K305" s="39"/>
      <c r="L305" s="39"/>
      <c r="N305" s="216"/>
      <c r="O305" s="216"/>
      <c r="P305" s="39"/>
      <c r="Q305" s="39"/>
      <c r="R305" s="39"/>
    </row>
    <row r="306" spans="1:18" ht="15.75" customHeight="1">
      <c r="A306" s="39"/>
      <c r="B306" s="39"/>
      <c r="C306" s="39"/>
      <c r="D306" s="39"/>
      <c r="E306" s="39"/>
      <c r="F306" s="39"/>
      <c r="G306" s="39"/>
      <c r="H306" s="39"/>
      <c r="I306" s="39"/>
      <c r="J306" s="39"/>
      <c r="K306" s="39"/>
      <c r="L306" s="39"/>
      <c r="N306" s="216"/>
      <c r="O306" s="216"/>
      <c r="P306" s="39"/>
      <c r="Q306" s="39"/>
      <c r="R306" s="39"/>
    </row>
    <row r="307" spans="1:18" ht="15.75" customHeight="1">
      <c r="A307" s="39"/>
      <c r="B307" s="39"/>
      <c r="C307" s="39"/>
      <c r="D307" s="39"/>
      <c r="E307" s="39"/>
      <c r="F307" s="39"/>
      <c r="G307" s="39"/>
      <c r="H307" s="39"/>
      <c r="I307" s="39"/>
      <c r="J307" s="39"/>
      <c r="K307" s="39"/>
      <c r="L307" s="39"/>
      <c r="N307" s="216"/>
      <c r="O307" s="216"/>
      <c r="P307" s="39"/>
      <c r="Q307" s="39"/>
      <c r="R307" s="39"/>
    </row>
    <row r="308" spans="1:18" ht="15.75" customHeight="1">
      <c r="A308" s="39"/>
      <c r="B308" s="39"/>
      <c r="C308" s="39"/>
      <c r="D308" s="39"/>
      <c r="E308" s="39"/>
      <c r="F308" s="39"/>
      <c r="G308" s="39"/>
      <c r="H308" s="39"/>
      <c r="I308" s="39"/>
      <c r="J308" s="39"/>
      <c r="K308" s="39"/>
      <c r="L308" s="39"/>
      <c r="N308" s="216"/>
      <c r="O308" s="216"/>
      <c r="P308" s="39"/>
      <c r="Q308" s="39"/>
      <c r="R308" s="39"/>
    </row>
    <row r="309" spans="1:18" ht="15.75" customHeight="1">
      <c r="A309" s="39"/>
      <c r="B309" s="39"/>
      <c r="C309" s="39"/>
      <c r="D309" s="39"/>
      <c r="E309" s="39"/>
      <c r="F309" s="39"/>
      <c r="G309" s="39"/>
      <c r="H309" s="39"/>
      <c r="I309" s="39"/>
      <c r="J309" s="39"/>
      <c r="K309" s="39"/>
      <c r="L309" s="39"/>
      <c r="N309" s="216"/>
      <c r="O309" s="216"/>
      <c r="P309" s="39"/>
      <c r="Q309" s="39"/>
      <c r="R309" s="39"/>
    </row>
    <row r="310" spans="1:18" ht="15.75" customHeight="1">
      <c r="A310" s="39"/>
      <c r="B310" s="39"/>
      <c r="C310" s="39"/>
      <c r="D310" s="39"/>
      <c r="E310" s="39"/>
      <c r="F310" s="39"/>
      <c r="G310" s="39"/>
      <c r="H310" s="39"/>
      <c r="I310" s="39"/>
      <c r="J310" s="39"/>
      <c r="K310" s="39"/>
      <c r="L310" s="39"/>
      <c r="N310" s="216"/>
      <c r="O310" s="216"/>
      <c r="P310" s="39"/>
      <c r="Q310" s="39"/>
      <c r="R310" s="39"/>
    </row>
    <row r="311" spans="1:18" ht="15.75" customHeight="1">
      <c r="A311" s="39"/>
      <c r="B311" s="39"/>
      <c r="C311" s="39"/>
      <c r="D311" s="39"/>
      <c r="E311" s="39"/>
      <c r="F311" s="39"/>
      <c r="G311" s="39"/>
      <c r="H311" s="39"/>
      <c r="I311" s="39"/>
      <c r="J311" s="39"/>
      <c r="K311" s="39"/>
      <c r="L311" s="39"/>
      <c r="N311" s="216"/>
      <c r="O311" s="216"/>
      <c r="P311" s="39"/>
      <c r="Q311" s="39"/>
      <c r="R311" s="39"/>
    </row>
    <row r="312" spans="1:18" ht="15.75" customHeight="1">
      <c r="A312" s="39"/>
      <c r="B312" s="39"/>
      <c r="C312" s="39"/>
      <c r="D312" s="39"/>
      <c r="E312" s="39"/>
      <c r="F312" s="39"/>
      <c r="G312" s="39"/>
      <c r="H312" s="39"/>
      <c r="I312" s="39"/>
      <c r="J312" s="39"/>
      <c r="K312" s="39"/>
      <c r="L312" s="39"/>
      <c r="N312" s="216"/>
      <c r="O312" s="216"/>
      <c r="P312" s="39"/>
      <c r="Q312" s="39"/>
      <c r="R312" s="39"/>
    </row>
    <row r="313" spans="1:18" ht="15.75" customHeight="1">
      <c r="A313" s="39"/>
      <c r="B313" s="39"/>
      <c r="C313" s="39"/>
      <c r="D313" s="39"/>
      <c r="E313" s="39"/>
      <c r="F313" s="39"/>
      <c r="G313" s="39"/>
      <c r="H313" s="39"/>
      <c r="I313" s="39"/>
      <c r="J313" s="39"/>
      <c r="K313" s="39"/>
      <c r="L313" s="39"/>
      <c r="N313" s="216"/>
      <c r="O313" s="216"/>
      <c r="P313" s="39"/>
      <c r="Q313" s="39"/>
      <c r="R313" s="39"/>
    </row>
    <row r="314" spans="1:18" ht="15.75" customHeight="1">
      <c r="A314" s="39"/>
      <c r="B314" s="39"/>
      <c r="C314" s="39"/>
      <c r="D314" s="39"/>
      <c r="E314" s="39"/>
      <c r="F314" s="39"/>
      <c r="G314" s="39"/>
      <c r="H314" s="39"/>
      <c r="I314" s="39"/>
      <c r="J314" s="39"/>
      <c r="K314" s="39"/>
      <c r="L314" s="39"/>
      <c r="N314" s="216"/>
      <c r="O314" s="216"/>
      <c r="P314" s="39"/>
      <c r="Q314" s="39"/>
      <c r="R314" s="39"/>
    </row>
    <row r="315" spans="1:18" ht="15.75" customHeight="1">
      <c r="A315" s="39"/>
      <c r="B315" s="39"/>
      <c r="C315" s="39"/>
      <c r="D315" s="39"/>
      <c r="E315" s="39"/>
      <c r="F315" s="39"/>
      <c r="G315" s="39"/>
      <c r="H315" s="39"/>
      <c r="I315" s="39"/>
      <c r="J315" s="39"/>
      <c r="K315" s="39"/>
      <c r="L315" s="39"/>
      <c r="N315" s="216"/>
      <c r="O315" s="216"/>
      <c r="P315" s="39"/>
      <c r="Q315" s="39"/>
      <c r="R315" s="39"/>
    </row>
    <row r="316" spans="1:18" ht="15.75" customHeight="1">
      <c r="A316" s="39"/>
      <c r="B316" s="39"/>
      <c r="C316" s="39"/>
      <c r="D316" s="39"/>
      <c r="E316" s="39"/>
      <c r="F316" s="39"/>
      <c r="G316" s="39"/>
      <c r="H316" s="39"/>
      <c r="I316" s="39"/>
      <c r="J316" s="39"/>
      <c r="K316" s="39"/>
      <c r="L316" s="39"/>
      <c r="N316" s="216"/>
      <c r="O316" s="216"/>
      <c r="P316" s="39"/>
      <c r="Q316" s="39"/>
      <c r="R316" s="39"/>
    </row>
    <row r="317" spans="1:18" ht="15.75" customHeight="1">
      <c r="A317" s="39"/>
      <c r="B317" s="39"/>
      <c r="C317" s="39"/>
      <c r="D317" s="39"/>
      <c r="E317" s="39"/>
      <c r="F317" s="39"/>
      <c r="G317" s="39"/>
      <c r="H317" s="39"/>
      <c r="I317" s="39"/>
      <c r="J317" s="39"/>
      <c r="K317" s="39"/>
      <c r="L317" s="39"/>
      <c r="N317" s="216"/>
      <c r="O317" s="216"/>
      <c r="P317" s="39"/>
      <c r="Q317" s="39"/>
      <c r="R317" s="39"/>
    </row>
    <row r="318" spans="1:18" ht="15.75" customHeight="1">
      <c r="A318" s="39"/>
      <c r="B318" s="39"/>
      <c r="C318" s="39"/>
      <c r="D318" s="39"/>
      <c r="E318" s="39"/>
      <c r="F318" s="39"/>
      <c r="G318" s="39"/>
      <c r="H318" s="39"/>
      <c r="I318" s="39"/>
      <c r="J318" s="39"/>
      <c r="K318" s="39"/>
      <c r="L318" s="39"/>
      <c r="N318" s="216"/>
      <c r="O318" s="216"/>
      <c r="P318" s="39"/>
      <c r="Q318" s="39"/>
      <c r="R318" s="39"/>
    </row>
    <row r="319" spans="1:18" ht="15.75" customHeight="1">
      <c r="A319" s="39"/>
      <c r="B319" s="39"/>
      <c r="C319" s="39"/>
      <c r="D319" s="39"/>
      <c r="E319" s="39"/>
      <c r="F319" s="39"/>
      <c r="G319" s="39"/>
      <c r="H319" s="39"/>
      <c r="I319" s="39"/>
      <c r="J319" s="39"/>
      <c r="K319" s="39"/>
      <c r="L319" s="39"/>
      <c r="N319" s="216"/>
      <c r="O319" s="216"/>
      <c r="P319" s="39"/>
      <c r="Q319" s="39"/>
      <c r="R319" s="39"/>
    </row>
    <row r="320" spans="1:18" ht="15.75" customHeight="1">
      <c r="A320" s="39"/>
      <c r="B320" s="39"/>
      <c r="C320" s="39"/>
      <c r="D320" s="39"/>
      <c r="E320" s="39"/>
      <c r="F320" s="39"/>
      <c r="G320" s="39"/>
      <c r="H320" s="39"/>
      <c r="I320" s="39"/>
      <c r="J320" s="39"/>
      <c r="K320" s="39"/>
      <c r="L320" s="39"/>
      <c r="N320" s="216"/>
      <c r="O320" s="216"/>
      <c r="P320" s="39"/>
      <c r="Q320" s="39"/>
      <c r="R320" s="39"/>
    </row>
    <row r="321" spans="1:18" ht="15.75" customHeight="1">
      <c r="A321" s="39"/>
      <c r="B321" s="39"/>
      <c r="C321" s="39"/>
      <c r="D321" s="39"/>
      <c r="E321" s="39"/>
      <c r="F321" s="39"/>
      <c r="G321" s="39"/>
      <c r="H321" s="39"/>
      <c r="I321" s="39"/>
      <c r="J321" s="39"/>
      <c r="K321" s="39"/>
      <c r="L321" s="39"/>
      <c r="N321" s="216"/>
      <c r="O321" s="216"/>
      <c r="P321" s="39"/>
      <c r="Q321" s="39"/>
      <c r="R321" s="39"/>
    </row>
    <row r="322" spans="1:18" ht="15.75" customHeight="1">
      <c r="A322" s="39"/>
      <c r="B322" s="39"/>
      <c r="C322" s="39"/>
      <c r="D322" s="39"/>
      <c r="E322" s="39"/>
      <c r="F322" s="39"/>
      <c r="G322" s="39"/>
      <c r="H322" s="39"/>
      <c r="I322" s="39"/>
      <c r="J322" s="39"/>
      <c r="K322" s="39"/>
      <c r="L322" s="39"/>
      <c r="N322" s="216"/>
      <c r="O322" s="216"/>
      <c r="P322" s="39"/>
      <c r="Q322" s="39"/>
      <c r="R322" s="39"/>
    </row>
    <row r="323" spans="1:18" ht="15.75" customHeight="1">
      <c r="A323" s="39"/>
      <c r="B323" s="39"/>
      <c r="C323" s="39"/>
      <c r="D323" s="39"/>
      <c r="E323" s="39"/>
      <c r="F323" s="39"/>
      <c r="G323" s="39"/>
      <c r="H323" s="39"/>
      <c r="I323" s="39"/>
      <c r="J323" s="39"/>
      <c r="K323" s="39"/>
      <c r="L323" s="39"/>
      <c r="N323" s="216"/>
      <c r="O323" s="216"/>
      <c r="P323" s="39"/>
      <c r="Q323" s="39"/>
      <c r="R323" s="39"/>
    </row>
    <row r="324" spans="1:18" ht="15.75" customHeight="1">
      <c r="A324" s="39"/>
      <c r="B324" s="39"/>
      <c r="C324" s="39"/>
      <c r="D324" s="39"/>
      <c r="E324" s="39"/>
      <c r="F324" s="39"/>
      <c r="G324" s="39"/>
      <c r="H324" s="39"/>
      <c r="I324" s="39"/>
      <c r="J324" s="39"/>
      <c r="K324" s="39"/>
      <c r="L324" s="39"/>
      <c r="N324" s="216"/>
      <c r="O324" s="216"/>
      <c r="P324" s="39"/>
      <c r="Q324" s="39"/>
      <c r="R324" s="39"/>
    </row>
    <row r="325" spans="1:18" ht="15.75" customHeight="1">
      <c r="A325" s="39"/>
      <c r="B325" s="39"/>
      <c r="C325" s="39"/>
      <c r="D325" s="39"/>
      <c r="E325" s="39"/>
      <c r="F325" s="39"/>
      <c r="G325" s="39"/>
      <c r="H325" s="39"/>
      <c r="I325" s="39"/>
      <c r="J325" s="39"/>
      <c r="K325" s="39"/>
      <c r="L325" s="39"/>
      <c r="N325" s="216"/>
      <c r="O325" s="216"/>
      <c r="P325" s="39"/>
      <c r="Q325" s="39"/>
      <c r="R325" s="39"/>
    </row>
    <row r="326" spans="1:18" ht="15.75" customHeight="1">
      <c r="A326" s="39"/>
      <c r="B326" s="39"/>
      <c r="C326" s="39"/>
      <c r="D326" s="39"/>
      <c r="E326" s="39"/>
      <c r="F326" s="39"/>
      <c r="G326" s="39"/>
      <c r="H326" s="39"/>
      <c r="I326" s="39"/>
      <c r="J326" s="39"/>
      <c r="K326" s="39"/>
      <c r="L326" s="39"/>
      <c r="N326" s="216"/>
      <c r="O326" s="216"/>
      <c r="P326" s="39"/>
      <c r="Q326" s="39"/>
      <c r="R326" s="39"/>
    </row>
    <row r="327" spans="1:18" ht="15.75" customHeight="1">
      <c r="A327" s="39"/>
      <c r="B327" s="39"/>
      <c r="C327" s="39"/>
      <c r="D327" s="39"/>
      <c r="E327" s="39"/>
      <c r="F327" s="39"/>
      <c r="G327" s="39"/>
      <c r="H327" s="39"/>
      <c r="I327" s="39"/>
      <c r="J327" s="39"/>
      <c r="K327" s="39"/>
      <c r="L327" s="39"/>
      <c r="N327" s="216"/>
      <c r="O327" s="216"/>
      <c r="P327" s="39"/>
      <c r="Q327" s="39"/>
      <c r="R327" s="39"/>
    </row>
    <row r="328" spans="1:18" ht="15.75" customHeight="1">
      <c r="A328" s="39"/>
      <c r="B328" s="39"/>
      <c r="C328" s="39"/>
      <c r="D328" s="39"/>
      <c r="E328" s="39"/>
      <c r="F328" s="39"/>
      <c r="G328" s="39"/>
      <c r="H328" s="39"/>
      <c r="I328" s="39"/>
      <c r="J328" s="39"/>
      <c r="K328" s="39"/>
      <c r="L328" s="39"/>
      <c r="N328" s="216"/>
      <c r="O328" s="216"/>
      <c r="P328" s="39"/>
      <c r="Q328" s="39"/>
      <c r="R328" s="39"/>
    </row>
    <row r="329" spans="1:18" ht="15.75" customHeight="1">
      <c r="A329" s="39"/>
      <c r="B329" s="39"/>
      <c r="C329" s="39"/>
      <c r="D329" s="39"/>
      <c r="E329" s="39"/>
      <c r="F329" s="39"/>
      <c r="G329" s="39"/>
      <c r="H329" s="39"/>
      <c r="I329" s="39"/>
      <c r="J329" s="39"/>
      <c r="K329" s="39"/>
      <c r="L329" s="39"/>
      <c r="N329" s="216"/>
      <c r="O329" s="216"/>
      <c r="P329" s="39"/>
      <c r="Q329" s="39"/>
      <c r="R329" s="39"/>
    </row>
    <row r="330" spans="1:18" ht="15.75" customHeight="1">
      <c r="A330" s="39"/>
      <c r="B330" s="39"/>
      <c r="C330" s="39"/>
      <c r="D330" s="39"/>
      <c r="E330" s="39"/>
      <c r="F330" s="39"/>
      <c r="G330" s="39"/>
      <c r="H330" s="39"/>
      <c r="I330" s="39"/>
      <c r="J330" s="39"/>
      <c r="K330" s="39"/>
      <c r="L330" s="39"/>
      <c r="N330" s="216"/>
      <c r="O330" s="216"/>
      <c r="P330" s="39"/>
      <c r="Q330" s="39"/>
      <c r="R330" s="39"/>
    </row>
    <row r="331" spans="1:18" ht="15.75" customHeight="1">
      <c r="A331" s="39"/>
      <c r="B331" s="39"/>
      <c r="C331" s="39"/>
      <c r="D331" s="39"/>
      <c r="E331" s="39"/>
      <c r="F331" s="39"/>
      <c r="G331" s="39"/>
      <c r="H331" s="39"/>
      <c r="I331" s="39"/>
      <c r="J331" s="39"/>
      <c r="K331" s="39"/>
      <c r="L331" s="39"/>
      <c r="N331" s="216"/>
      <c r="O331" s="216"/>
      <c r="P331" s="39"/>
      <c r="Q331" s="39"/>
      <c r="R331" s="39"/>
    </row>
    <row r="332" spans="1:18" ht="15.75" customHeight="1">
      <c r="A332" s="39"/>
      <c r="B332" s="39"/>
      <c r="C332" s="39"/>
      <c r="D332" s="39"/>
      <c r="E332" s="39"/>
      <c r="F332" s="39"/>
      <c r="G332" s="39"/>
      <c r="H332" s="39"/>
      <c r="I332" s="39"/>
      <c r="J332" s="39"/>
      <c r="K332" s="39"/>
      <c r="L332" s="39"/>
      <c r="N332" s="216"/>
      <c r="O332" s="216"/>
      <c r="P332" s="39"/>
      <c r="Q332" s="39"/>
      <c r="R332" s="39"/>
    </row>
    <row r="333" spans="1:18" ht="15.75" customHeight="1">
      <c r="A333" s="39"/>
      <c r="B333" s="39"/>
      <c r="C333" s="39"/>
      <c r="D333" s="39"/>
      <c r="E333" s="39"/>
      <c r="F333" s="39"/>
      <c r="G333" s="39"/>
      <c r="H333" s="39"/>
      <c r="I333" s="39"/>
      <c r="J333" s="39"/>
      <c r="K333" s="39"/>
      <c r="L333" s="39"/>
      <c r="N333" s="216"/>
      <c r="O333" s="216"/>
      <c r="P333" s="39"/>
      <c r="Q333" s="39"/>
      <c r="R333" s="39"/>
    </row>
    <row r="334" spans="1:18" ht="15.75" customHeight="1">
      <c r="A334" s="39"/>
      <c r="B334" s="39"/>
      <c r="C334" s="39"/>
      <c r="D334" s="39"/>
      <c r="E334" s="39"/>
      <c r="F334" s="39"/>
      <c r="G334" s="39"/>
      <c r="H334" s="39"/>
      <c r="I334" s="39"/>
      <c r="J334" s="39"/>
      <c r="K334" s="39"/>
      <c r="L334" s="39"/>
      <c r="N334" s="216"/>
      <c r="O334" s="216"/>
      <c r="P334" s="39"/>
      <c r="Q334" s="39"/>
      <c r="R334" s="39"/>
    </row>
    <row r="335" spans="1:18" ht="15.75" customHeight="1">
      <c r="A335" s="39"/>
      <c r="B335" s="39"/>
      <c r="C335" s="39"/>
      <c r="D335" s="39"/>
      <c r="E335" s="39"/>
      <c r="F335" s="39"/>
      <c r="G335" s="39"/>
      <c r="H335" s="39"/>
      <c r="I335" s="39"/>
      <c r="J335" s="39"/>
      <c r="K335" s="39"/>
      <c r="L335" s="39"/>
      <c r="N335" s="216"/>
      <c r="O335" s="216"/>
      <c r="P335" s="39"/>
      <c r="Q335" s="39"/>
      <c r="R335" s="39"/>
    </row>
    <row r="336" spans="1:18" ht="15.75" customHeight="1">
      <c r="A336" s="39"/>
      <c r="B336" s="39"/>
      <c r="C336" s="39"/>
      <c r="D336" s="39"/>
      <c r="E336" s="39"/>
      <c r="F336" s="39"/>
      <c r="G336" s="39"/>
      <c r="H336" s="39"/>
      <c r="I336" s="39"/>
      <c r="J336" s="39"/>
      <c r="K336" s="39"/>
      <c r="L336" s="39"/>
      <c r="N336" s="216"/>
      <c r="O336" s="216"/>
      <c r="P336" s="39"/>
      <c r="Q336" s="39"/>
      <c r="R336" s="39"/>
    </row>
    <row r="337" spans="1:18" ht="15.75" customHeight="1">
      <c r="A337" s="39"/>
      <c r="B337" s="39"/>
      <c r="C337" s="39"/>
      <c r="D337" s="39"/>
      <c r="E337" s="39"/>
      <c r="F337" s="39"/>
      <c r="G337" s="39"/>
      <c r="H337" s="39"/>
      <c r="I337" s="39"/>
      <c r="J337" s="39"/>
      <c r="K337" s="39"/>
      <c r="L337" s="39"/>
      <c r="N337" s="216"/>
      <c r="O337" s="216"/>
      <c r="P337" s="39"/>
      <c r="Q337" s="39"/>
      <c r="R337" s="39"/>
    </row>
    <row r="338" spans="1:18" ht="15.75" customHeight="1">
      <c r="A338" s="39"/>
      <c r="B338" s="39"/>
      <c r="C338" s="39"/>
      <c r="D338" s="39"/>
      <c r="E338" s="39"/>
      <c r="F338" s="39"/>
      <c r="G338" s="39"/>
      <c r="H338" s="39"/>
      <c r="I338" s="39"/>
      <c r="J338" s="39"/>
      <c r="K338" s="39"/>
      <c r="L338" s="39"/>
      <c r="N338" s="216"/>
      <c r="O338" s="216"/>
      <c r="P338" s="39"/>
      <c r="Q338" s="39"/>
      <c r="R338" s="39"/>
    </row>
    <row r="339" spans="1:18" ht="15.75" customHeight="1">
      <c r="A339" s="39"/>
      <c r="B339" s="39"/>
      <c r="C339" s="39"/>
      <c r="D339" s="39"/>
      <c r="E339" s="39"/>
      <c r="F339" s="39"/>
      <c r="G339" s="39"/>
      <c r="H339" s="39"/>
      <c r="I339" s="39"/>
      <c r="J339" s="39"/>
      <c r="K339" s="39"/>
      <c r="L339" s="39"/>
      <c r="N339" s="216"/>
      <c r="O339" s="216"/>
      <c r="P339" s="39"/>
      <c r="Q339" s="39"/>
      <c r="R339" s="39"/>
    </row>
    <row r="340" spans="1:18" ht="15.75" customHeight="1">
      <c r="A340" s="39"/>
      <c r="B340" s="39"/>
      <c r="C340" s="39"/>
      <c r="D340" s="39"/>
      <c r="E340" s="39"/>
      <c r="F340" s="39"/>
      <c r="G340" s="39"/>
      <c r="H340" s="39"/>
      <c r="I340" s="39"/>
      <c r="J340" s="39"/>
      <c r="K340" s="39"/>
      <c r="L340" s="39"/>
      <c r="N340" s="216"/>
      <c r="O340" s="216"/>
      <c r="P340" s="39"/>
      <c r="Q340" s="39"/>
      <c r="R340" s="39"/>
    </row>
    <row r="341" spans="1:18" ht="15.75" customHeight="1">
      <c r="A341" s="39"/>
      <c r="B341" s="39"/>
      <c r="C341" s="39"/>
      <c r="D341" s="39"/>
      <c r="E341" s="39"/>
      <c r="F341" s="39"/>
      <c r="G341" s="39"/>
      <c r="H341" s="39"/>
      <c r="I341" s="39"/>
      <c r="J341" s="39"/>
      <c r="K341" s="39"/>
      <c r="L341" s="39"/>
      <c r="N341" s="216"/>
      <c r="O341" s="216"/>
      <c r="P341" s="39"/>
      <c r="Q341" s="39"/>
      <c r="R341" s="39"/>
    </row>
    <row r="342" spans="1:18" ht="15.75" customHeight="1">
      <c r="A342" s="39"/>
      <c r="B342" s="39"/>
      <c r="C342" s="39"/>
      <c r="D342" s="39"/>
      <c r="E342" s="39"/>
      <c r="F342" s="39"/>
      <c r="G342" s="39"/>
      <c r="H342" s="39"/>
      <c r="I342" s="39"/>
      <c r="J342" s="39"/>
      <c r="K342" s="39"/>
      <c r="L342" s="39"/>
      <c r="N342" s="216"/>
      <c r="O342" s="216"/>
      <c r="P342" s="39"/>
      <c r="Q342" s="39"/>
      <c r="R342" s="39"/>
    </row>
    <row r="343" spans="1:18" ht="15.75" customHeight="1">
      <c r="A343" s="39"/>
      <c r="B343" s="39"/>
      <c r="C343" s="39"/>
      <c r="D343" s="39"/>
      <c r="E343" s="39"/>
      <c r="F343" s="39"/>
      <c r="G343" s="39"/>
      <c r="H343" s="39"/>
      <c r="I343" s="39"/>
      <c r="J343" s="39"/>
      <c r="K343" s="39"/>
      <c r="L343" s="39"/>
      <c r="N343" s="216"/>
      <c r="O343" s="216"/>
      <c r="P343" s="39"/>
      <c r="Q343" s="39"/>
      <c r="R343" s="39"/>
    </row>
    <row r="344" spans="1:18" ht="15.75" customHeight="1">
      <c r="A344" s="39"/>
      <c r="B344" s="39"/>
      <c r="C344" s="39"/>
      <c r="D344" s="39"/>
      <c r="E344" s="39"/>
      <c r="F344" s="39"/>
      <c r="G344" s="39"/>
      <c r="H344" s="39"/>
      <c r="I344" s="39"/>
      <c r="J344" s="39"/>
      <c r="K344" s="39"/>
      <c r="L344" s="39"/>
      <c r="N344" s="216"/>
      <c r="O344" s="216"/>
      <c r="P344" s="39"/>
      <c r="Q344" s="39"/>
      <c r="R344" s="39"/>
    </row>
    <row r="345" spans="1:18" ht="15.75" customHeight="1">
      <c r="A345" s="39"/>
      <c r="B345" s="39"/>
      <c r="C345" s="39"/>
      <c r="D345" s="39"/>
      <c r="E345" s="39"/>
      <c r="F345" s="39"/>
      <c r="G345" s="39"/>
      <c r="H345" s="39"/>
      <c r="I345" s="39"/>
      <c r="J345" s="39"/>
      <c r="K345" s="39"/>
      <c r="L345" s="39"/>
      <c r="N345" s="216"/>
      <c r="O345" s="216"/>
      <c r="P345" s="39"/>
      <c r="Q345" s="39"/>
      <c r="R345" s="39"/>
    </row>
    <row r="346" spans="1:18" ht="15.75" customHeight="1">
      <c r="A346" s="39"/>
      <c r="B346" s="39"/>
      <c r="C346" s="39"/>
      <c r="D346" s="39"/>
      <c r="E346" s="39"/>
      <c r="F346" s="39"/>
      <c r="G346" s="39"/>
      <c r="H346" s="39"/>
      <c r="I346" s="39"/>
      <c r="J346" s="39"/>
      <c r="K346" s="39"/>
      <c r="L346" s="39"/>
      <c r="N346" s="216"/>
      <c r="O346" s="216"/>
      <c r="P346" s="39"/>
      <c r="Q346" s="39"/>
      <c r="R346" s="39"/>
    </row>
    <row r="347" spans="1:18" ht="15.75" customHeight="1">
      <c r="A347" s="39"/>
      <c r="B347" s="39"/>
      <c r="C347" s="39"/>
      <c r="D347" s="39"/>
      <c r="E347" s="39"/>
      <c r="F347" s="39"/>
      <c r="G347" s="39"/>
      <c r="H347" s="39"/>
      <c r="I347" s="39"/>
      <c r="J347" s="39"/>
      <c r="K347" s="39"/>
      <c r="L347" s="39"/>
      <c r="N347" s="216"/>
      <c r="O347" s="216"/>
      <c r="P347" s="39"/>
      <c r="Q347" s="39"/>
      <c r="R347" s="39"/>
    </row>
    <row r="348" spans="1:18" ht="15.75" customHeight="1">
      <c r="A348" s="39"/>
      <c r="B348" s="39"/>
      <c r="C348" s="39"/>
      <c r="D348" s="39"/>
      <c r="E348" s="39"/>
      <c r="F348" s="39"/>
      <c r="G348" s="39"/>
      <c r="H348" s="39"/>
      <c r="I348" s="39"/>
      <c r="J348" s="39"/>
      <c r="K348" s="39"/>
      <c r="L348" s="39"/>
      <c r="N348" s="216"/>
      <c r="O348" s="216"/>
      <c r="P348" s="39"/>
      <c r="Q348" s="39"/>
      <c r="R348" s="39"/>
    </row>
    <row r="349" spans="1:18" ht="15.75" customHeight="1">
      <c r="A349" s="39"/>
      <c r="B349" s="39"/>
      <c r="C349" s="39"/>
      <c r="D349" s="39"/>
      <c r="E349" s="39"/>
      <c r="F349" s="39"/>
      <c r="G349" s="39"/>
      <c r="H349" s="39"/>
      <c r="I349" s="39"/>
      <c r="J349" s="39"/>
      <c r="K349" s="39"/>
      <c r="L349" s="39"/>
      <c r="N349" s="216"/>
      <c r="O349" s="216"/>
      <c r="P349" s="39"/>
      <c r="Q349" s="39"/>
      <c r="R349" s="39"/>
    </row>
    <row r="350" spans="1:18" ht="15.75" customHeight="1">
      <c r="A350" s="39"/>
      <c r="B350" s="39"/>
      <c r="C350" s="39"/>
      <c r="D350" s="39"/>
      <c r="E350" s="39"/>
      <c r="F350" s="39"/>
      <c r="G350" s="39"/>
      <c r="H350" s="39"/>
      <c r="I350" s="39"/>
      <c r="J350" s="39"/>
      <c r="K350" s="39"/>
      <c r="L350" s="39"/>
      <c r="N350" s="216"/>
      <c r="O350" s="216"/>
      <c r="P350" s="39"/>
      <c r="Q350" s="39"/>
      <c r="R350" s="39"/>
    </row>
    <row r="351" spans="1:18" ht="15.75" customHeight="1">
      <c r="A351" s="39"/>
      <c r="B351" s="39"/>
      <c r="C351" s="39"/>
      <c r="D351" s="39"/>
      <c r="E351" s="39"/>
      <c r="F351" s="39"/>
      <c r="G351" s="39"/>
      <c r="H351" s="39"/>
      <c r="I351" s="39"/>
      <c r="J351" s="39"/>
      <c r="K351" s="39"/>
      <c r="L351" s="39"/>
      <c r="N351" s="216"/>
      <c r="O351" s="216"/>
      <c r="P351" s="39"/>
      <c r="Q351" s="39"/>
      <c r="R351" s="39"/>
    </row>
    <row r="352" spans="1:18" ht="15.75" customHeight="1">
      <c r="A352" s="39"/>
      <c r="B352" s="39"/>
      <c r="C352" s="39"/>
      <c r="D352" s="39"/>
      <c r="E352" s="39"/>
      <c r="F352" s="39"/>
      <c r="G352" s="39"/>
      <c r="H352" s="39"/>
      <c r="I352" s="39"/>
      <c r="J352" s="39"/>
      <c r="K352" s="39"/>
      <c r="L352" s="39"/>
      <c r="N352" s="216"/>
      <c r="O352" s="216"/>
      <c r="P352" s="39"/>
      <c r="Q352" s="39"/>
      <c r="R352" s="39"/>
    </row>
    <row r="353" spans="1:18" ht="15.75" customHeight="1">
      <c r="A353" s="39"/>
      <c r="B353" s="39"/>
      <c r="C353" s="39"/>
      <c r="D353" s="39"/>
      <c r="E353" s="39"/>
      <c r="F353" s="39"/>
      <c r="G353" s="39"/>
      <c r="H353" s="39"/>
      <c r="I353" s="39"/>
      <c r="J353" s="39"/>
      <c r="K353" s="39"/>
      <c r="L353" s="39"/>
      <c r="N353" s="216"/>
      <c r="O353" s="216"/>
      <c r="P353" s="39"/>
      <c r="Q353" s="39"/>
      <c r="R353" s="39"/>
    </row>
    <row r="354" spans="1:18" ht="15.75" customHeight="1">
      <c r="A354" s="39"/>
      <c r="B354" s="39"/>
      <c r="C354" s="39"/>
      <c r="D354" s="39"/>
      <c r="E354" s="39"/>
      <c r="F354" s="39"/>
      <c r="G354" s="39"/>
      <c r="H354" s="39"/>
      <c r="I354" s="39"/>
      <c r="J354" s="39"/>
      <c r="K354" s="39"/>
      <c r="L354" s="39"/>
      <c r="N354" s="216"/>
      <c r="O354" s="216"/>
      <c r="P354" s="39"/>
      <c r="Q354" s="39"/>
      <c r="R354" s="39"/>
    </row>
    <row r="355" spans="1:18" ht="15.75" customHeight="1">
      <c r="A355" s="39"/>
      <c r="B355" s="39"/>
      <c r="C355" s="39"/>
      <c r="D355" s="39"/>
      <c r="E355" s="39"/>
      <c r="F355" s="39"/>
      <c r="G355" s="39"/>
      <c r="H355" s="39"/>
      <c r="I355" s="39"/>
      <c r="J355" s="39"/>
      <c r="K355" s="39"/>
      <c r="L355" s="39"/>
      <c r="N355" s="216"/>
      <c r="O355" s="216"/>
      <c r="P355" s="39"/>
      <c r="Q355" s="39"/>
      <c r="R355" s="39"/>
    </row>
    <row r="356" spans="1:18" ht="15.75" customHeight="1">
      <c r="A356" s="39"/>
      <c r="B356" s="39"/>
      <c r="C356" s="39"/>
      <c r="D356" s="39"/>
      <c r="E356" s="39"/>
      <c r="F356" s="39"/>
      <c r="G356" s="39"/>
      <c r="H356" s="39"/>
      <c r="I356" s="39"/>
      <c r="J356" s="39"/>
      <c r="K356" s="39"/>
      <c r="L356" s="39"/>
      <c r="N356" s="216"/>
      <c r="O356" s="216"/>
      <c r="P356" s="39"/>
      <c r="Q356" s="39"/>
      <c r="R356" s="39"/>
    </row>
    <row r="357" spans="1:18" ht="15.75" customHeight="1">
      <c r="A357" s="39"/>
      <c r="B357" s="39"/>
      <c r="C357" s="39"/>
      <c r="D357" s="39"/>
      <c r="E357" s="39"/>
      <c r="F357" s="39"/>
      <c r="G357" s="39"/>
      <c r="H357" s="39"/>
      <c r="I357" s="39"/>
      <c r="J357" s="39"/>
      <c r="K357" s="39"/>
      <c r="L357" s="39"/>
      <c r="N357" s="216"/>
      <c r="O357" s="216"/>
      <c r="P357" s="39"/>
      <c r="Q357" s="39"/>
      <c r="R357" s="39"/>
    </row>
    <row r="358" spans="1:18" ht="15.75" customHeight="1">
      <c r="A358" s="39"/>
      <c r="B358" s="39"/>
      <c r="C358" s="39"/>
      <c r="D358" s="39"/>
      <c r="E358" s="39"/>
      <c r="F358" s="39"/>
      <c r="G358" s="39"/>
      <c r="H358" s="39"/>
      <c r="I358" s="39"/>
      <c r="J358" s="39"/>
      <c r="K358" s="39"/>
      <c r="L358" s="39"/>
      <c r="N358" s="216"/>
      <c r="O358" s="216"/>
      <c r="P358" s="39"/>
      <c r="Q358" s="39"/>
      <c r="R358" s="39"/>
    </row>
    <row r="359" spans="1:18" ht="15.75" customHeight="1">
      <c r="A359" s="39"/>
      <c r="B359" s="39"/>
      <c r="C359" s="39"/>
      <c r="D359" s="39"/>
      <c r="E359" s="39"/>
      <c r="F359" s="39"/>
      <c r="G359" s="39"/>
      <c r="H359" s="39"/>
      <c r="I359" s="39"/>
      <c r="J359" s="39"/>
      <c r="K359" s="39"/>
      <c r="L359" s="39"/>
      <c r="N359" s="216"/>
      <c r="O359" s="216"/>
      <c r="P359" s="39"/>
      <c r="Q359" s="39"/>
      <c r="R359" s="39"/>
    </row>
    <row r="360" spans="1:18" ht="15.75" customHeight="1">
      <c r="A360" s="39"/>
      <c r="B360" s="39"/>
      <c r="C360" s="39"/>
      <c r="D360" s="39"/>
      <c r="E360" s="39"/>
      <c r="F360" s="39"/>
      <c r="G360" s="39"/>
      <c r="H360" s="39"/>
      <c r="I360" s="39"/>
      <c r="J360" s="39"/>
      <c r="K360" s="39"/>
      <c r="L360" s="39"/>
      <c r="N360" s="216"/>
      <c r="O360" s="216"/>
      <c r="P360" s="39"/>
      <c r="Q360" s="39"/>
      <c r="R360" s="39"/>
    </row>
    <row r="361" spans="1:18" ht="15.75" customHeight="1">
      <c r="A361" s="39"/>
      <c r="B361" s="39"/>
      <c r="C361" s="39"/>
      <c r="D361" s="39"/>
      <c r="E361" s="39"/>
      <c r="F361" s="39"/>
      <c r="G361" s="39"/>
      <c r="H361" s="39"/>
      <c r="I361" s="39"/>
      <c r="J361" s="39"/>
      <c r="K361" s="39"/>
      <c r="L361" s="39"/>
      <c r="N361" s="216"/>
      <c r="O361" s="216"/>
      <c r="P361" s="39"/>
      <c r="Q361" s="39"/>
      <c r="R361" s="39"/>
    </row>
    <row r="362" spans="1:18" ht="15.75" customHeight="1">
      <c r="A362" s="39"/>
      <c r="B362" s="39"/>
      <c r="C362" s="39"/>
      <c r="D362" s="39"/>
      <c r="E362" s="39"/>
      <c r="F362" s="39"/>
      <c r="G362" s="39"/>
      <c r="H362" s="39"/>
      <c r="I362" s="39"/>
      <c r="J362" s="39"/>
      <c r="K362" s="39"/>
      <c r="L362" s="39"/>
      <c r="N362" s="216"/>
      <c r="O362" s="216"/>
      <c r="P362" s="39"/>
      <c r="Q362" s="39"/>
      <c r="R362" s="39"/>
    </row>
    <row r="363" spans="1:18" ht="15.75" customHeight="1">
      <c r="A363" s="39"/>
      <c r="B363" s="39"/>
      <c r="C363" s="39"/>
      <c r="D363" s="39"/>
      <c r="E363" s="39"/>
      <c r="F363" s="39"/>
      <c r="G363" s="39"/>
      <c r="H363" s="39"/>
      <c r="I363" s="39"/>
      <c r="J363" s="39"/>
      <c r="K363" s="39"/>
      <c r="L363" s="39"/>
      <c r="N363" s="216"/>
      <c r="O363" s="216"/>
      <c r="P363" s="39"/>
      <c r="Q363" s="39"/>
      <c r="R363" s="39"/>
    </row>
    <row r="364" spans="1:18" ht="15.75" customHeight="1">
      <c r="A364" s="39"/>
      <c r="B364" s="39"/>
      <c r="C364" s="39"/>
      <c r="D364" s="39"/>
      <c r="E364" s="39"/>
      <c r="F364" s="39"/>
      <c r="G364" s="39"/>
      <c r="H364" s="39"/>
      <c r="I364" s="39"/>
      <c r="J364" s="39"/>
      <c r="K364" s="39"/>
      <c r="L364" s="39"/>
      <c r="N364" s="216"/>
      <c r="O364" s="216"/>
      <c r="P364" s="39"/>
      <c r="Q364" s="39"/>
      <c r="R364" s="39"/>
    </row>
    <row r="365" spans="1:18" ht="15.75" customHeight="1">
      <c r="A365" s="39"/>
      <c r="B365" s="39"/>
      <c r="C365" s="39"/>
      <c r="D365" s="39"/>
      <c r="E365" s="39"/>
      <c r="F365" s="39"/>
      <c r="G365" s="39"/>
      <c r="H365" s="39"/>
      <c r="I365" s="39"/>
      <c r="J365" s="39"/>
      <c r="K365" s="39"/>
      <c r="L365" s="39"/>
      <c r="N365" s="216"/>
      <c r="O365" s="216"/>
      <c r="P365" s="39"/>
      <c r="Q365" s="39"/>
      <c r="R365" s="39"/>
    </row>
    <row r="366" spans="1:18" ht="15.75" customHeight="1">
      <c r="A366" s="39"/>
      <c r="B366" s="39"/>
      <c r="C366" s="39"/>
      <c r="D366" s="39"/>
      <c r="E366" s="39"/>
      <c r="F366" s="39"/>
      <c r="G366" s="39"/>
      <c r="H366" s="39"/>
      <c r="I366" s="39"/>
      <c r="J366" s="39"/>
      <c r="K366" s="39"/>
      <c r="L366" s="39"/>
      <c r="N366" s="216"/>
      <c r="O366" s="216"/>
      <c r="P366" s="39"/>
      <c r="Q366" s="39"/>
      <c r="R366" s="39"/>
    </row>
    <row r="367" spans="1:18" ht="15.75" customHeight="1">
      <c r="A367" s="39"/>
      <c r="B367" s="39"/>
      <c r="C367" s="39"/>
      <c r="D367" s="39"/>
      <c r="E367" s="39"/>
      <c r="F367" s="39"/>
      <c r="G367" s="39"/>
      <c r="H367" s="39"/>
      <c r="I367" s="39"/>
      <c r="J367" s="39"/>
      <c r="K367" s="39"/>
      <c r="L367" s="39"/>
      <c r="N367" s="216"/>
      <c r="O367" s="216"/>
      <c r="P367" s="39"/>
      <c r="Q367" s="39"/>
      <c r="R367" s="39"/>
    </row>
    <row r="368" spans="1:18" ht="15.75" customHeight="1">
      <c r="A368" s="39"/>
      <c r="B368" s="39"/>
      <c r="C368" s="39"/>
      <c r="D368" s="39"/>
      <c r="E368" s="39"/>
      <c r="F368" s="39"/>
      <c r="G368" s="39"/>
      <c r="H368" s="39"/>
      <c r="I368" s="39"/>
      <c r="J368" s="39"/>
      <c r="K368" s="39"/>
      <c r="L368" s="39"/>
      <c r="N368" s="216"/>
      <c r="O368" s="216"/>
      <c r="P368" s="39"/>
      <c r="Q368" s="39"/>
      <c r="R368" s="39"/>
    </row>
    <row r="369" spans="1:18" ht="15.75" customHeight="1">
      <c r="A369" s="39"/>
      <c r="B369" s="39"/>
      <c r="C369" s="39"/>
      <c r="D369" s="39"/>
      <c r="E369" s="39"/>
      <c r="F369" s="39"/>
      <c r="G369" s="39"/>
      <c r="H369" s="39"/>
      <c r="I369" s="39"/>
      <c r="J369" s="39"/>
      <c r="K369" s="39"/>
      <c r="L369" s="39"/>
      <c r="N369" s="216"/>
      <c r="O369" s="216"/>
      <c r="P369" s="39"/>
      <c r="Q369" s="39"/>
      <c r="R369" s="39"/>
    </row>
    <row r="370" spans="1:18" ht="15.75" customHeight="1">
      <c r="A370" s="39"/>
      <c r="B370" s="39"/>
      <c r="C370" s="39"/>
      <c r="D370" s="39"/>
      <c r="E370" s="39"/>
      <c r="F370" s="39"/>
      <c r="G370" s="39"/>
      <c r="H370" s="39"/>
      <c r="I370" s="39"/>
      <c r="J370" s="39"/>
      <c r="K370" s="39"/>
      <c r="L370" s="39"/>
      <c r="N370" s="216"/>
      <c r="O370" s="216"/>
      <c r="P370" s="39"/>
      <c r="Q370" s="39"/>
      <c r="R370" s="39"/>
    </row>
    <row r="371" spans="1:18" ht="15.75" customHeight="1">
      <c r="A371" s="39"/>
      <c r="B371" s="39"/>
      <c r="C371" s="39"/>
      <c r="D371" s="39"/>
      <c r="E371" s="39"/>
      <c r="F371" s="39"/>
      <c r="G371" s="39"/>
      <c r="H371" s="39"/>
      <c r="I371" s="39"/>
      <c r="J371" s="39"/>
      <c r="K371" s="39"/>
      <c r="L371" s="39"/>
      <c r="N371" s="216"/>
      <c r="O371" s="216"/>
      <c r="P371" s="39"/>
      <c r="Q371" s="39"/>
      <c r="R371" s="39"/>
    </row>
    <row r="372" spans="1:18" ht="15.75" customHeight="1">
      <c r="A372" s="39"/>
      <c r="B372" s="39"/>
      <c r="C372" s="39"/>
      <c r="D372" s="39"/>
      <c r="E372" s="39"/>
      <c r="F372" s="39"/>
      <c r="G372" s="39"/>
      <c r="H372" s="39"/>
      <c r="I372" s="39"/>
      <c r="J372" s="39"/>
      <c r="K372" s="39"/>
      <c r="L372" s="39"/>
      <c r="N372" s="216"/>
      <c r="O372" s="216"/>
      <c r="P372" s="39"/>
      <c r="Q372" s="39"/>
      <c r="R372" s="39"/>
    </row>
    <row r="373" spans="1:18" ht="15.75" customHeight="1">
      <c r="A373" s="39"/>
      <c r="B373" s="39"/>
      <c r="C373" s="39"/>
      <c r="D373" s="39"/>
      <c r="E373" s="39"/>
      <c r="F373" s="39"/>
      <c r="G373" s="39"/>
      <c r="H373" s="39"/>
      <c r="I373" s="39"/>
      <c r="J373" s="39"/>
      <c r="K373" s="39"/>
      <c r="L373" s="39"/>
      <c r="N373" s="216"/>
      <c r="O373" s="216"/>
      <c r="P373" s="39"/>
      <c r="Q373" s="39"/>
      <c r="R373" s="39"/>
    </row>
    <row r="374" spans="1:18" ht="15.75" customHeight="1">
      <c r="A374" s="39"/>
      <c r="B374" s="39"/>
      <c r="C374" s="39"/>
      <c r="D374" s="39"/>
      <c r="E374" s="39"/>
      <c r="F374" s="39"/>
      <c r="G374" s="39"/>
      <c r="H374" s="39"/>
      <c r="I374" s="39"/>
      <c r="J374" s="39"/>
      <c r="K374" s="39"/>
      <c r="L374" s="39"/>
      <c r="N374" s="216"/>
      <c r="O374" s="216"/>
      <c r="P374" s="39"/>
      <c r="Q374" s="39"/>
      <c r="R374" s="39"/>
    </row>
    <row r="375" spans="1:18" ht="15.75" customHeight="1">
      <c r="A375" s="39"/>
      <c r="B375" s="39"/>
      <c r="C375" s="39"/>
      <c r="D375" s="39"/>
      <c r="E375" s="39"/>
      <c r="F375" s="39"/>
      <c r="G375" s="39"/>
      <c r="H375" s="39"/>
      <c r="I375" s="39"/>
      <c r="J375" s="39"/>
      <c r="K375" s="39"/>
      <c r="L375" s="39"/>
      <c r="N375" s="216"/>
      <c r="O375" s="216"/>
      <c r="P375" s="39"/>
      <c r="Q375" s="39"/>
      <c r="R375" s="39"/>
    </row>
    <row r="376" spans="1:18" ht="15.75" customHeight="1">
      <c r="A376" s="39"/>
      <c r="B376" s="39"/>
      <c r="C376" s="39"/>
      <c r="D376" s="39"/>
      <c r="E376" s="39"/>
      <c r="F376" s="39"/>
      <c r="G376" s="39"/>
      <c r="H376" s="39"/>
      <c r="I376" s="39"/>
      <c r="J376" s="39"/>
      <c r="K376" s="39"/>
      <c r="L376" s="39"/>
      <c r="N376" s="216"/>
      <c r="O376" s="216"/>
      <c r="P376" s="39"/>
      <c r="Q376" s="39"/>
      <c r="R376" s="39"/>
    </row>
    <row r="377" spans="1:18" ht="15.75" customHeight="1">
      <c r="A377" s="39"/>
      <c r="B377" s="39"/>
      <c r="C377" s="39"/>
      <c r="D377" s="39"/>
      <c r="E377" s="39"/>
      <c r="F377" s="39"/>
      <c r="G377" s="39"/>
      <c r="H377" s="39"/>
      <c r="I377" s="39"/>
      <c r="J377" s="39"/>
      <c r="K377" s="39"/>
      <c r="L377" s="39"/>
      <c r="N377" s="216"/>
      <c r="O377" s="216"/>
      <c r="P377" s="39"/>
      <c r="Q377" s="39"/>
      <c r="R377" s="39"/>
    </row>
    <row r="378" spans="1:18" ht="15.75" customHeight="1">
      <c r="A378" s="39"/>
      <c r="B378" s="39"/>
      <c r="C378" s="39"/>
      <c r="D378" s="39"/>
      <c r="E378" s="39"/>
      <c r="F378" s="39"/>
      <c r="G378" s="39"/>
      <c r="H378" s="39"/>
      <c r="I378" s="39"/>
      <c r="J378" s="39"/>
      <c r="K378" s="39"/>
      <c r="L378" s="39"/>
      <c r="N378" s="216"/>
      <c r="O378" s="216"/>
      <c r="P378" s="39"/>
      <c r="Q378" s="39"/>
      <c r="R378" s="39"/>
    </row>
    <row r="379" spans="1:18" ht="15.75" customHeight="1">
      <c r="A379" s="39"/>
      <c r="B379" s="39"/>
      <c r="C379" s="39"/>
      <c r="D379" s="39"/>
      <c r="E379" s="39"/>
      <c r="F379" s="39"/>
      <c r="G379" s="39"/>
      <c r="H379" s="39"/>
      <c r="I379" s="39"/>
      <c r="J379" s="39"/>
      <c r="K379" s="39"/>
      <c r="L379" s="39"/>
      <c r="N379" s="216"/>
      <c r="O379" s="216"/>
      <c r="P379" s="39"/>
      <c r="Q379" s="39"/>
      <c r="R379" s="39"/>
    </row>
    <row r="380" spans="1:18" ht="15.75" customHeight="1">
      <c r="A380" s="39"/>
      <c r="B380" s="39"/>
      <c r="C380" s="39"/>
      <c r="D380" s="39"/>
      <c r="E380" s="39"/>
      <c r="F380" s="39"/>
      <c r="G380" s="39"/>
      <c r="H380" s="39"/>
      <c r="I380" s="39"/>
      <c r="J380" s="39"/>
      <c r="K380" s="39"/>
      <c r="L380" s="39"/>
      <c r="N380" s="216"/>
      <c r="O380" s="216"/>
      <c r="P380" s="39"/>
      <c r="Q380" s="39"/>
      <c r="R380" s="39"/>
    </row>
    <row r="381" spans="1:18" ht="15.75" customHeight="1">
      <c r="A381" s="39"/>
      <c r="B381" s="39"/>
      <c r="C381" s="39"/>
      <c r="D381" s="39"/>
      <c r="E381" s="39"/>
      <c r="F381" s="39"/>
      <c r="G381" s="39"/>
      <c r="H381" s="39"/>
      <c r="I381" s="39"/>
      <c r="J381" s="39"/>
      <c r="K381" s="39"/>
      <c r="L381" s="39"/>
      <c r="N381" s="216"/>
      <c r="O381" s="216"/>
      <c r="P381" s="39"/>
      <c r="Q381" s="39"/>
      <c r="R381" s="39"/>
    </row>
    <row r="382" spans="1:18" ht="15.75" customHeight="1">
      <c r="A382" s="39"/>
      <c r="B382" s="39"/>
      <c r="C382" s="39"/>
      <c r="D382" s="39"/>
      <c r="E382" s="39"/>
      <c r="F382" s="39"/>
      <c r="G382" s="39"/>
      <c r="H382" s="39"/>
      <c r="I382" s="39"/>
      <c r="J382" s="39"/>
      <c r="K382" s="39"/>
      <c r="L382" s="39"/>
      <c r="N382" s="216"/>
      <c r="O382" s="216"/>
      <c r="P382" s="39"/>
      <c r="Q382" s="39"/>
      <c r="R382" s="39"/>
    </row>
    <row r="383" spans="1:18" ht="15.75" customHeight="1">
      <c r="A383" s="39"/>
      <c r="B383" s="39"/>
      <c r="C383" s="39"/>
      <c r="D383" s="39"/>
      <c r="E383" s="39"/>
      <c r="F383" s="39"/>
      <c r="G383" s="39"/>
      <c r="H383" s="39"/>
      <c r="I383" s="39"/>
      <c r="J383" s="39"/>
      <c r="K383" s="39"/>
      <c r="L383" s="39"/>
      <c r="N383" s="216"/>
      <c r="O383" s="216"/>
      <c r="P383" s="39"/>
      <c r="Q383" s="39"/>
      <c r="R383" s="39"/>
    </row>
    <row r="384" spans="1:18" ht="15.75" customHeight="1">
      <c r="A384" s="39"/>
      <c r="B384" s="39"/>
      <c r="C384" s="39"/>
      <c r="D384" s="39"/>
      <c r="E384" s="39"/>
      <c r="F384" s="39"/>
      <c r="G384" s="39"/>
      <c r="H384" s="39"/>
      <c r="I384" s="39"/>
      <c r="J384" s="39"/>
      <c r="K384" s="39"/>
      <c r="L384" s="39"/>
      <c r="N384" s="216"/>
      <c r="O384" s="216"/>
      <c r="P384" s="39"/>
      <c r="Q384" s="39"/>
      <c r="R384" s="39"/>
    </row>
    <row r="385" spans="1:18" ht="15.75" customHeight="1">
      <c r="A385" s="39"/>
      <c r="B385" s="39"/>
      <c r="C385" s="39"/>
      <c r="D385" s="39"/>
      <c r="E385" s="39"/>
      <c r="F385" s="39"/>
      <c r="G385" s="39"/>
      <c r="H385" s="39"/>
      <c r="I385" s="39"/>
      <c r="J385" s="39"/>
      <c r="K385" s="39"/>
      <c r="L385" s="39"/>
      <c r="N385" s="216"/>
      <c r="O385" s="216"/>
      <c r="P385" s="39"/>
      <c r="Q385" s="39"/>
      <c r="R385" s="39"/>
    </row>
    <row r="386" spans="1:18" ht="15.75" customHeight="1">
      <c r="A386" s="39"/>
      <c r="B386" s="39"/>
      <c r="C386" s="39"/>
      <c r="D386" s="39"/>
      <c r="E386" s="39"/>
      <c r="F386" s="39"/>
      <c r="G386" s="39"/>
      <c r="H386" s="39"/>
      <c r="I386" s="39"/>
      <c r="J386" s="39"/>
      <c r="K386" s="39"/>
      <c r="L386" s="39"/>
      <c r="N386" s="216"/>
      <c r="O386" s="216"/>
      <c r="P386" s="39"/>
      <c r="Q386" s="39"/>
      <c r="R386" s="39"/>
    </row>
    <row r="387" spans="1:18" ht="15.75" customHeight="1">
      <c r="A387" s="39"/>
      <c r="B387" s="39"/>
      <c r="C387" s="39"/>
      <c r="D387" s="39"/>
      <c r="E387" s="39"/>
      <c r="F387" s="39"/>
      <c r="G387" s="39"/>
      <c r="H387" s="39"/>
      <c r="I387" s="39"/>
      <c r="J387" s="39"/>
      <c r="K387" s="39"/>
      <c r="L387" s="39"/>
      <c r="N387" s="216"/>
      <c r="O387" s="216"/>
      <c r="P387" s="39"/>
      <c r="Q387" s="39"/>
      <c r="R387" s="39"/>
    </row>
    <row r="388" spans="1:18" ht="15.75" customHeight="1">
      <c r="A388" s="39"/>
      <c r="B388" s="39"/>
      <c r="C388" s="39"/>
      <c r="D388" s="39"/>
      <c r="E388" s="39"/>
      <c r="F388" s="39"/>
      <c r="G388" s="39"/>
      <c r="H388" s="39"/>
      <c r="I388" s="39"/>
      <c r="J388" s="39"/>
      <c r="K388" s="39"/>
      <c r="L388" s="39"/>
      <c r="N388" s="216"/>
      <c r="O388" s="216"/>
      <c r="P388" s="39"/>
      <c r="Q388" s="39"/>
      <c r="R388" s="39"/>
    </row>
    <row r="389" spans="1:18" ht="15.75" customHeight="1">
      <c r="A389" s="39"/>
      <c r="B389" s="39"/>
      <c r="C389" s="39"/>
      <c r="D389" s="39"/>
      <c r="E389" s="39"/>
      <c r="F389" s="39"/>
      <c r="G389" s="39"/>
      <c r="H389" s="39"/>
      <c r="I389" s="39"/>
      <c r="J389" s="39"/>
      <c r="K389" s="39"/>
      <c r="L389" s="39"/>
      <c r="N389" s="216"/>
      <c r="O389" s="216"/>
      <c r="P389" s="39"/>
      <c r="Q389" s="39"/>
      <c r="R389" s="39"/>
    </row>
    <row r="390" spans="1:18" ht="15.75" customHeight="1">
      <c r="A390" s="39"/>
      <c r="B390" s="39"/>
      <c r="C390" s="39"/>
      <c r="D390" s="39"/>
      <c r="E390" s="39"/>
      <c r="F390" s="39"/>
      <c r="G390" s="39"/>
      <c r="H390" s="39"/>
      <c r="I390" s="39"/>
      <c r="J390" s="39"/>
      <c r="K390" s="39"/>
      <c r="L390" s="39"/>
      <c r="N390" s="216"/>
      <c r="O390" s="216"/>
      <c r="P390" s="39"/>
      <c r="Q390" s="39"/>
      <c r="R390" s="39"/>
    </row>
    <row r="391" spans="1:18" ht="15.75" customHeight="1">
      <c r="A391" s="39"/>
      <c r="B391" s="39"/>
      <c r="C391" s="39"/>
      <c r="D391" s="39"/>
      <c r="E391" s="39"/>
      <c r="F391" s="39"/>
      <c r="G391" s="39"/>
      <c r="H391" s="39"/>
      <c r="I391" s="39"/>
      <c r="J391" s="39"/>
      <c r="K391" s="39"/>
      <c r="L391" s="39"/>
      <c r="N391" s="216"/>
      <c r="O391" s="216"/>
      <c r="P391" s="39"/>
      <c r="Q391" s="39"/>
      <c r="R391" s="39"/>
    </row>
    <row r="392" spans="1:18" ht="15.75" customHeight="1">
      <c r="A392" s="39"/>
      <c r="B392" s="39"/>
      <c r="C392" s="39"/>
      <c r="D392" s="39"/>
      <c r="E392" s="39"/>
      <c r="F392" s="39"/>
      <c r="G392" s="39"/>
      <c r="H392" s="39"/>
      <c r="I392" s="39"/>
      <c r="J392" s="39"/>
      <c r="K392" s="39"/>
      <c r="L392" s="39"/>
      <c r="N392" s="216"/>
      <c r="O392" s="216"/>
      <c r="P392" s="39"/>
      <c r="Q392" s="39"/>
      <c r="R392" s="39"/>
    </row>
    <row r="393" spans="1:18" ht="15.75" customHeight="1">
      <c r="A393" s="39"/>
      <c r="B393" s="39"/>
      <c r="C393" s="39"/>
      <c r="D393" s="39"/>
      <c r="E393" s="39"/>
      <c r="F393" s="39"/>
      <c r="G393" s="39"/>
      <c r="H393" s="39"/>
      <c r="I393" s="39"/>
      <c r="J393" s="39"/>
      <c r="K393" s="39"/>
      <c r="L393" s="39"/>
      <c r="N393" s="216"/>
      <c r="O393" s="216"/>
      <c r="P393" s="39"/>
      <c r="Q393" s="39"/>
      <c r="R393" s="39"/>
    </row>
    <row r="394" spans="1:18" ht="15.75" customHeight="1">
      <c r="A394" s="39"/>
      <c r="B394" s="39"/>
      <c r="C394" s="39"/>
      <c r="D394" s="39"/>
      <c r="E394" s="39"/>
      <c r="F394" s="39"/>
      <c r="G394" s="39"/>
      <c r="H394" s="39"/>
      <c r="I394" s="39"/>
      <c r="J394" s="39"/>
      <c r="K394" s="39"/>
      <c r="L394" s="39"/>
      <c r="N394" s="216"/>
      <c r="O394" s="216"/>
      <c r="P394" s="39"/>
      <c r="Q394" s="39"/>
      <c r="R394" s="39"/>
    </row>
    <row r="395" spans="1:18" ht="15.75" customHeight="1">
      <c r="A395" s="39"/>
      <c r="B395" s="39"/>
      <c r="C395" s="39"/>
      <c r="D395" s="39"/>
      <c r="E395" s="39"/>
      <c r="F395" s="39"/>
      <c r="G395" s="39"/>
      <c r="H395" s="39"/>
      <c r="I395" s="39"/>
      <c r="J395" s="39"/>
      <c r="K395" s="39"/>
      <c r="L395" s="39"/>
      <c r="N395" s="216"/>
      <c r="O395" s="216"/>
      <c r="P395" s="39"/>
      <c r="Q395" s="39"/>
      <c r="R395" s="39"/>
    </row>
    <row r="396" spans="1:18" ht="15.75" customHeight="1">
      <c r="A396" s="39"/>
      <c r="B396" s="39"/>
      <c r="C396" s="39"/>
      <c r="D396" s="39"/>
      <c r="E396" s="39"/>
      <c r="F396" s="39"/>
      <c r="G396" s="39"/>
      <c r="H396" s="39"/>
      <c r="I396" s="39"/>
      <c r="J396" s="39"/>
      <c r="K396" s="39"/>
      <c r="L396" s="39"/>
      <c r="N396" s="216"/>
      <c r="O396" s="216"/>
      <c r="P396" s="39"/>
      <c r="Q396" s="39"/>
      <c r="R396" s="39"/>
    </row>
    <row r="397" spans="1:18" ht="15.75" customHeight="1">
      <c r="A397" s="39"/>
      <c r="B397" s="39"/>
      <c r="C397" s="39"/>
      <c r="D397" s="39"/>
      <c r="E397" s="39"/>
      <c r="F397" s="39"/>
      <c r="G397" s="39"/>
      <c r="H397" s="39"/>
      <c r="I397" s="39"/>
      <c r="J397" s="39"/>
      <c r="K397" s="39"/>
      <c r="L397" s="39"/>
      <c r="N397" s="216"/>
      <c r="O397" s="216"/>
      <c r="P397" s="39"/>
      <c r="Q397" s="39"/>
      <c r="R397" s="39"/>
    </row>
    <row r="398" spans="1:18" ht="15.75" customHeight="1">
      <c r="A398" s="39"/>
      <c r="B398" s="39"/>
      <c r="C398" s="39"/>
      <c r="D398" s="39"/>
      <c r="E398" s="39"/>
      <c r="F398" s="39"/>
      <c r="G398" s="39"/>
      <c r="H398" s="39"/>
      <c r="I398" s="39"/>
      <c r="J398" s="39"/>
      <c r="K398" s="39"/>
      <c r="L398" s="39"/>
      <c r="N398" s="216"/>
      <c r="O398" s="216"/>
      <c r="P398" s="39"/>
      <c r="Q398" s="39"/>
      <c r="R398" s="39"/>
    </row>
    <row r="399" spans="1:18" ht="15.75" customHeight="1">
      <c r="A399" s="39"/>
      <c r="B399" s="39"/>
      <c r="C399" s="39"/>
      <c r="D399" s="39"/>
      <c r="E399" s="39"/>
      <c r="F399" s="39"/>
      <c r="G399" s="39"/>
      <c r="H399" s="39"/>
      <c r="I399" s="39"/>
      <c r="J399" s="39"/>
      <c r="K399" s="39"/>
      <c r="L399" s="39"/>
      <c r="N399" s="216"/>
      <c r="O399" s="216"/>
      <c r="P399" s="39"/>
      <c r="Q399" s="39"/>
      <c r="R399" s="39"/>
    </row>
    <row r="400" spans="1:18" ht="15.75" customHeight="1">
      <c r="A400" s="39"/>
      <c r="B400" s="39"/>
      <c r="C400" s="39"/>
      <c r="D400" s="39"/>
      <c r="E400" s="39"/>
      <c r="F400" s="39"/>
      <c r="G400" s="39"/>
      <c r="H400" s="39"/>
      <c r="I400" s="39"/>
      <c r="J400" s="39"/>
      <c r="K400" s="39"/>
      <c r="L400" s="39"/>
      <c r="N400" s="216"/>
      <c r="O400" s="216"/>
      <c r="P400" s="39"/>
      <c r="Q400" s="39"/>
      <c r="R400" s="39"/>
    </row>
    <row r="401" spans="1:18" ht="15.75" customHeight="1">
      <c r="A401" s="39"/>
      <c r="B401" s="39"/>
      <c r="C401" s="39"/>
      <c r="D401" s="39"/>
      <c r="E401" s="39"/>
      <c r="F401" s="39"/>
      <c r="G401" s="39"/>
      <c r="H401" s="39"/>
      <c r="I401" s="39"/>
      <c r="J401" s="39"/>
      <c r="K401" s="39"/>
      <c r="L401" s="39"/>
      <c r="N401" s="216"/>
      <c r="O401" s="216"/>
      <c r="P401" s="39"/>
      <c r="Q401" s="39"/>
      <c r="R401" s="39"/>
    </row>
    <row r="402" spans="1:18" ht="15.75" customHeight="1">
      <c r="A402" s="39"/>
      <c r="B402" s="39"/>
      <c r="C402" s="39"/>
      <c r="D402" s="39"/>
      <c r="E402" s="39"/>
      <c r="F402" s="39"/>
      <c r="G402" s="39"/>
      <c r="H402" s="39"/>
      <c r="I402" s="39"/>
      <c r="J402" s="39"/>
      <c r="K402" s="39"/>
      <c r="L402" s="39"/>
      <c r="N402" s="216"/>
      <c r="O402" s="216"/>
      <c r="P402" s="39"/>
      <c r="Q402" s="39"/>
      <c r="R402" s="39"/>
    </row>
    <row r="403" spans="1:18" ht="15.75" customHeight="1">
      <c r="A403" s="39"/>
      <c r="B403" s="39"/>
      <c r="C403" s="39"/>
      <c r="D403" s="39"/>
      <c r="E403" s="39"/>
      <c r="F403" s="39"/>
      <c r="G403" s="39"/>
      <c r="H403" s="39"/>
      <c r="I403" s="39"/>
      <c r="J403" s="39"/>
      <c r="K403" s="39"/>
      <c r="L403" s="39"/>
      <c r="N403" s="216"/>
      <c r="O403" s="216"/>
      <c r="P403" s="39"/>
      <c r="Q403" s="39"/>
      <c r="R403" s="39"/>
    </row>
    <row r="404" spans="1:18" ht="15.75" customHeight="1">
      <c r="A404" s="39"/>
      <c r="B404" s="39"/>
      <c r="C404" s="39"/>
      <c r="D404" s="39"/>
      <c r="E404" s="39"/>
      <c r="F404" s="39"/>
      <c r="G404" s="39"/>
      <c r="H404" s="39"/>
      <c r="I404" s="39"/>
      <c r="J404" s="39"/>
      <c r="K404" s="39"/>
      <c r="L404" s="39"/>
      <c r="N404" s="216"/>
      <c r="O404" s="216"/>
      <c r="P404" s="39"/>
      <c r="Q404" s="39"/>
      <c r="R404" s="39"/>
    </row>
    <row r="405" spans="1:18" ht="15.75" customHeight="1">
      <c r="A405" s="39"/>
      <c r="B405" s="39"/>
      <c r="C405" s="39"/>
      <c r="D405" s="39"/>
      <c r="E405" s="39"/>
      <c r="F405" s="39"/>
      <c r="G405" s="39"/>
      <c r="H405" s="39"/>
      <c r="I405" s="39"/>
      <c r="J405" s="39"/>
      <c r="K405" s="39"/>
      <c r="L405" s="39"/>
      <c r="N405" s="216"/>
      <c r="O405" s="216"/>
      <c r="P405" s="39"/>
      <c r="Q405" s="39"/>
      <c r="R405" s="39"/>
    </row>
    <row r="406" spans="1:18" ht="15.75" customHeight="1">
      <c r="A406" s="39"/>
      <c r="B406" s="39"/>
      <c r="C406" s="39"/>
      <c r="D406" s="39"/>
      <c r="E406" s="39"/>
      <c r="F406" s="39"/>
      <c r="G406" s="39"/>
      <c r="H406" s="39"/>
      <c r="I406" s="39"/>
      <c r="J406" s="39"/>
      <c r="K406" s="39"/>
      <c r="L406" s="39"/>
      <c r="N406" s="216"/>
      <c r="O406" s="216"/>
      <c r="P406" s="39"/>
      <c r="Q406" s="39"/>
      <c r="R406" s="39"/>
    </row>
    <row r="407" spans="1:18" ht="15.75" customHeight="1">
      <c r="A407" s="39"/>
      <c r="B407" s="39"/>
      <c r="C407" s="39"/>
      <c r="D407" s="39"/>
      <c r="E407" s="39"/>
      <c r="F407" s="39"/>
      <c r="G407" s="39"/>
      <c r="H407" s="39"/>
      <c r="I407" s="39"/>
      <c r="J407" s="39"/>
      <c r="K407" s="39"/>
      <c r="L407" s="39"/>
      <c r="N407" s="216"/>
      <c r="O407" s="216"/>
      <c r="P407" s="39"/>
      <c r="Q407" s="39"/>
      <c r="R407" s="39"/>
    </row>
    <row r="408" spans="1:18" ht="15.75" customHeight="1">
      <c r="A408" s="39"/>
      <c r="B408" s="39"/>
      <c r="C408" s="39"/>
      <c r="D408" s="39"/>
      <c r="E408" s="39"/>
      <c r="F408" s="39"/>
      <c r="G408" s="39"/>
      <c r="H408" s="39"/>
      <c r="I408" s="39"/>
      <c r="J408" s="39"/>
      <c r="K408" s="39"/>
      <c r="L408" s="39"/>
      <c r="N408" s="216"/>
      <c r="O408" s="216"/>
      <c r="P408" s="39"/>
      <c r="Q408" s="39"/>
      <c r="R408" s="39"/>
    </row>
    <row r="409" spans="1:18" ht="15.75" customHeight="1">
      <c r="A409" s="39"/>
      <c r="B409" s="39"/>
      <c r="C409" s="39"/>
      <c r="D409" s="39"/>
      <c r="E409" s="39"/>
      <c r="F409" s="39"/>
      <c r="G409" s="39"/>
      <c r="H409" s="39"/>
      <c r="I409" s="39"/>
      <c r="J409" s="39"/>
      <c r="K409" s="39"/>
      <c r="L409" s="39"/>
      <c r="N409" s="216"/>
      <c r="O409" s="216"/>
      <c r="P409" s="39"/>
      <c r="Q409" s="39"/>
      <c r="R409" s="39"/>
    </row>
    <row r="410" spans="1:18" ht="15.75" customHeight="1">
      <c r="A410" s="39"/>
      <c r="B410" s="39"/>
      <c r="C410" s="39"/>
      <c r="D410" s="39"/>
      <c r="E410" s="39"/>
      <c r="F410" s="39"/>
      <c r="G410" s="39"/>
      <c r="H410" s="39"/>
      <c r="I410" s="39"/>
      <c r="J410" s="39"/>
      <c r="K410" s="39"/>
      <c r="L410" s="39"/>
      <c r="N410" s="216"/>
      <c r="O410" s="216"/>
      <c r="P410" s="39"/>
      <c r="Q410" s="39"/>
      <c r="R410" s="39"/>
    </row>
    <row r="411" spans="1:18" ht="15.75" customHeight="1">
      <c r="A411" s="39"/>
      <c r="B411" s="39"/>
      <c r="C411" s="39"/>
      <c r="D411" s="39"/>
      <c r="E411" s="39"/>
      <c r="F411" s="39"/>
      <c r="G411" s="39"/>
      <c r="H411" s="39"/>
      <c r="I411" s="39"/>
      <c r="J411" s="39"/>
      <c r="K411" s="39"/>
      <c r="L411" s="39"/>
      <c r="N411" s="216"/>
      <c r="O411" s="216"/>
      <c r="P411" s="39"/>
      <c r="Q411" s="39"/>
      <c r="R411" s="39"/>
    </row>
    <row r="412" spans="1:18" ht="15.75" customHeight="1">
      <c r="A412" s="39"/>
      <c r="B412" s="39"/>
      <c r="C412" s="39"/>
      <c r="D412" s="39"/>
      <c r="E412" s="39"/>
      <c r="F412" s="39"/>
      <c r="G412" s="39"/>
      <c r="H412" s="39"/>
      <c r="I412" s="39"/>
      <c r="J412" s="39"/>
      <c r="K412" s="39"/>
      <c r="L412" s="39"/>
      <c r="N412" s="216"/>
      <c r="O412" s="216"/>
      <c r="P412" s="39"/>
      <c r="Q412" s="39"/>
      <c r="R412" s="39"/>
    </row>
    <row r="413" spans="1:18" ht="15.75" customHeight="1">
      <c r="A413" s="39"/>
      <c r="B413" s="39"/>
      <c r="C413" s="39"/>
      <c r="D413" s="39"/>
      <c r="E413" s="39"/>
      <c r="F413" s="39"/>
      <c r="G413" s="39"/>
      <c r="H413" s="39"/>
      <c r="I413" s="39"/>
      <c r="J413" s="39"/>
      <c r="K413" s="39"/>
      <c r="L413" s="39"/>
      <c r="N413" s="216"/>
      <c r="O413" s="216"/>
      <c r="P413" s="39"/>
      <c r="Q413" s="39"/>
      <c r="R413" s="39"/>
    </row>
    <row r="414" spans="1:18" ht="15.75" customHeight="1">
      <c r="A414" s="39"/>
      <c r="B414" s="39"/>
      <c r="C414" s="39"/>
      <c r="D414" s="39"/>
      <c r="E414" s="39"/>
      <c r="F414" s="39"/>
      <c r="G414" s="39"/>
      <c r="H414" s="39"/>
      <c r="I414" s="39"/>
      <c r="J414" s="39"/>
      <c r="K414" s="39"/>
      <c r="L414" s="39"/>
      <c r="N414" s="216"/>
      <c r="O414" s="216"/>
      <c r="P414" s="39"/>
      <c r="Q414" s="39"/>
      <c r="R414" s="39"/>
    </row>
    <row r="415" spans="1:18" ht="15.75" customHeight="1">
      <c r="A415" s="39"/>
      <c r="B415" s="39"/>
      <c r="C415" s="39"/>
      <c r="D415" s="39"/>
      <c r="E415" s="39"/>
      <c r="F415" s="39"/>
      <c r="G415" s="39"/>
      <c r="H415" s="39"/>
      <c r="I415" s="39"/>
      <c r="J415" s="39"/>
      <c r="K415" s="39"/>
      <c r="L415" s="39"/>
      <c r="N415" s="216"/>
      <c r="O415" s="216"/>
      <c r="P415" s="39"/>
      <c r="Q415" s="39"/>
      <c r="R415" s="39"/>
    </row>
    <row r="416" spans="1:18" ht="15.75" customHeight="1">
      <c r="A416" s="39"/>
      <c r="B416" s="39"/>
      <c r="C416" s="39"/>
      <c r="D416" s="39"/>
      <c r="E416" s="39"/>
      <c r="F416" s="39"/>
      <c r="G416" s="39"/>
      <c r="H416" s="39"/>
      <c r="I416" s="39"/>
      <c r="J416" s="39"/>
      <c r="K416" s="39"/>
      <c r="L416" s="39"/>
      <c r="N416" s="216"/>
      <c r="O416" s="216"/>
      <c r="P416" s="39"/>
      <c r="Q416" s="39"/>
      <c r="R416" s="39"/>
    </row>
    <row r="417" spans="1:18" ht="15.75" customHeight="1">
      <c r="A417" s="39"/>
      <c r="B417" s="39"/>
      <c r="C417" s="39"/>
      <c r="D417" s="39"/>
      <c r="E417" s="39"/>
      <c r="F417" s="39"/>
      <c r="G417" s="39"/>
      <c r="H417" s="39"/>
      <c r="I417" s="39"/>
      <c r="J417" s="39"/>
      <c r="K417" s="39"/>
      <c r="L417" s="39"/>
      <c r="N417" s="216"/>
      <c r="O417" s="216"/>
      <c r="P417" s="39"/>
      <c r="Q417" s="39"/>
      <c r="R417" s="39"/>
    </row>
    <row r="418" spans="1:18" ht="15.75" customHeight="1">
      <c r="A418" s="39"/>
      <c r="B418" s="39"/>
      <c r="C418" s="39"/>
      <c r="D418" s="39"/>
      <c r="E418" s="39"/>
      <c r="F418" s="39"/>
      <c r="G418" s="39"/>
      <c r="H418" s="39"/>
      <c r="I418" s="39"/>
      <c r="J418" s="39"/>
      <c r="K418" s="39"/>
      <c r="L418" s="39"/>
      <c r="N418" s="216"/>
      <c r="O418" s="216"/>
      <c r="P418" s="39"/>
      <c r="Q418" s="39"/>
      <c r="R418" s="39"/>
    </row>
    <row r="419" spans="1:18" ht="15.75" customHeight="1">
      <c r="A419" s="39"/>
      <c r="B419" s="39"/>
      <c r="C419" s="39"/>
      <c r="D419" s="39"/>
      <c r="E419" s="39"/>
      <c r="F419" s="39"/>
      <c r="G419" s="39"/>
      <c r="H419" s="39"/>
      <c r="I419" s="39"/>
      <c r="J419" s="39"/>
      <c r="K419" s="39"/>
      <c r="L419" s="39"/>
      <c r="N419" s="216"/>
      <c r="O419" s="216"/>
      <c r="P419" s="39"/>
      <c r="Q419" s="39"/>
      <c r="R419" s="39"/>
    </row>
    <row r="420" spans="1:18" ht="15.75" customHeight="1">
      <c r="A420" s="39"/>
      <c r="B420" s="39"/>
      <c r="C420" s="39"/>
      <c r="D420" s="39"/>
      <c r="E420" s="39"/>
      <c r="F420" s="39"/>
      <c r="G420" s="39"/>
      <c r="H420" s="39"/>
      <c r="I420" s="39"/>
      <c r="J420" s="39"/>
      <c r="K420" s="39"/>
      <c r="L420" s="39"/>
      <c r="N420" s="216"/>
      <c r="O420" s="216"/>
      <c r="P420" s="39"/>
      <c r="Q420" s="39"/>
      <c r="R420" s="39"/>
    </row>
    <row r="421" spans="1:18" ht="15.75" customHeight="1">
      <c r="A421" s="39"/>
      <c r="B421" s="39"/>
      <c r="C421" s="39"/>
      <c r="D421" s="39"/>
      <c r="E421" s="39"/>
      <c r="F421" s="39"/>
      <c r="G421" s="39"/>
      <c r="H421" s="39"/>
      <c r="I421" s="39"/>
      <c r="J421" s="39"/>
      <c r="K421" s="39"/>
      <c r="L421" s="39"/>
      <c r="N421" s="216"/>
      <c r="O421" s="216"/>
      <c r="P421" s="39"/>
      <c r="Q421" s="39"/>
      <c r="R421" s="39"/>
    </row>
    <row r="422" spans="1:18" ht="15.75" customHeight="1">
      <c r="A422" s="39"/>
      <c r="B422" s="39"/>
      <c r="C422" s="39"/>
      <c r="D422" s="39"/>
      <c r="E422" s="39"/>
      <c r="F422" s="39"/>
      <c r="G422" s="39"/>
      <c r="H422" s="39"/>
      <c r="I422" s="39"/>
      <c r="J422" s="39"/>
      <c r="K422" s="39"/>
      <c r="L422" s="39"/>
      <c r="N422" s="216"/>
      <c r="O422" s="216"/>
      <c r="P422" s="39"/>
      <c r="Q422" s="39"/>
      <c r="R422" s="39"/>
    </row>
    <row r="423" spans="1:18" ht="15.75" customHeight="1">
      <c r="A423" s="39"/>
      <c r="B423" s="39"/>
      <c r="C423" s="39"/>
      <c r="D423" s="39"/>
      <c r="E423" s="39"/>
      <c r="F423" s="39"/>
      <c r="G423" s="39"/>
      <c r="H423" s="39"/>
      <c r="I423" s="39"/>
      <c r="J423" s="39"/>
      <c r="K423" s="39"/>
      <c r="L423" s="39"/>
      <c r="N423" s="216"/>
      <c r="O423" s="216"/>
      <c r="P423" s="39"/>
      <c r="Q423" s="39"/>
      <c r="R423" s="39"/>
    </row>
    <row r="424" spans="1:18" ht="15.75" customHeight="1">
      <c r="A424" s="39"/>
      <c r="B424" s="39"/>
      <c r="C424" s="39"/>
      <c r="D424" s="39"/>
      <c r="E424" s="39"/>
      <c r="F424" s="39"/>
      <c r="G424" s="39"/>
      <c r="H424" s="39"/>
      <c r="I424" s="39"/>
      <c r="J424" s="39"/>
      <c r="K424" s="39"/>
      <c r="L424" s="39"/>
      <c r="N424" s="216"/>
      <c r="O424" s="216"/>
      <c r="P424" s="39"/>
      <c r="Q424" s="39"/>
      <c r="R424" s="39"/>
    </row>
    <row r="425" spans="1:18" ht="15.75" customHeight="1">
      <c r="A425" s="39"/>
      <c r="B425" s="39"/>
      <c r="C425" s="39"/>
      <c r="D425" s="39"/>
      <c r="E425" s="39"/>
      <c r="F425" s="39"/>
      <c r="G425" s="39"/>
      <c r="H425" s="39"/>
      <c r="I425" s="39"/>
      <c r="J425" s="39"/>
      <c r="K425" s="39"/>
      <c r="L425" s="39"/>
      <c r="N425" s="216"/>
      <c r="O425" s="216"/>
      <c r="P425" s="39"/>
      <c r="Q425" s="39"/>
      <c r="R425" s="39"/>
    </row>
    <row r="426" spans="1:18" ht="15.75" customHeight="1">
      <c r="A426" s="39"/>
      <c r="B426" s="39"/>
      <c r="C426" s="39"/>
      <c r="D426" s="39"/>
      <c r="E426" s="39"/>
      <c r="F426" s="39"/>
      <c r="G426" s="39"/>
      <c r="H426" s="39"/>
      <c r="I426" s="39"/>
      <c r="J426" s="39"/>
      <c r="K426" s="39"/>
      <c r="L426" s="39"/>
      <c r="N426" s="216"/>
      <c r="O426" s="216"/>
      <c r="P426" s="39"/>
      <c r="Q426" s="39"/>
      <c r="R426" s="39"/>
    </row>
    <row r="427" spans="1:18" ht="15.75" customHeight="1">
      <c r="A427" s="39"/>
      <c r="B427" s="39"/>
      <c r="C427" s="39"/>
      <c r="D427" s="39"/>
      <c r="E427" s="39"/>
      <c r="F427" s="39"/>
      <c r="G427" s="39"/>
      <c r="H427" s="39"/>
      <c r="I427" s="39"/>
      <c r="J427" s="39"/>
      <c r="K427" s="39"/>
      <c r="L427" s="39"/>
      <c r="N427" s="216"/>
      <c r="O427" s="216"/>
      <c r="P427" s="39"/>
      <c r="Q427" s="39"/>
      <c r="R427" s="39"/>
    </row>
    <row r="428" spans="1:18" ht="15.75" customHeight="1">
      <c r="A428" s="39"/>
      <c r="B428" s="39"/>
      <c r="C428" s="39"/>
      <c r="D428" s="39"/>
      <c r="E428" s="39"/>
      <c r="F428" s="39"/>
      <c r="G428" s="39"/>
      <c r="H428" s="39"/>
      <c r="I428" s="39"/>
      <c r="J428" s="39"/>
      <c r="K428" s="39"/>
      <c r="L428" s="39"/>
      <c r="N428" s="216"/>
      <c r="O428" s="216"/>
      <c r="P428" s="39"/>
      <c r="Q428" s="39"/>
      <c r="R428" s="39"/>
    </row>
    <row r="429" spans="1:18" ht="15.75" customHeight="1">
      <c r="A429" s="39"/>
      <c r="B429" s="39"/>
      <c r="C429" s="39"/>
      <c r="D429" s="39"/>
      <c r="E429" s="39"/>
      <c r="F429" s="39"/>
      <c r="G429" s="39"/>
      <c r="H429" s="39"/>
      <c r="I429" s="39"/>
      <c r="J429" s="39"/>
      <c r="K429" s="39"/>
      <c r="L429" s="39"/>
      <c r="N429" s="216"/>
      <c r="O429" s="216"/>
      <c r="P429" s="39"/>
      <c r="Q429" s="39"/>
      <c r="R429" s="39"/>
    </row>
    <row r="430" spans="1:18" ht="15.75" customHeight="1">
      <c r="A430" s="39"/>
      <c r="B430" s="39"/>
      <c r="C430" s="39"/>
      <c r="D430" s="39"/>
      <c r="E430" s="39"/>
      <c r="F430" s="39"/>
      <c r="G430" s="39"/>
      <c r="H430" s="39"/>
      <c r="I430" s="39"/>
      <c r="J430" s="39"/>
      <c r="K430" s="39"/>
      <c r="L430" s="39"/>
      <c r="N430" s="216"/>
      <c r="O430" s="216"/>
      <c r="P430" s="39"/>
      <c r="Q430" s="39"/>
      <c r="R430" s="39"/>
    </row>
    <row r="431" spans="1:18" ht="15.75" customHeight="1">
      <c r="A431" s="39"/>
      <c r="B431" s="39"/>
      <c r="C431" s="39"/>
      <c r="D431" s="39"/>
      <c r="E431" s="39"/>
      <c r="F431" s="39"/>
      <c r="G431" s="39"/>
      <c r="H431" s="39"/>
      <c r="I431" s="39"/>
      <c r="J431" s="39"/>
      <c r="K431" s="39"/>
      <c r="L431" s="39"/>
      <c r="N431" s="216"/>
      <c r="O431" s="216"/>
      <c r="P431" s="39"/>
      <c r="Q431" s="39"/>
      <c r="R431" s="39"/>
    </row>
    <row r="432" spans="1:18" ht="15.75" customHeight="1">
      <c r="A432" s="39"/>
      <c r="B432" s="39"/>
      <c r="C432" s="39"/>
      <c r="D432" s="39"/>
      <c r="E432" s="39"/>
      <c r="F432" s="39"/>
      <c r="G432" s="39"/>
      <c r="H432" s="39"/>
      <c r="I432" s="39"/>
      <c r="J432" s="39"/>
      <c r="K432" s="39"/>
      <c r="L432" s="39"/>
      <c r="N432" s="216"/>
      <c r="O432" s="216"/>
      <c r="P432" s="39"/>
      <c r="Q432" s="39"/>
      <c r="R432" s="39"/>
    </row>
    <row r="433" spans="1:18" ht="15.75" customHeight="1">
      <c r="A433" s="39"/>
      <c r="B433" s="39"/>
      <c r="C433" s="39"/>
      <c r="D433" s="39"/>
      <c r="E433" s="39"/>
      <c r="F433" s="39"/>
      <c r="G433" s="39"/>
      <c r="H433" s="39"/>
      <c r="I433" s="39"/>
      <c r="J433" s="39"/>
      <c r="K433" s="39"/>
      <c r="L433" s="39"/>
      <c r="N433" s="216"/>
      <c r="O433" s="216"/>
      <c r="P433" s="39"/>
      <c r="Q433" s="39"/>
      <c r="R433" s="39"/>
    </row>
    <row r="434" spans="1:18" ht="15.75" customHeight="1">
      <c r="A434" s="39"/>
      <c r="B434" s="39"/>
      <c r="C434" s="39"/>
      <c r="D434" s="39"/>
      <c r="E434" s="39"/>
      <c r="F434" s="39"/>
      <c r="G434" s="39"/>
      <c r="H434" s="39"/>
      <c r="I434" s="39"/>
      <c r="J434" s="39"/>
      <c r="K434" s="39"/>
      <c r="L434" s="39"/>
      <c r="N434" s="216"/>
      <c r="O434" s="216"/>
      <c r="P434" s="39"/>
      <c r="Q434" s="39"/>
      <c r="R434" s="39"/>
    </row>
    <row r="435" spans="1:18" ht="15.75" customHeight="1">
      <c r="A435" s="39"/>
      <c r="B435" s="39"/>
      <c r="C435" s="39"/>
      <c r="D435" s="39"/>
      <c r="E435" s="39"/>
      <c r="F435" s="39"/>
      <c r="G435" s="39"/>
      <c r="H435" s="39"/>
      <c r="I435" s="39"/>
      <c r="J435" s="39"/>
      <c r="K435" s="39"/>
      <c r="L435" s="39"/>
      <c r="N435" s="216"/>
      <c r="O435" s="216"/>
      <c r="P435" s="39"/>
      <c r="Q435" s="39"/>
      <c r="R435" s="39"/>
    </row>
    <row r="436" spans="1:18" ht="15.75" customHeight="1">
      <c r="A436" s="39"/>
      <c r="B436" s="39"/>
      <c r="C436" s="39"/>
      <c r="D436" s="39"/>
      <c r="E436" s="39"/>
      <c r="F436" s="39"/>
      <c r="G436" s="39"/>
      <c r="H436" s="39"/>
      <c r="I436" s="39"/>
      <c r="J436" s="39"/>
      <c r="K436" s="39"/>
      <c r="L436" s="39"/>
      <c r="N436" s="216"/>
      <c r="O436" s="216"/>
      <c r="P436" s="39"/>
      <c r="Q436" s="39"/>
      <c r="R436" s="39"/>
    </row>
    <row r="437" spans="1:18" ht="15.75" customHeight="1">
      <c r="A437" s="39"/>
      <c r="B437" s="39"/>
      <c r="C437" s="39"/>
      <c r="D437" s="39"/>
      <c r="E437" s="39"/>
      <c r="F437" s="39"/>
      <c r="G437" s="39"/>
      <c r="H437" s="39"/>
      <c r="I437" s="39"/>
      <c r="J437" s="39"/>
      <c r="K437" s="39"/>
      <c r="L437" s="39"/>
      <c r="N437" s="216"/>
      <c r="O437" s="216"/>
      <c r="P437" s="39"/>
      <c r="Q437" s="39"/>
      <c r="R437" s="39"/>
    </row>
    <row r="438" spans="1:18" ht="15.75" customHeight="1">
      <c r="A438" s="39"/>
      <c r="B438" s="39"/>
      <c r="C438" s="39"/>
      <c r="D438" s="39"/>
      <c r="E438" s="39"/>
      <c r="F438" s="39"/>
      <c r="G438" s="39"/>
      <c r="H438" s="39"/>
      <c r="I438" s="39"/>
      <c r="J438" s="39"/>
      <c r="K438" s="39"/>
      <c r="L438" s="39"/>
      <c r="N438" s="216"/>
      <c r="O438" s="216"/>
      <c r="P438" s="39"/>
      <c r="Q438" s="39"/>
      <c r="R438" s="39"/>
    </row>
    <row r="439" spans="1:18" ht="15.75" customHeight="1">
      <c r="A439" s="39"/>
      <c r="B439" s="39"/>
      <c r="C439" s="39"/>
      <c r="D439" s="39"/>
      <c r="E439" s="39"/>
      <c r="F439" s="39"/>
      <c r="G439" s="39"/>
      <c r="H439" s="39"/>
      <c r="I439" s="39"/>
      <c r="J439" s="39"/>
      <c r="K439" s="39"/>
      <c r="L439" s="39"/>
      <c r="N439" s="216"/>
      <c r="O439" s="216"/>
      <c r="P439" s="39"/>
      <c r="Q439" s="39"/>
      <c r="R439" s="39"/>
    </row>
    <row r="440" spans="1:18" ht="15.75" customHeight="1">
      <c r="A440" s="39"/>
      <c r="B440" s="39"/>
      <c r="C440" s="39"/>
      <c r="D440" s="39"/>
      <c r="E440" s="39"/>
      <c r="F440" s="39"/>
      <c r="G440" s="39"/>
      <c r="H440" s="39"/>
      <c r="I440" s="39"/>
      <c r="J440" s="39"/>
      <c r="K440" s="39"/>
      <c r="L440" s="39"/>
      <c r="N440" s="216"/>
      <c r="O440" s="216"/>
      <c r="P440" s="39"/>
      <c r="Q440" s="39"/>
      <c r="R440" s="39"/>
    </row>
    <row r="441" spans="1:18" ht="15.75" customHeight="1">
      <c r="A441" s="39"/>
      <c r="B441" s="39"/>
      <c r="C441" s="39"/>
      <c r="D441" s="39"/>
      <c r="E441" s="39"/>
      <c r="F441" s="39"/>
      <c r="G441" s="39"/>
      <c r="H441" s="39"/>
      <c r="I441" s="39"/>
      <c r="J441" s="39"/>
      <c r="K441" s="39"/>
      <c r="L441" s="39"/>
      <c r="N441" s="216"/>
      <c r="O441" s="216"/>
      <c r="P441" s="39"/>
      <c r="Q441" s="39"/>
      <c r="R441" s="39"/>
    </row>
    <row r="442" spans="1:18" ht="15.75" customHeight="1">
      <c r="A442" s="39"/>
      <c r="B442" s="39"/>
      <c r="C442" s="39"/>
      <c r="D442" s="39"/>
      <c r="E442" s="39"/>
      <c r="F442" s="39"/>
      <c r="G442" s="39"/>
      <c r="H442" s="39"/>
      <c r="I442" s="39"/>
      <c r="J442" s="39"/>
      <c r="K442" s="39"/>
      <c r="L442" s="39"/>
      <c r="N442" s="216"/>
      <c r="O442" s="216"/>
      <c r="P442" s="39"/>
      <c r="Q442" s="39"/>
      <c r="R442" s="39"/>
    </row>
    <row r="443" spans="1:18" ht="15.75" customHeight="1">
      <c r="A443" s="39"/>
      <c r="B443" s="39"/>
      <c r="C443" s="39"/>
      <c r="D443" s="39"/>
      <c r="E443" s="39"/>
      <c r="F443" s="39"/>
      <c r="G443" s="39"/>
      <c r="H443" s="39"/>
      <c r="I443" s="39"/>
      <c r="J443" s="39"/>
      <c r="K443" s="39"/>
      <c r="L443" s="39"/>
      <c r="N443" s="216"/>
      <c r="O443" s="216"/>
      <c r="P443" s="39"/>
      <c r="Q443" s="39"/>
      <c r="R443" s="39"/>
    </row>
    <row r="444" spans="1:18" ht="15.75" customHeight="1">
      <c r="A444" s="39"/>
      <c r="B444" s="39"/>
      <c r="C444" s="39"/>
      <c r="D444" s="39"/>
      <c r="E444" s="39"/>
      <c r="F444" s="39"/>
      <c r="G444" s="39"/>
      <c r="H444" s="39"/>
      <c r="I444" s="39"/>
      <c r="J444" s="39"/>
      <c r="K444" s="39"/>
      <c r="L444" s="39"/>
      <c r="N444" s="216"/>
      <c r="O444" s="216"/>
      <c r="P444" s="39"/>
      <c r="Q444" s="39"/>
      <c r="R444" s="39"/>
    </row>
    <row r="445" spans="1:18" ht="15.75" customHeight="1">
      <c r="A445" s="39"/>
      <c r="B445" s="39"/>
      <c r="C445" s="39"/>
      <c r="D445" s="39"/>
      <c r="E445" s="39"/>
      <c r="F445" s="39"/>
      <c r="G445" s="39"/>
      <c r="H445" s="39"/>
      <c r="I445" s="39"/>
      <c r="J445" s="39"/>
      <c r="K445" s="39"/>
      <c r="L445" s="39"/>
      <c r="N445" s="216"/>
      <c r="O445" s="216"/>
      <c r="P445" s="39"/>
      <c r="Q445" s="39"/>
      <c r="R445" s="39"/>
    </row>
    <row r="446" spans="1:18" ht="15.75" customHeight="1">
      <c r="A446" s="39"/>
      <c r="B446" s="39"/>
      <c r="C446" s="39"/>
      <c r="D446" s="39"/>
      <c r="E446" s="39"/>
      <c r="F446" s="39"/>
      <c r="G446" s="39"/>
      <c r="H446" s="39"/>
      <c r="I446" s="39"/>
      <c r="J446" s="39"/>
      <c r="K446" s="39"/>
      <c r="L446" s="39"/>
      <c r="N446" s="216"/>
      <c r="O446" s="216"/>
      <c r="P446" s="39"/>
      <c r="Q446" s="39"/>
      <c r="R446" s="39"/>
    </row>
    <row r="447" spans="1:18" ht="15.75" customHeight="1">
      <c r="A447" s="39"/>
      <c r="B447" s="39"/>
      <c r="C447" s="39"/>
      <c r="D447" s="39"/>
      <c r="E447" s="39"/>
      <c r="F447" s="39"/>
      <c r="G447" s="39"/>
      <c r="H447" s="39"/>
      <c r="I447" s="39"/>
      <c r="J447" s="39"/>
      <c r="K447" s="39"/>
      <c r="L447" s="39"/>
      <c r="N447" s="216"/>
      <c r="O447" s="216"/>
      <c r="P447" s="39"/>
      <c r="Q447" s="39"/>
      <c r="R447" s="39"/>
    </row>
    <row r="448" spans="1:18" ht="15.75" customHeight="1">
      <c r="A448" s="39"/>
      <c r="B448" s="39"/>
      <c r="C448" s="39"/>
      <c r="D448" s="39"/>
      <c r="E448" s="39"/>
      <c r="F448" s="39"/>
      <c r="G448" s="39"/>
      <c r="H448" s="39"/>
      <c r="I448" s="39"/>
      <c r="J448" s="39"/>
      <c r="K448" s="39"/>
      <c r="L448" s="39"/>
      <c r="N448" s="216"/>
      <c r="O448" s="216"/>
      <c r="P448" s="39"/>
      <c r="Q448" s="39"/>
      <c r="R448" s="39"/>
    </row>
    <row r="449" spans="1:18" ht="15.75" customHeight="1">
      <c r="A449" s="39"/>
      <c r="B449" s="39"/>
      <c r="C449" s="39"/>
      <c r="D449" s="39"/>
      <c r="E449" s="39"/>
      <c r="F449" s="39"/>
      <c r="G449" s="39"/>
      <c r="H449" s="39"/>
      <c r="I449" s="39"/>
      <c r="J449" s="39"/>
      <c r="K449" s="39"/>
      <c r="L449" s="39"/>
      <c r="N449" s="216"/>
      <c r="O449" s="216"/>
      <c r="P449" s="39"/>
      <c r="Q449" s="39"/>
      <c r="R449" s="39"/>
    </row>
    <row r="450" spans="1:18" ht="15.75" customHeight="1">
      <c r="A450" s="39"/>
      <c r="B450" s="39"/>
      <c r="C450" s="39"/>
      <c r="D450" s="39"/>
      <c r="E450" s="39"/>
      <c r="F450" s="39"/>
      <c r="G450" s="39"/>
      <c r="H450" s="39"/>
      <c r="I450" s="39"/>
      <c r="J450" s="39"/>
      <c r="K450" s="39"/>
      <c r="L450" s="39"/>
      <c r="N450" s="216"/>
      <c r="O450" s="216"/>
      <c r="P450" s="39"/>
      <c r="Q450" s="39"/>
      <c r="R450" s="39"/>
    </row>
    <row r="451" spans="1:18" ht="15.75" customHeight="1">
      <c r="A451" s="39"/>
      <c r="B451" s="39"/>
      <c r="C451" s="39"/>
      <c r="D451" s="39"/>
      <c r="E451" s="39"/>
      <c r="F451" s="39"/>
      <c r="G451" s="39"/>
      <c r="H451" s="39"/>
      <c r="I451" s="39"/>
      <c r="J451" s="39"/>
      <c r="K451" s="39"/>
      <c r="L451" s="39"/>
      <c r="N451" s="216"/>
      <c r="O451" s="216"/>
      <c r="P451" s="39"/>
      <c r="Q451" s="39"/>
      <c r="R451" s="39"/>
    </row>
    <row r="452" spans="1:18" ht="15.75" customHeight="1">
      <c r="A452" s="39"/>
      <c r="B452" s="39"/>
      <c r="C452" s="39"/>
      <c r="D452" s="39"/>
      <c r="E452" s="39"/>
      <c r="F452" s="39"/>
      <c r="G452" s="39"/>
      <c r="H452" s="39"/>
      <c r="I452" s="39"/>
      <c r="J452" s="39"/>
      <c r="K452" s="39"/>
      <c r="L452" s="39"/>
      <c r="N452" s="216"/>
      <c r="O452" s="216"/>
      <c r="P452" s="39"/>
      <c r="Q452" s="39"/>
      <c r="R452" s="39"/>
    </row>
    <row r="453" spans="1:18" ht="15.75" customHeight="1">
      <c r="A453" s="39"/>
      <c r="B453" s="39"/>
      <c r="C453" s="39"/>
      <c r="D453" s="39"/>
      <c r="E453" s="39"/>
      <c r="F453" s="39"/>
      <c r="G453" s="39"/>
      <c r="H453" s="39"/>
      <c r="I453" s="39"/>
      <c r="J453" s="39"/>
      <c r="K453" s="39"/>
      <c r="L453" s="39"/>
      <c r="N453" s="216"/>
      <c r="O453" s="216"/>
      <c r="P453" s="39"/>
      <c r="Q453" s="39"/>
      <c r="R453" s="39"/>
    </row>
    <row r="454" spans="1:18" ht="15.75" customHeight="1">
      <c r="A454" s="39"/>
      <c r="B454" s="39"/>
      <c r="C454" s="39"/>
      <c r="D454" s="39"/>
      <c r="E454" s="39"/>
      <c r="F454" s="39"/>
      <c r="G454" s="39"/>
      <c r="H454" s="39"/>
      <c r="I454" s="39"/>
      <c r="J454" s="39"/>
      <c r="K454" s="39"/>
      <c r="L454" s="39"/>
      <c r="N454" s="216"/>
      <c r="O454" s="216"/>
      <c r="P454" s="39"/>
      <c r="Q454" s="39"/>
      <c r="R454" s="39"/>
    </row>
    <row r="455" spans="1:18" ht="15.75" customHeight="1">
      <c r="A455" s="39"/>
      <c r="B455" s="39"/>
      <c r="C455" s="39"/>
      <c r="D455" s="39"/>
      <c r="E455" s="39"/>
      <c r="F455" s="39"/>
      <c r="G455" s="39"/>
      <c r="H455" s="39"/>
      <c r="I455" s="39"/>
      <c r="J455" s="39"/>
      <c r="K455" s="39"/>
      <c r="L455" s="39"/>
      <c r="N455" s="216"/>
      <c r="O455" s="216"/>
      <c r="P455" s="39"/>
      <c r="Q455" s="39"/>
      <c r="R455" s="39"/>
    </row>
    <row r="456" spans="1:18" ht="15.75" customHeight="1">
      <c r="A456" s="39"/>
      <c r="B456" s="39"/>
      <c r="C456" s="39"/>
      <c r="D456" s="39"/>
      <c r="E456" s="39"/>
      <c r="F456" s="39"/>
      <c r="G456" s="39"/>
      <c r="H456" s="39"/>
      <c r="I456" s="39"/>
      <c r="J456" s="39"/>
      <c r="K456" s="39"/>
      <c r="L456" s="39"/>
      <c r="N456" s="216"/>
      <c r="O456" s="216"/>
      <c r="P456" s="39"/>
      <c r="Q456" s="39"/>
      <c r="R456" s="39"/>
    </row>
    <row r="457" spans="1:18" ht="15.75" customHeight="1">
      <c r="A457" s="39"/>
      <c r="B457" s="39"/>
      <c r="C457" s="39"/>
      <c r="D457" s="39"/>
      <c r="E457" s="39"/>
      <c r="F457" s="39"/>
      <c r="G457" s="39"/>
      <c r="H457" s="39"/>
      <c r="I457" s="39"/>
      <c r="J457" s="39"/>
      <c r="K457" s="39"/>
      <c r="L457" s="39"/>
      <c r="N457" s="216"/>
      <c r="O457" s="216"/>
      <c r="P457" s="39"/>
      <c r="Q457" s="39"/>
      <c r="R457" s="39"/>
    </row>
    <row r="458" spans="1:18" ht="15.75" customHeight="1">
      <c r="A458" s="39"/>
      <c r="B458" s="39"/>
      <c r="C458" s="39"/>
      <c r="D458" s="39"/>
      <c r="E458" s="39"/>
      <c r="F458" s="39"/>
      <c r="G458" s="39"/>
      <c r="H458" s="39"/>
      <c r="I458" s="39"/>
      <c r="J458" s="39"/>
      <c r="K458" s="39"/>
      <c r="L458" s="39"/>
      <c r="N458" s="216"/>
      <c r="O458" s="216"/>
      <c r="P458" s="39"/>
      <c r="Q458" s="39"/>
      <c r="R458" s="39"/>
    </row>
    <row r="459" spans="1:18" ht="15.75" customHeight="1">
      <c r="A459" s="39"/>
      <c r="B459" s="39"/>
      <c r="C459" s="39"/>
      <c r="D459" s="39"/>
      <c r="E459" s="39"/>
      <c r="F459" s="39"/>
      <c r="G459" s="39"/>
      <c r="H459" s="39"/>
      <c r="I459" s="39"/>
      <c r="J459" s="39"/>
      <c r="K459" s="39"/>
      <c r="L459" s="39"/>
      <c r="N459" s="216"/>
      <c r="O459" s="216"/>
      <c r="P459" s="39"/>
      <c r="Q459" s="39"/>
      <c r="R459" s="39"/>
    </row>
    <row r="460" spans="1:18" ht="15.75" customHeight="1">
      <c r="A460" s="39"/>
      <c r="B460" s="39"/>
      <c r="C460" s="39"/>
      <c r="D460" s="39"/>
      <c r="E460" s="39"/>
      <c r="F460" s="39"/>
      <c r="G460" s="39"/>
      <c r="H460" s="39"/>
      <c r="I460" s="39"/>
      <c r="J460" s="39"/>
      <c r="K460" s="39"/>
      <c r="L460" s="39"/>
      <c r="N460" s="216"/>
      <c r="O460" s="216"/>
      <c r="P460" s="39"/>
      <c r="Q460" s="39"/>
      <c r="R460" s="39"/>
    </row>
    <row r="461" spans="1:18" ht="15.75" customHeight="1">
      <c r="A461" s="39"/>
      <c r="B461" s="39"/>
      <c r="C461" s="39"/>
      <c r="D461" s="39"/>
      <c r="E461" s="39"/>
      <c r="F461" s="39"/>
      <c r="G461" s="39"/>
      <c r="H461" s="39"/>
      <c r="I461" s="39"/>
      <c r="J461" s="39"/>
      <c r="K461" s="39"/>
      <c r="L461" s="39"/>
      <c r="N461" s="216"/>
      <c r="O461" s="216"/>
      <c r="P461" s="39"/>
      <c r="Q461" s="39"/>
      <c r="R461" s="39"/>
    </row>
    <row r="462" spans="1:18" ht="15.75" customHeight="1">
      <c r="A462" s="39"/>
      <c r="B462" s="39"/>
      <c r="C462" s="39"/>
      <c r="D462" s="39"/>
      <c r="E462" s="39"/>
      <c r="F462" s="39"/>
      <c r="G462" s="39"/>
      <c r="H462" s="39"/>
      <c r="I462" s="39"/>
      <c r="J462" s="39"/>
      <c r="K462" s="39"/>
      <c r="L462" s="39"/>
      <c r="N462" s="216"/>
      <c r="O462" s="216"/>
      <c r="P462" s="39"/>
      <c r="Q462" s="39"/>
      <c r="R462" s="39"/>
    </row>
    <row r="463" spans="1:18" ht="15.75" customHeight="1">
      <c r="A463" s="39"/>
      <c r="B463" s="39"/>
      <c r="C463" s="39"/>
      <c r="D463" s="39"/>
      <c r="E463" s="39"/>
      <c r="F463" s="39"/>
      <c r="G463" s="39"/>
      <c r="H463" s="39"/>
      <c r="I463" s="39"/>
      <c r="J463" s="39"/>
      <c r="K463" s="39"/>
      <c r="L463" s="39"/>
      <c r="N463" s="216"/>
      <c r="O463" s="216"/>
      <c r="P463" s="39"/>
      <c r="Q463" s="39"/>
      <c r="R463" s="39"/>
    </row>
    <row r="464" spans="1:18" ht="15.75" customHeight="1">
      <c r="A464" s="39"/>
      <c r="B464" s="39"/>
      <c r="C464" s="39"/>
      <c r="D464" s="39"/>
      <c r="E464" s="39"/>
      <c r="F464" s="39"/>
      <c r="G464" s="39"/>
      <c r="H464" s="39"/>
      <c r="I464" s="39"/>
      <c r="J464" s="39"/>
      <c r="K464" s="39"/>
      <c r="L464" s="39"/>
      <c r="N464" s="216"/>
      <c r="O464" s="216"/>
      <c r="P464" s="39"/>
      <c r="Q464" s="39"/>
      <c r="R464" s="39"/>
    </row>
    <row r="465" spans="1:18" ht="15.75" customHeight="1">
      <c r="A465" s="39"/>
      <c r="B465" s="39"/>
      <c r="C465" s="39"/>
      <c r="D465" s="39"/>
      <c r="E465" s="39"/>
      <c r="F465" s="39"/>
      <c r="G465" s="39"/>
      <c r="H465" s="39"/>
      <c r="I465" s="39"/>
      <c r="J465" s="39"/>
      <c r="K465" s="39"/>
      <c r="L465" s="39"/>
      <c r="N465" s="216"/>
      <c r="O465" s="216"/>
      <c r="P465" s="39"/>
      <c r="Q465" s="39"/>
      <c r="R465" s="39"/>
    </row>
    <row r="466" spans="1:18" ht="15.75" customHeight="1">
      <c r="A466" s="39"/>
      <c r="B466" s="39"/>
      <c r="C466" s="39"/>
      <c r="D466" s="39"/>
      <c r="E466" s="39"/>
      <c r="F466" s="39"/>
      <c r="G466" s="39"/>
      <c r="H466" s="39"/>
      <c r="I466" s="39"/>
      <c r="J466" s="39"/>
      <c r="K466" s="39"/>
      <c r="L466" s="39"/>
      <c r="N466" s="216"/>
      <c r="O466" s="216"/>
      <c r="P466" s="39"/>
      <c r="Q466" s="39"/>
      <c r="R466" s="39"/>
    </row>
    <row r="467" spans="1:18" ht="15.75" customHeight="1">
      <c r="A467" s="39"/>
      <c r="B467" s="39"/>
      <c r="C467" s="39"/>
      <c r="D467" s="39"/>
      <c r="E467" s="39"/>
      <c r="F467" s="39"/>
      <c r="G467" s="39"/>
      <c r="H467" s="39"/>
      <c r="I467" s="39"/>
      <c r="J467" s="39"/>
      <c r="K467" s="39"/>
      <c r="L467" s="39"/>
      <c r="N467" s="216"/>
      <c r="O467" s="216"/>
      <c r="P467" s="39"/>
      <c r="Q467" s="39"/>
      <c r="R467" s="39"/>
    </row>
    <row r="468" spans="1:18" ht="15.75" customHeight="1">
      <c r="A468" s="39"/>
      <c r="B468" s="39"/>
      <c r="C468" s="39"/>
      <c r="D468" s="39"/>
      <c r="E468" s="39"/>
      <c r="F468" s="39"/>
      <c r="G468" s="39"/>
      <c r="H468" s="39"/>
      <c r="I468" s="39"/>
      <c r="J468" s="39"/>
      <c r="K468" s="39"/>
      <c r="L468" s="39"/>
      <c r="N468" s="216"/>
      <c r="O468" s="216"/>
      <c r="P468" s="39"/>
      <c r="Q468" s="39"/>
      <c r="R468" s="39"/>
    </row>
    <row r="469" spans="1:18" ht="15.75" customHeight="1">
      <c r="A469" s="39"/>
      <c r="B469" s="39"/>
      <c r="C469" s="39"/>
      <c r="D469" s="39"/>
      <c r="E469" s="39"/>
      <c r="F469" s="39"/>
      <c r="G469" s="39"/>
      <c r="H469" s="39"/>
      <c r="I469" s="39"/>
      <c r="J469" s="39"/>
      <c r="K469" s="39"/>
      <c r="L469" s="39"/>
      <c r="N469" s="216"/>
      <c r="O469" s="216"/>
      <c r="P469" s="39"/>
      <c r="Q469" s="39"/>
      <c r="R469" s="39"/>
    </row>
    <row r="470" spans="1:18" ht="15.75" customHeight="1">
      <c r="A470" s="39"/>
      <c r="B470" s="39"/>
      <c r="C470" s="39"/>
      <c r="D470" s="39"/>
      <c r="E470" s="39"/>
      <c r="F470" s="39"/>
      <c r="G470" s="39"/>
      <c r="H470" s="39"/>
      <c r="I470" s="39"/>
      <c r="J470" s="39"/>
      <c r="K470" s="39"/>
      <c r="L470" s="39"/>
      <c r="N470" s="216"/>
      <c r="O470" s="216"/>
      <c r="P470" s="39"/>
      <c r="Q470" s="39"/>
      <c r="R470" s="39"/>
    </row>
    <row r="471" spans="1:18" ht="15.75" customHeight="1">
      <c r="A471" s="39"/>
      <c r="B471" s="39"/>
      <c r="C471" s="39"/>
      <c r="D471" s="39"/>
      <c r="E471" s="39"/>
      <c r="F471" s="39"/>
      <c r="G471" s="39"/>
      <c r="H471" s="39"/>
      <c r="I471" s="39"/>
      <c r="J471" s="39"/>
      <c r="K471" s="39"/>
      <c r="L471" s="39"/>
      <c r="N471" s="216"/>
      <c r="O471" s="216"/>
      <c r="P471" s="39"/>
      <c r="Q471" s="39"/>
      <c r="R471" s="39"/>
    </row>
    <row r="472" spans="1:18" ht="15.75" customHeight="1">
      <c r="A472" s="39"/>
      <c r="B472" s="39"/>
      <c r="C472" s="39"/>
      <c r="D472" s="39"/>
      <c r="E472" s="39"/>
      <c r="F472" s="39"/>
      <c r="G472" s="39"/>
      <c r="H472" s="39"/>
      <c r="I472" s="39"/>
      <c r="J472" s="39"/>
      <c r="K472" s="39"/>
      <c r="L472" s="39"/>
      <c r="N472" s="216"/>
      <c r="O472" s="216"/>
      <c r="P472" s="39"/>
      <c r="Q472" s="39"/>
      <c r="R472" s="39"/>
    </row>
    <row r="473" spans="1:18" ht="15.75" customHeight="1">
      <c r="A473" s="39"/>
      <c r="B473" s="39"/>
      <c r="C473" s="39"/>
      <c r="D473" s="39"/>
      <c r="E473" s="39"/>
      <c r="F473" s="39"/>
      <c r="G473" s="39"/>
      <c r="H473" s="39"/>
      <c r="I473" s="39"/>
      <c r="J473" s="39"/>
      <c r="K473" s="39"/>
      <c r="L473" s="39"/>
      <c r="N473" s="216"/>
      <c r="O473" s="216"/>
      <c r="P473" s="39"/>
      <c r="Q473" s="39"/>
      <c r="R473" s="39"/>
    </row>
    <row r="474" spans="1:18" ht="15.75" customHeight="1">
      <c r="A474" s="39"/>
      <c r="B474" s="39"/>
      <c r="C474" s="39"/>
      <c r="D474" s="39"/>
      <c r="E474" s="39"/>
      <c r="F474" s="39"/>
      <c r="G474" s="39"/>
      <c r="H474" s="39"/>
      <c r="I474" s="39"/>
      <c r="J474" s="39"/>
      <c r="K474" s="39"/>
      <c r="L474" s="39"/>
      <c r="N474" s="216"/>
      <c r="O474" s="216"/>
      <c r="P474" s="39"/>
      <c r="Q474" s="39"/>
      <c r="R474" s="39"/>
    </row>
    <row r="475" spans="1:18" ht="15.75" customHeight="1">
      <c r="A475" s="39"/>
      <c r="B475" s="39"/>
      <c r="C475" s="39"/>
      <c r="D475" s="39"/>
      <c r="E475" s="39"/>
      <c r="F475" s="39"/>
      <c r="G475" s="39"/>
      <c r="H475" s="39"/>
      <c r="I475" s="39"/>
      <c r="J475" s="39"/>
      <c r="K475" s="39"/>
      <c r="L475" s="39"/>
      <c r="N475" s="216"/>
      <c r="O475" s="216"/>
      <c r="P475" s="39"/>
      <c r="Q475" s="39"/>
      <c r="R475" s="39"/>
    </row>
    <row r="476" spans="1:18" ht="15.75" customHeight="1">
      <c r="A476" s="39"/>
      <c r="B476" s="39"/>
      <c r="C476" s="39"/>
      <c r="D476" s="39"/>
      <c r="E476" s="39"/>
      <c r="F476" s="39"/>
      <c r="G476" s="39"/>
      <c r="H476" s="39"/>
      <c r="I476" s="39"/>
      <c r="J476" s="39"/>
      <c r="K476" s="39"/>
      <c r="L476" s="39"/>
      <c r="N476" s="216"/>
      <c r="O476" s="216"/>
      <c r="P476" s="39"/>
      <c r="Q476" s="39"/>
      <c r="R476" s="39"/>
    </row>
    <row r="477" spans="1:18" ht="15.75" customHeight="1">
      <c r="A477" s="39"/>
      <c r="B477" s="39"/>
      <c r="C477" s="39"/>
      <c r="D477" s="39"/>
      <c r="E477" s="39"/>
      <c r="F477" s="39"/>
      <c r="G477" s="39"/>
      <c r="H477" s="39"/>
      <c r="I477" s="39"/>
      <c r="J477" s="39"/>
      <c r="K477" s="39"/>
      <c r="L477" s="39"/>
      <c r="N477" s="216"/>
      <c r="O477" s="216"/>
      <c r="P477" s="39"/>
      <c r="Q477" s="39"/>
      <c r="R477" s="39"/>
    </row>
    <row r="478" spans="1:18" ht="15.75" customHeight="1">
      <c r="A478" s="39"/>
      <c r="B478" s="39"/>
      <c r="C478" s="39"/>
      <c r="D478" s="39"/>
      <c r="E478" s="39"/>
      <c r="F478" s="39"/>
      <c r="G478" s="39"/>
      <c r="H478" s="39"/>
      <c r="I478" s="39"/>
      <c r="J478" s="39"/>
      <c r="K478" s="39"/>
      <c r="L478" s="39"/>
      <c r="N478" s="216"/>
      <c r="O478" s="216"/>
      <c r="P478" s="39"/>
      <c r="Q478" s="39"/>
      <c r="R478" s="39"/>
    </row>
    <row r="479" spans="1:18" ht="15.75" customHeight="1">
      <c r="A479" s="39"/>
      <c r="B479" s="39"/>
      <c r="C479" s="39"/>
      <c r="D479" s="39"/>
      <c r="E479" s="39"/>
      <c r="F479" s="39"/>
      <c r="G479" s="39"/>
      <c r="H479" s="39"/>
      <c r="I479" s="39"/>
      <c r="J479" s="39"/>
      <c r="K479" s="39"/>
      <c r="L479" s="39"/>
      <c r="N479" s="216"/>
      <c r="O479" s="216"/>
      <c r="P479" s="39"/>
      <c r="Q479" s="39"/>
      <c r="R479" s="39"/>
    </row>
    <row r="480" spans="1:18" ht="15.75" customHeight="1">
      <c r="A480" s="39"/>
      <c r="B480" s="39"/>
      <c r="C480" s="39"/>
      <c r="D480" s="39"/>
      <c r="E480" s="39"/>
      <c r="F480" s="39"/>
      <c r="G480" s="39"/>
      <c r="H480" s="39"/>
      <c r="I480" s="39"/>
      <c r="J480" s="39"/>
      <c r="K480" s="39"/>
      <c r="L480" s="39"/>
      <c r="N480" s="216"/>
      <c r="O480" s="216"/>
      <c r="P480" s="39"/>
      <c r="Q480" s="39"/>
      <c r="R480" s="39"/>
    </row>
    <row r="481" spans="1:18" ht="15.75" customHeight="1">
      <c r="A481" s="39"/>
      <c r="B481" s="39"/>
      <c r="C481" s="39"/>
      <c r="D481" s="39"/>
      <c r="E481" s="39"/>
      <c r="F481" s="39"/>
      <c r="G481" s="39"/>
      <c r="H481" s="39"/>
      <c r="I481" s="39"/>
      <c r="J481" s="39"/>
      <c r="K481" s="39"/>
      <c r="L481" s="39"/>
      <c r="N481" s="216"/>
      <c r="O481" s="216"/>
      <c r="P481" s="39"/>
      <c r="Q481" s="39"/>
      <c r="R481" s="39"/>
    </row>
    <row r="482" spans="1:18" ht="15.75" customHeight="1">
      <c r="A482" s="39"/>
      <c r="B482" s="39"/>
      <c r="C482" s="39"/>
      <c r="D482" s="39"/>
      <c r="E482" s="39"/>
      <c r="F482" s="39"/>
      <c r="G482" s="39"/>
      <c r="H482" s="39"/>
      <c r="I482" s="39"/>
      <c r="J482" s="39"/>
      <c r="K482" s="39"/>
      <c r="L482" s="39"/>
      <c r="N482" s="216"/>
      <c r="O482" s="216"/>
      <c r="P482" s="39"/>
      <c r="Q482" s="39"/>
      <c r="R482" s="39"/>
    </row>
    <row r="483" spans="1:18" ht="15.75" customHeight="1">
      <c r="A483" s="39"/>
      <c r="B483" s="39"/>
      <c r="C483" s="39"/>
      <c r="D483" s="39"/>
      <c r="E483" s="39"/>
      <c r="F483" s="39"/>
      <c r="G483" s="39"/>
      <c r="H483" s="39"/>
      <c r="I483" s="39"/>
      <c r="J483" s="39"/>
      <c r="K483" s="39"/>
      <c r="L483" s="39"/>
      <c r="N483" s="216"/>
      <c r="O483" s="216"/>
      <c r="P483" s="39"/>
      <c r="Q483" s="39"/>
      <c r="R483" s="39"/>
    </row>
    <row r="484" spans="1:18" ht="15.75" customHeight="1">
      <c r="A484" s="39"/>
      <c r="B484" s="39"/>
      <c r="C484" s="39"/>
      <c r="D484" s="39"/>
      <c r="E484" s="39"/>
      <c r="F484" s="39"/>
      <c r="G484" s="39"/>
      <c r="H484" s="39"/>
      <c r="I484" s="39"/>
      <c r="J484" s="39"/>
      <c r="K484" s="39"/>
      <c r="L484" s="39"/>
      <c r="N484" s="216"/>
      <c r="O484" s="216"/>
      <c r="P484" s="39"/>
      <c r="Q484" s="39"/>
      <c r="R484" s="39"/>
    </row>
    <row r="485" spans="1:18" ht="15.75" customHeight="1">
      <c r="A485" s="39"/>
      <c r="B485" s="39"/>
      <c r="C485" s="39"/>
      <c r="D485" s="39"/>
      <c r="E485" s="39"/>
      <c r="F485" s="39"/>
      <c r="G485" s="39"/>
      <c r="H485" s="39"/>
      <c r="I485" s="39"/>
      <c r="J485" s="39"/>
      <c r="K485" s="39"/>
      <c r="L485" s="39"/>
      <c r="N485" s="216"/>
      <c r="O485" s="216"/>
      <c r="P485" s="39"/>
      <c r="Q485" s="39"/>
      <c r="R485" s="39"/>
    </row>
    <row r="486" spans="1:18" ht="15.75" customHeight="1">
      <c r="A486" s="39"/>
      <c r="B486" s="39"/>
      <c r="C486" s="39"/>
      <c r="D486" s="39"/>
      <c r="E486" s="39"/>
      <c r="F486" s="39"/>
      <c r="G486" s="39"/>
      <c r="H486" s="39"/>
      <c r="I486" s="39"/>
      <c r="J486" s="39"/>
      <c r="K486" s="39"/>
      <c r="L486" s="39"/>
      <c r="N486" s="216"/>
      <c r="O486" s="216"/>
      <c r="P486" s="39"/>
      <c r="Q486" s="39"/>
      <c r="R486" s="39"/>
    </row>
    <row r="487" spans="1:18" ht="15.75" customHeight="1">
      <c r="A487" s="39"/>
      <c r="B487" s="39"/>
      <c r="C487" s="39"/>
      <c r="D487" s="39"/>
      <c r="E487" s="39"/>
      <c r="F487" s="39"/>
      <c r="G487" s="39"/>
      <c r="H487" s="39"/>
      <c r="I487" s="39"/>
      <c r="J487" s="39"/>
      <c r="K487" s="39"/>
      <c r="L487" s="39"/>
      <c r="N487" s="216"/>
      <c r="O487" s="216"/>
      <c r="P487" s="39"/>
      <c r="Q487" s="39"/>
      <c r="R487" s="39"/>
    </row>
    <row r="488" spans="1:18" ht="15.75" customHeight="1">
      <c r="A488" s="39"/>
      <c r="B488" s="39"/>
      <c r="C488" s="39"/>
      <c r="D488" s="39"/>
      <c r="E488" s="39"/>
      <c r="F488" s="39"/>
      <c r="G488" s="39"/>
      <c r="H488" s="39"/>
      <c r="I488" s="39"/>
      <c r="J488" s="39"/>
      <c r="K488" s="39"/>
      <c r="L488" s="39"/>
      <c r="N488" s="216"/>
      <c r="O488" s="216"/>
      <c r="P488" s="39"/>
      <c r="Q488" s="39"/>
      <c r="R488" s="39"/>
    </row>
    <row r="489" spans="1:18" ht="15.75" customHeight="1">
      <c r="A489" s="39"/>
      <c r="B489" s="39"/>
      <c r="C489" s="39"/>
      <c r="D489" s="39"/>
      <c r="E489" s="39"/>
      <c r="F489" s="39"/>
      <c r="G489" s="39"/>
      <c r="H489" s="39"/>
      <c r="I489" s="39"/>
      <c r="J489" s="39"/>
      <c r="K489" s="39"/>
      <c r="L489" s="39"/>
      <c r="N489" s="216"/>
      <c r="O489" s="216"/>
      <c r="P489" s="39"/>
      <c r="Q489" s="39"/>
      <c r="R489" s="39"/>
    </row>
    <row r="490" spans="1:18" ht="15.75" customHeight="1">
      <c r="A490" s="39"/>
      <c r="B490" s="39"/>
      <c r="C490" s="39"/>
      <c r="D490" s="39"/>
      <c r="E490" s="39"/>
      <c r="F490" s="39"/>
      <c r="G490" s="39"/>
      <c r="H490" s="39"/>
      <c r="I490" s="39"/>
      <c r="J490" s="39"/>
      <c r="K490" s="39"/>
      <c r="L490" s="39"/>
      <c r="N490" s="216"/>
      <c r="O490" s="216"/>
      <c r="P490" s="39"/>
      <c r="Q490" s="39"/>
      <c r="R490" s="39"/>
    </row>
    <row r="491" spans="1:18" ht="15.75" customHeight="1">
      <c r="A491" s="39"/>
      <c r="B491" s="39"/>
      <c r="C491" s="39"/>
      <c r="D491" s="39"/>
      <c r="E491" s="39"/>
      <c r="F491" s="39"/>
      <c r="G491" s="39"/>
      <c r="H491" s="39"/>
      <c r="I491" s="39"/>
      <c r="J491" s="39"/>
      <c r="K491" s="39"/>
      <c r="L491" s="39"/>
      <c r="N491" s="216"/>
      <c r="O491" s="216"/>
      <c r="P491" s="39"/>
      <c r="Q491" s="39"/>
      <c r="R491" s="39"/>
    </row>
    <row r="492" spans="1:18" ht="15.75" customHeight="1">
      <c r="A492" s="39"/>
      <c r="B492" s="39"/>
      <c r="C492" s="39"/>
      <c r="D492" s="39"/>
      <c r="E492" s="39"/>
      <c r="F492" s="39"/>
      <c r="G492" s="39"/>
      <c r="H492" s="39"/>
      <c r="I492" s="39"/>
      <c r="J492" s="39"/>
      <c r="K492" s="39"/>
      <c r="L492" s="39"/>
      <c r="N492" s="216"/>
      <c r="O492" s="216"/>
      <c r="P492" s="39"/>
      <c r="Q492" s="39"/>
      <c r="R492" s="39"/>
    </row>
    <row r="493" spans="1:18" ht="15.75" customHeight="1">
      <c r="A493" s="39"/>
      <c r="B493" s="39"/>
      <c r="C493" s="39"/>
      <c r="D493" s="39"/>
      <c r="E493" s="39"/>
      <c r="F493" s="39"/>
      <c r="G493" s="39"/>
      <c r="H493" s="39"/>
      <c r="I493" s="39"/>
      <c r="J493" s="39"/>
      <c r="K493" s="39"/>
      <c r="L493" s="39"/>
      <c r="N493" s="216"/>
      <c r="O493" s="216"/>
      <c r="P493" s="39"/>
      <c r="Q493" s="39"/>
      <c r="R493" s="39"/>
    </row>
    <row r="494" spans="1:18" ht="15.75" customHeight="1">
      <c r="A494" s="39"/>
      <c r="B494" s="39"/>
      <c r="C494" s="39"/>
      <c r="D494" s="39"/>
      <c r="E494" s="39"/>
      <c r="F494" s="39"/>
      <c r="G494" s="39"/>
      <c r="H494" s="39"/>
      <c r="I494" s="39"/>
      <c r="J494" s="39"/>
      <c r="K494" s="39"/>
      <c r="L494" s="39"/>
      <c r="N494" s="216"/>
      <c r="O494" s="216"/>
      <c r="P494" s="39"/>
      <c r="Q494" s="39"/>
      <c r="R494" s="39"/>
    </row>
    <row r="495" spans="1:18" ht="15.75" customHeight="1">
      <c r="A495" s="39"/>
      <c r="B495" s="39"/>
      <c r="C495" s="39"/>
      <c r="D495" s="39"/>
      <c r="E495" s="39"/>
      <c r="F495" s="39"/>
      <c r="G495" s="39"/>
      <c r="H495" s="39"/>
      <c r="I495" s="39"/>
      <c r="J495" s="39"/>
      <c r="K495" s="39"/>
      <c r="L495" s="39"/>
      <c r="N495" s="216"/>
      <c r="O495" s="216"/>
      <c r="P495" s="39"/>
      <c r="Q495" s="39"/>
      <c r="R495" s="39"/>
    </row>
    <row r="496" spans="1:18" ht="15.75" customHeight="1">
      <c r="A496" s="39"/>
      <c r="B496" s="39"/>
      <c r="C496" s="39"/>
      <c r="D496" s="39"/>
      <c r="E496" s="39"/>
      <c r="F496" s="39"/>
      <c r="G496" s="39"/>
      <c r="H496" s="39"/>
      <c r="I496" s="39"/>
      <c r="J496" s="39"/>
      <c r="K496" s="39"/>
      <c r="L496" s="39"/>
      <c r="N496" s="216"/>
      <c r="O496" s="216"/>
      <c r="P496" s="39"/>
      <c r="Q496" s="39"/>
      <c r="R496" s="39"/>
    </row>
    <row r="497" spans="1:18" ht="15.75" customHeight="1">
      <c r="A497" s="39"/>
      <c r="B497" s="39"/>
      <c r="C497" s="39"/>
      <c r="D497" s="39"/>
      <c r="E497" s="39"/>
      <c r="F497" s="39"/>
      <c r="G497" s="39"/>
      <c r="H497" s="39"/>
      <c r="I497" s="39"/>
      <c r="J497" s="39"/>
      <c r="K497" s="39"/>
      <c r="L497" s="39"/>
      <c r="N497" s="216"/>
      <c r="O497" s="216"/>
      <c r="P497" s="39"/>
      <c r="Q497" s="39"/>
      <c r="R497" s="39"/>
    </row>
    <row r="498" spans="1:18" ht="15.75" customHeight="1">
      <c r="A498" s="39"/>
      <c r="B498" s="39"/>
      <c r="C498" s="39"/>
      <c r="D498" s="39"/>
      <c r="E498" s="39"/>
      <c r="F498" s="39"/>
      <c r="G498" s="39"/>
      <c r="H498" s="39"/>
      <c r="I498" s="39"/>
      <c r="J498" s="39"/>
      <c r="K498" s="39"/>
      <c r="L498" s="39"/>
      <c r="N498" s="216"/>
      <c r="O498" s="216"/>
      <c r="P498" s="39"/>
      <c r="Q498" s="39"/>
      <c r="R498" s="39"/>
    </row>
    <row r="499" spans="1:18" ht="15.75" customHeight="1">
      <c r="A499" s="39"/>
      <c r="B499" s="39"/>
      <c r="C499" s="39"/>
      <c r="D499" s="39"/>
      <c r="E499" s="39"/>
      <c r="F499" s="39"/>
      <c r="G499" s="39"/>
      <c r="H499" s="39"/>
      <c r="I499" s="39"/>
      <c r="J499" s="39"/>
      <c r="K499" s="39"/>
      <c r="L499" s="39"/>
      <c r="N499" s="216"/>
      <c r="O499" s="216"/>
      <c r="P499" s="39"/>
      <c r="Q499" s="39"/>
      <c r="R499" s="39"/>
    </row>
    <row r="500" spans="1:18" ht="15.75" customHeight="1">
      <c r="A500" s="39"/>
      <c r="B500" s="39"/>
      <c r="C500" s="39"/>
      <c r="D500" s="39"/>
      <c r="E500" s="39"/>
      <c r="F500" s="39"/>
      <c r="G500" s="39"/>
      <c r="H500" s="39"/>
      <c r="I500" s="39"/>
      <c r="J500" s="39"/>
      <c r="K500" s="39"/>
      <c r="L500" s="39"/>
      <c r="N500" s="216"/>
      <c r="O500" s="216"/>
      <c r="P500" s="39"/>
      <c r="Q500" s="39"/>
      <c r="R500" s="39"/>
    </row>
    <row r="501" spans="1:18" ht="15.75" customHeight="1">
      <c r="A501" s="39"/>
      <c r="B501" s="39"/>
      <c r="C501" s="39"/>
      <c r="D501" s="39"/>
      <c r="E501" s="39"/>
      <c r="F501" s="39"/>
      <c r="G501" s="39"/>
      <c r="H501" s="39"/>
      <c r="I501" s="39"/>
      <c r="J501" s="39"/>
      <c r="K501" s="39"/>
      <c r="L501" s="39"/>
      <c r="N501" s="216"/>
      <c r="O501" s="216"/>
      <c r="P501" s="39"/>
      <c r="Q501" s="39"/>
      <c r="R501" s="39"/>
    </row>
    <row r="502" spans="1:18" ht="15.75" customHeight="1">
      <c r="A502" s="39"/>
      <c r="B502" s="39"/>
      <c r="C502" s="39"/>
      <c r="D502" s="39"/>
      <c r="E502" s="39"/>
      <c r="F502" s="39"/>
      <c r="G502" s="39"/>
      <c r="H502" s="39"/>
      <c r="I502" s="39"/>
      <c r="J502" s="39"/>
      <c r="K502" s="39"/>
      <c r="L502" s="39"/>
      <c r="N502" s="216"/>
      <c r="O502" s="216"/>
      <c r="P502" s="39"/>
      <c r="Q502" s="39"/>
      <c r="R502" s="39"/>
    </row>
    <row r="503" spans="1:18" ht="15.75" customHeight="1">
      <c r="A503" s="39"/>
      <c r="B503" s="39"/>
      <c r="C503" s="39"/>
      <c r="D503" s="39"/>
      <c r="E503" s="39"/>
      <c r="F503" s="39"/>
      <c r="G503" s="39"/>
      <c r="H503" s="39"/>
      <c r="I503" s="39"/>
      <c r="J503" s="39"/>
      <c r="K503" s="39"/>
      <c r="L503" s="39"/>
      <c r="N503" s="216"/>
      <c r="O503" s="216"/>
      <c r="P503" s="39"/>
      <c r="Q503" s="39"/>
      <c r="R503" s="39"/>
    </row>
    <row r="504" spans="1:18" ht="15.75" customHeight="1">
      <c r="A504" s="39"/>
      <c r="B504" s="39"/>
      <c r="C504" s="39"/>
      <c r="D504" s="39"/>
      <c r="E504" s="39"/>
      <c r="F504" s="39"/>
      <c r="G504" s="39"/>
      <c r="H504" s="39"/>
      <c r="I504" s="39"/>
      <c r="J504" s="39"/>
      <c r="K504" s="39"/>
      <c r="L504" s="39"/>
      <c r="N504" s="216"/>
      <c r="O504" s="216"/>
      <c r="P504" s="39"/>
      <c r="Q504" s="39"/>
      <c r="R504" s="39"/>
    </row>
    <row r="505" spans="1:18" ht="15.75" customHeight="1">
      <c r="A505" s="39"/>
      <c r="B505" s="39"/>
      <c r="C505" s="39"/>
      <c r="D505" s="39"/>
      <c r="E505" s="39"/>
      <c r="F505" s="39"/>
      <c r="G505" s="39"/>
      <c r="H505" s="39"/>
      <c r="I505" s="39"/>
      <c r="J505" s="39"/>
      <c r="K505" s="39"/>
      <c r="L505" s="39"/>
      <c r="N505" s="216"/>
      <c r="O505" s="216"/>
      <c r="P505" s="39"/>
      <c r="Q505" s="39"/>
      <c r="R505" s="39"/>
    </row>
    <row r="506" spans="1:18" ht="15.75" customHeight="1">
      <c r="A506" s="39"/>
      <c r="B506" s="39"/>
      <c r="C506" s="39"/>
      <c r="D506" s="39"/>
      <c r="E506" s="39"/>
      <c r="F506" s="39"/>
      <c r="G506" s="39"/>
      <c r="H506" s="39"/>
      <c r="I506" s="39"/>
      <c r="J506" s="39"/>
      <c r="K506" s="39"/>
      <c r="L506" s="39"/>
      <c r="N506" s="216"/>
      <c r="O506" s="216"/>
      <c r="P506" s="39"/>
      <c r="Q506" s="39"/>
      <c r="R506" s="39"/>
    </row>
    <row r="507" spans="1:18" ht="15.75" customHeight="1">
      <c r="A507" s="39"/>
      <c r="B507" s="39"/>
      <c r="C507" s="39"/>
      <c r="D507" s="39"/>
      <c r="E507" s="39"/>
      <c r="F507" s="39"/>
      <c r="G507" s="39"/>
      <c r="H507" s="39"/>
      <c r="I507" s="39"/>
      <c r="J507" s="39"/>
      <c r="K507" s="39"/>
      <c r="L507" s="39"/>
      <c r="N507" s="216"/>
      <c r="O507" s="216"/>
      <c r="P507" s="39"/>
      <c r="Q507" s="39"/>
      <c r="R507" s="39"/>
    </row>
    <row r="508" spans="1:18" ht="15.75" customHeight="1">
      <c r="A508" s="39"/>
      <c r="B508" s="39"/>
      <c r="C508" s="39"/>
      <c r="D508" s="39"/>
      <c r="E508" s="39"/>
      <c r="F508" s="39"/>
      <c r="G508" s="39"/>
      <c r="H508" s="39"/>
      <c r="I508" s="39"/>
      <c r="J508" s="39"/>
      <c r="K508" s="39"/>
      <c r="L508" s="39"/>
      <c r="N508" s="216"/>
      <c r="O508" s="216"/>
      <c r="P508" s="39"/>
      <c r="Q508" s="39"/>
      <c r="R508" s="39"/>
    </row>
    <row r="509" spans="1:18" ht="15.75" customHeight="1">
      <c r="A509" s="39"/>
      <c r="B509" s="39"/>
      <c r="C509" s="39"/>
      <c r="D509" s="39"/>
      <c r="E509" s="39"/>
      <c r="F509" s="39"/>
      <c r="G509" s="39"/>
      <c r="H509" s="39"/>
      <c r="I509" s="39"/>
      <c r="J509" s="39"/>
      <c r="K509" s="39"/>
      <c r="L509" s="39"/>
      <c r="N509" s="216"/>
      <c r="O509" s="216"/>
      <c r="P509" s="39"/>
      <c r="Q509" s="39"/>
      <c r="R509" s="39"/>
    </row>
    <row r="510" spans="1:18" ht="15.75" customHeight="1">
      <c r="A510" s="39"/>
      <c r="B510" s="39"/>
      <c r="C510" s="39"/>
      <c r="D510" s="39"/>
      <c r="E510" s="39"/>
      <c r="F510" s="39"/>
      <c r="G510" s="39"/>
      <c r="H510" s="39"/>
      <c r="I510" s="39"/>
      <c r="J510" s="39"/>
      <c r="K510" s="39"/>
      <c r="L510" s="39"/>
      <c r="N510" s="216"/>
      <c r="O510" s="216"/>
      <c r="P510" s="39"/>
      <c r="Q510" s="39"/>
      <c r="R510" s="39"/>
    </row>
    <row r="511" spans="1:18" ht="15.75" customHeight="1">
      <c r="A511" s="39"/>
      <c r="B511" s="39"/>
      <c r="C511" s="39"/>
      <c r="D511" s="39"/>
      <c r="E511" s="39"/>
      <c r="F511" s="39"/>
      <c r="G511" s="39"/>
      <c r="H511" s="39"/>
      <c r="I511" s="39"/>
      <c r="J511" s="39"/>
      <c r="K511" s="39"/>
      <c r="L511" s="39"/>
      <c r="N511" s="216"/>
      <c r="O511" s="216"/>
      <c r="P511" s="39"/>
      <c r="Q511" s="39"/>
      <c r="R511" s="39"/>
    </row>
    <row r="512" spans="1:18" ht="15.75" customHeight="1">
      <c r="A512" s="39"/>
      <c r="B512" s="39"/>
      <c r="C512" s="39"/>
      <c r="D512" s="39"/>
      <c r="E512" s="39"/>
      <c r="F512" s="39"/>
      <c r="G512" s="39"/>
      <c r="H512" s="39"/>
      <c r="I512" s="39"/>
      <c r="J512" s="39"/>
      <c r="K512" s="39"/>
      <c r="L512" s="39"/>
      <c r="N512" s="216"/>
      <c r="O512" s="216"/>
      <c r="P512" s="39"/>
      <c r="Q512" s="39"/>
      <c r="R512" s="39"/>
    </row>
    <row r="513" spans="1:18" ht="15.75" customHeight="1">
      <c r="A513" s="39"/>
      <c r="B513" s="39"/>
      <c r="C513" s="39"/>
      <c r="D513" s="39"/>
      <c r="E513" s="39"/>
      <c r="F513" s="39"/>
      <c r="G513" s="39"/>
      <c r="H513" s="39"/>
      <c r="I513" s="39"/>
      <c r="J513" s="39"/>
      <c r="K513" s="39"/>
      <c r="L513" s="39"/>
      <c r="N513" s="216"/>
      <c r="O513" s="216"/>
      <c r="P513" s="39"/>
      <c r="Q513" s="39"/>
      <c r="R513" s="39"/>
    </row>
    <row r="514" spans="1:18" ht="15.75" customHeight="1">
      <c r="A514" s="39"/>
      <c r="B514" s="39"/>
      <c r="C514" s="39"/>
      <c r="D514" s="39"/>
      <c r="E514" s="39"/>
      <c r="F514" s="39"/>
      <c r="G514" s="39"/>
      <c r="H514" s="39"/>
      <c r="I514" s="39"/>
      <c r="J514" s="39"/>
      <c r="K514" s="39"/>
      <c r="L514" s="39"/>
      <c r="N514" s="216"/>
      <c r="O514" s="216"/>
      <c r="P514" s="39"/>
      <c r="Q514" s="39"/>
      <c r="R514" s="39"/>
    </row>
    <row r="515" spans="1:18" ht="15.75" customHeight="1">
      <c r="A515" s="39"/>
      <c r="B515" s="39"/>
      <c r="C515" s="39"/>
      <c r="D515" s="39"/>
      <c r="E515" s="39"/>
      <c r="F515" s="39"/>
      <c r="G515" s="39"/>
      <c r="H515" s="39"/>
      <c r="I515" s="39"/>
      <c r="J515" s="39"/>
      <c r="K515" s="39"/>
      <c r="L515" s="39"/>
      <c r="N515" s="216"/>
      <c r="O515" s="216"/>
      <c r="P515" s="39"/>
      <c r="Q515" s="39"/>
      <c r="R515" s="39"/>
    </row>
    <row r="516" spans="1:18" ht="15.75" customHeight="1">
      <c r="A516" s="39"/>
      <c r="B516" s="39"/>
      <c r="C516" s="39"/>
      <c r="D516" s="39"/>
      <c r="E516" s="39"/>
      <c r="F516" s="39"/>
      <c r="G516" s="39"/>
      <c r="H516" s="39"/>
      <c r="I516" s="39"/>
      <c r="J516" s="39"/>
      <c r="K516" s="39"/>
      <c r="L516" s="39"/>
      <c r="N516" s="216"/>
      <c r="O516" s="216"/>
      <c r="P516" s="39"/>
      <c r="Q516" s="39"/>
      <c r="R516" s="39"/>
    </row>
    <row r="517" spans="1:18" ht="15.75" customHeight="1">
      <c r="A517" s="39"/>
      <c r="B517" s="39"/>
      <c r="C517" s="39"/>
      <c r="D517" s="39"/>
      <c r="E517" s="39"/>
      <c r="F517" s="39"/>
      <c r="G517" s="39"/>
      <c r="H517" s="39"/>
      <c r="I517" s="39"/>
      <c r="J517" s="39"/>
      <c r="K517" s="39"/>
      <c r="L517" s="39"/>
      <c r="N517" s="216"/>
      <c r="O517" s="216"/>
      <c r="P517" s="39"/>
      <c r="Q517" s="39"/>
      <c r="R517" s="39"/>
    </row>
    <row r="518" spans="1:18" ht="15.75" customHeight="1">
      <c r="A518" s="39"/>
      <c r="B518" s="39"/>
      <c r="C518" s="39"/>
      <c r="D518" s="39"/>
      <c r="E518" s="39"/>
      <c r="F518" s="39"/>
      <c r="G518" s="39"/>
      <c r="H518" s="39"/>
      <c r="I518" s="39"/>
      <c r="J518" s="39"/>
      <c r="K518" s="39"/>
      <c r="L518" s="39"/>
      <c r="N518" s="216"/>
      <c r="O518" s="216"/>
      <c r="P518" s="39"/>
      <c r="Q518" s="39"/>
      <c r="R518" s="39"/>
    </row>
    <row r="519" spans="1:18" ht="15.75" customHeight="1">
      <c r="A519" s="39"/>
      <c r="B519" s="39"/>
      <c r="C519" s="39"/>
      <c r="D519" s="39"/>
      <c r="E519" s="39"/>
      <c r="F519" s="39"/>
      <c r="G519" s="39"/>
      <c r="H519" s="39"/>
      <c r="I519" s="39"/>
      <c r="J519" s="39"/>
      <c r="K519" s="39"/>
      <c r="L519" s="39"/>
      <c r="N519" s="216"/>
      <c r="O519" s="216"/>
      <c r="P519" s="39"/>
      <c r="Q519" s="39"/>
      <c r="R519" s="39"/>
    </row>
    <row r="520" spans="1:18" ht="15.75" customHeight="1">
      <c r="A520" s="39"/>
      <c r="B520" s="39"/>
      <c r="C520" s="39"/>
      <c r="D520" s="39"/>
      <c r="E520" s="39"/>
      <c r="F520" s="39"/>
      <c r="G520" s="39"/>
      <c r="H520" s="39"/>
      <c r="I520" s="39"/>
      <c r="J520" s="39"/>
      <c r="K520" s="39"/>
      <c r="L520" s="39"/>
      <c r="N520" s="216"/>
      <c r="O520" s="216"/>
      <c r="P520" s="39"/>
      <c r="Q520" s="39"/>
      <c r="R520" s="39"/>
    </row>
    <row r="521" spans="1:18" ht="15.75" customHeight="1">
      <c r="A521" s="39"/>
      <c r="B521" s="39"/>
      <c r="C521" s="39"/>
      <c r="D521" s="39"/>
      <c r="E521" s="39"/>
      <c r="F521" s="39"/>
      <c r="G521" s="39"/>
      <c r="H521" s="39"/>
      <c r="I521" s="39"/>
      <c r="J521" s="39"/>
      <c r="K521" s="39"/>
      <c r="L521" s="39"/>
      <c r="N521" s="216"/>
      <c r="O521" s="216"/>
      <c r="P521" s="39"/>
      <c r="Q521" s="39"/>
      <c r="R521" s="39"/>
    </row>
    <row r="522" spans="1:18" ht="15.75" customHeight="1">
      <c r="A522" s="39"/>
      <c r="B522" s="39"/>
      <c r="C522" s="39"/>
      <c r="D522" s="39"/>
      <c r="E522" s="39"/>
      <c r="F522" s="39"/>
      <c r="G522" s="39"/>
      <c r="H522" s="39"/>
      <c r="I522" s="39"/>
      <c r="J522" s="39"/>
      <c r="K522" s="39"/>
      <c r="L522" s="39"/>
      <c r="N522" s="216"/>
      <c r="O522" s="216"/>
      <c r="P522" s="39"/>
      <c r="Q522" s="39"/>
      <c r="R522" s="39"/>
    </row>
    <row r="523" spans="1:18" ht="15.75" customHeight="1">
      <c r="A523" s="39"/>
      <c r="B523" s="39"/>
      <c r="C523" s="39"/>
      <c r="D523" s="39"/>
      <c r="E523" s="39"/>
      <c r="F523" s="39"/>
      <c r="G523" s="39"/>
      <c r="H523" s="39"/>
      <c r="I523" s="39"/>
      <c r="J523" s="39"/>
      <c r="K523" s="39"/>
      <c r="L523" s="39"/>
      <c r="N523" s="216"/>
      <c r="O523" s="216"/>
      <c r="P523" s="39"/>
      <c r="Q523" s="39"/>
      <c r="R523" s="39"/>
    </row>
    <row r="524" spans="1:18" ht="15.75" customHeight="1">
      <c r="A524" s="39"/>
      <c r="B524" s="39"/>
      <c r="C524" s="39"/>
      <c r="D524" s="39"/>
      <c r="E524" s="39"/>
      <c r="F524" s="39"/>
      <c r="G524" s="39"/>
      <c r="H524" s="39"/>
      <c r="I524" s="39"/>
      <c r="J524" s="39"/>
      <c r="K524" s="39"/>
      <c r="L524" s="39"/>
      <c r="N524" s="216"/>
      <c r="O524" s="216"/>
      <c r="P524" s="39"/>
      <c r="Q524" s="39"/>
      <c r="R524" s="39"/>
    </row>
    <row r="525" spans="1:18" ht="15.75" customHeight="1">
      <c r="A525" s="39"/>
      <c r="B525" s="39"/>
      <c r="C525" s="39"/>
      <c r="D525" s="39"/>
      <c r="E525" s="39"/>
      <c r="F525" s="39"/>
      <c r="G525" s="39"/>
      <c r="H525" s="39"/>
      <c r="I525" s="39"/>
      <c r="J525" s="39"/>
      <c r="K525" s="39"/>
      <c r="L525" s="39"/>
      <c r="N525" s="216"/>
      <c r="O525" s="216"/>
      <c r="P525" s="39"/>
      <c r="Q525" s="39"/>
      <c r="R525" s="39"/>
    </row>
    <row r="526" spans="1:18" ht="15.75" customHeight="1">
      <c r="A526" s="39"/>
      <c r="B526" s="39"/>
      <c r="C526" s="39"/>
      <c r="D526" s="39"/>
      <c r="E526" s="39"/>
      <c r="F526" s="39"/>
      <c r="G526" s="39"/>
      <c r="H526" s="39"/>
      <c r="I526" s="39"/>
      <c r="J526" s="39"/>
      <c r="K526" s="39"/>
      <c r="L526" s="39"/>
      <c r="N526" s="216"/>
      <c r="O526" s="216"/>
      <c r="P526" s="39"/>
      <c r="Q526" s="39"/>
      <c r="R526" s="39"/>
    </row>
    <row r="527" spans="1:18" ht="15.75" customHeight="1">
      <c r="A527" s="39"/>
      <c r="B527" s="39"/>
      <c r="C527" s="39"/>
      <c r="D527" s="39"/>
      <c r="E527" s="39"/>
      <c r="F527" s="39"/>
      <c r="G527" s="39"/>
      <c r="H527" s="39"/>
      <c r="I527" s="39"/>
      <c r="J527" s="39"/>
      <c r="K527" s="39"/>
      <c r="L527" s="39"/>
      <c r="N527" s="216"/>
      <c r="O527" s="216"/>
      <c r="P527" s="39"/>
      <c r="Q527" s="39"/>
      <c r="R527" s="39"/>
    </row>
    <row r="528" spans="1:18" ht="15.75" customHeight="1">
      <c r="A528" s="39"/>
      <c r="B528" s="39"/>
      <c r="C528" s="39"/>
      <c r="D528" s="39"/>
      <c r="E528" s="39"/>
      <c r="F528" s="39"/>
      <c r="G528" s="39"/>
      <c r="H528" s="39"/>
      <c r="I528" s="39"/>
      <c r="J528" s="39"/>
      <c r="K528" s="39"/>
      <c r="L528" s="39"/>
      <c r="N528" s="216"/>
      <c r="O528" s="216"/>
      <c r="P528" s="39"/>
      <c r="Q528" s="39"/>
      <c r="R528" s="39"/>
    </row>
    <row r="529" spans="1:18" ht="15.75" customHeight="1">
      <c r="A529" s="39"/>
      <c r="B529" s="39"/>
      <c r="C529" s="39"/>
      <c r="D529" s="39"/>
      <c r="E529" s="39"/>
      <c r="F529" s="39"/>
      <c r="G529" s="39"/>
      <c r="H529" s="39"/>
      <c r="I529" s="39"/>
      <c r="J529" s="39"/>
      <c r="K529" s="39"/>
      <c r="L529" s="39"/>
      <c r="N529" s="216"/>
      <c r="O529" s="216"/>
      <c r="P529" s="39"/>
      <c r="Q529" s="39"/>
      <c r="R529" s="39"/>
    </row>
    <row r="530" spans="1:18" ht="15.75" customHeight="1">
      <c r="A530" s="39"/>
      <c r="B530" s="39"/>
      <c r="C530" s="39"/>
      <c r="D530" s="39"/>
      <c r="E530" s="39"/>
      <c r="F530" s="39"/>
      <c r="G530" s="39"/>
      <c r="H530" s="39"/>
      <c r="I530" s="39"/>
      <c r="J530" s="39"/>
      <c r="K530" s="39"/>
      <c r="L530" s="39"/>
      <c r="N530" s="216"/>
      <c r="O530" s="216"/>
      <c r="P530" s="39"/>
      <c r="Q530" s="39"/>
      <c r="R530" s="39"/>
    </row>
    <row r="531" spans="1:18" ht="15.75" customHeight="1">
      <c r="A531" s="39"/>
      <c r="B531" s="39"/>
      <c r="C531" s="39"/>
      <c r="D531" s="39"/>
      <c r="E531" s="39"/>
      <c r="F531" s="39"/>
      <c r="G531" s="39"/>
      <c r="H531" s="39"/>
      <c r="I531" s="39"/>
      <c r="J531" s="39"/>
      <c r="K531" s="39"/>
      <c r="L531" s="39"/>
      <c r="N531" s="216"/>
      <c r="O531" s="216"/>
      <c r="P531" s="39"/>
      <c r="Q531" s="39"/>
      <c r="R531" s="39"/>
    </row>
    <row r="532" spans="1:18" ht="15.75" customHeight="1">
      <c r="A532" s="39"/>
      <c r="B532" s="39"/>
      <c r="C532" s="39"/>
      <c r="D532" s="39"/>
      <c r="E532" s="39"/>
      <c r="F532" s="39"/>
      <c r="G532" s="39"/>
      <c r="H532" s="39"/>
      <c r="I532" s="39"/>
      <c r="J532" s="39"/>
      <c r="K532" s="39"/>
      <c r="L532" s="39"/>
      <c r="N532" s="216"/>
      <c r="O532" s="216"/>
      <c r="P532" s="39"/>
      <c r="Q532" s="39"/>
      <c r="R532" s="39"/>
    </row>
    <row r="533" spans="1:18" ht="15.75" customHeight="1">
      <c r="A533" s="39"/>
      <c r="B533" s="39"/>
      <c r="C533" s="39"/>
      <c r="D533" s="39"/>
      <c r="E533" s="39"/>
      <c r="F533" s="39"/>
      <c r="G533" s="39"/>
      <c r="H533" s="39"/>
      <c r="I533" s="39"/>
      <c r="J533" s="39"/>
      <c r="K533" s="39"/>
      <c r="L533" s="39"/>
      <c r="N533" s="216"/>
      <c r="O533" s="216"/>
      <c r="P533" s="39"/>
      <c r="Q533" s="39"/>
      <c r="R533" s="39"/>
    </row>
    <row r="534" spans="1:18" ht="15.75" customHeight="1">
      <c r="A534" s="39"/>
      <c r="B534" s="39"/>
      <c r="C534" s="39"/>
      <c r="D534" s="39"/>
      <c r="E534" s="39"/>
      <c r="F534" s="39"/>
      <c r="G534" s="39"/>
      <c r="H534" s="39"/>
      <c r="I534" s="39"/>
      <c r="J534" s="39"/>
      <c r="K534" s="39"/>
      <c r="L534" s="39"/>
      <c r="N534" s="216"/>
      <c r="O534" s="216"/>
      <c r="P534" s="39"/>
      <c r="Q534" s="39"/>
      <c r="R534" s="39"/>
    </row>
    <row r="535" spans="1:18" ht="15.75" customHeight="1">
      <c r="A535" s="39"/>
      <c r="B535" s="39"/>
      <c r="C535" s="39"/>
      <c r="D535" s="39"/>
      <c r="E535" s="39"/>
      <c r="F535" s="39"/>
      <c r="G535" s="39"/>
      <c r="H535" s="39"/>
      <c r="I535" s="39"/>
      <c r="J535" s="39"/>
      <c r="K535" s="39"/>
      <c r="L535" s="39"/>
      <c r="N535" s="216"/>
      <c r="O535" s="216"/>
      <c r="P535" s="39"/>
      <c r="Q535" s="39"/>
      <c r="R535" s="39"/>
    </row>
    <row r="536" spans="1:18" ht="15.75" customHeight="1">
      <c r="A536" s="39"/>
      <c r="B536" s="39"/>
      <c r="C536" s="39"/>
      <c r="D536" s="39"/>
      <c r="E536" s="39"/>
      <c r="F536" s="39"/>
      <c r="G536" s="39"/>
      <c r="H536" s="39"/>
      <c r="I536" s="39"/>
      <c r="J536" s="39"/>
      <c r="K536" s="39"/>
      <c r="L536" s="39"/>
      <c r="N536" s="216"/>
      <c r="O536" s="216"/>
      <c r="P536" s="39"/>
      <c r="Q536" s="39"/>
      <c r="R536" s="39"/>
    </row>
    <row r="537" spans="1:18" ht="15.75" customHeight="1">
      <c r="A537" s="39"/>
      <c r="B537" s="39"/>
      <c r="C537" s="39"/>
      <c r="D537" s="39"/>
      <c r="E537" s="39"/>
      <c r="F537" s="39"/>
      <c r="G537" s="39"/>
      <c r="H537" s="39"/>
      <c r="I537" s="39"/>
      <c r="J537" s="39"/>
      <c r="K537" s="39"/>
      <c r="L537" s="39"/>
      <c r="N537" s="216"/>
      <c r="O537" s="216"/>
      <c r="P537" s="39"/>
      <c r="Q537" s="39"/>
      <c r="R537" s="39"/>
    </row>
    <row r="538" spans="1:18" ht="15.75" customHeight="1">
      <c r="A538" s="39"/>
      <c r="B538" s="39"/>
      <c r="C538" s="39"/>
      <c r="D538" s="39"/>
      <c r="E538" s="39"/>
      <c r="F538" s="39"/>
      <c r="G538" s="39"/>
      <c r="H538" s="39"/>
      <c r="I538" s="39"/>
      <c r="J538" s="39"/>
      <c r="K538" s="39"/>
      <c r="L538" s="39"/>
      <c r="N538" s="216"/>
      <c r="O538" s="216"/>
      <c r="P538" s="39"/>
      <c r="Q538" s="39"/>
      <c r="R538" s="39"/>
    </row>
    <row r="539" spans="1:18" ht="15.75" customHeight="1">
      <c r="A539" s="39"/>
      <c r="B539" s="39"/>
      <c r="C539" s="39"/>
      <c r="D539" s="39"/>
      <c r="E539" s="39"/>
      <c r="F539" s="39"/>
      <c r="G539" s="39"/>
      <c r="H539" s="39"/>
      <c r="I539" s="39"/>
      <c r="J539" s="39"/>
      <c r="K539" s="39"/>
      <c r="L539" s="39"/>
      <c r="N539" s="216"/>
      <c r="O539" s="216"/>
      <c r="P539" s="39"/>
      <c r="Q539" s="39"/>
      <c r="R539" s="39"/>
    </row>
    <row r="540" spans="1:18" ht="15.75" customHeight="1">
      <c r="A540" s="39"/>
      <c r="B540" s="39"/>
      <c r="C540" s="39"/>
      <c r="D540" s="39"/>
      <c r="E540" s="39"/>
      <c r="F540" s="39"/>
      <c r="G540" s="39"/>
      <c r="H540" s="39"/>
      <c r="I540" s="39"/>
      <c r="J540" s="39"/>
      <c r="K540" s="39"/>
      <c r="L540" s="39"/>
      <c r="N540" s="216"/>
      <c r="O540" s="216"/>
      <c r="P540" s="39"/>
      <c r="Q540" s="39"/>
      <c r="R540" s="39"/>
    </row>
    <row r="541" spans="1:18" ht="15.75" customHeight="1">
      <c r="A541" s="39"/>
      <c r="B541" s="39"/>
      <c r="C541" s="39"/>
      <c r="D541" s="39"/>
      <c r="E541" s="39"/>
      <c r="F541" s="39"/>
      <c r="G541" s="39"/>
      <c r="H541" s="39"/>
      <c r="I541" s="39"/>
      <c r="J541" s="39"/>
      <c r="K541" s="39"/>
      <c r="L541" s="39"/>
      <c r="N541" s="216"/>
      <c r="O541" s="216"/>
      <c r="P541" s="39"/>
      <c r="Q541" s="39"/>
      <c r="R541" s="39"/>
    </row>
    <row r="542" spans="1:18" ht="15.75" customHeight="1">
      <c r="A542" s="39"/>
      <c r="B542" s="39"/>
      <c r="C542" s="39"/>
      <c r="D542" s="39"/>
      <c r="E542" s="39"/>
      <c r="F542" s="39"/>
      <c r="G542" s="39"/>
      <c r="H542" s="39"/>
      <c r="I542" s="39"/>
      <c r="J542" s="39"/>
      <c r="K542" s="39"/>
      <c r="L542" s="39"/>
      <c r="N542" s="216"/>
      <c r="O542" s="216"/>
      <c r="P542" s="39"/>
      <c r="Q542" s="39"/>
      <c r="R542" s="39"/>
    </row>
    <row r="543" spans="1:18" ht="15.75" customHeight="1">
      <c r="A543" s="39"/>
      <c r="B543" s="39"/>
      <c r="C543" s="39"/>
      <c r="D543" s="39"/>
      <c r="E543" s="39"/>
      <c r="F543" s="39"/>
      <c r="G543" s="39"/>
      <c r="H543" s="39"/>
      <c r="I543" s="39"/>
      <c r="J543" s="39"/>
      <c r="K543" s="39"/>
      <c r="L543" s="39"/>
      <c r="N543" s="216"/>
      <c r="O543" s="216"/>
      <c r="P543" s="39"/>
      <c r="Q543" s="39"/>
      <c r="R543" s="39"/>
    </row>
    <row r="544" spans="1:18" ht="15.75" customHeight="1">
      <c r="A544" s="39"/>
      <c r="B544" s="39"/>
      <c r="C544" s="39"/>
      <c r="D544" s="39"/>
      <c r="E544" s="39"/>
      <c r="F544" s="39"/>
      <c r="G544" s="39"/>
      <c r="H544" s="39"/>
      <c r="I544" s="39"/>
      <c r="J544" s="39"/>
      <c r="K544" s="39"/>
      <c r="L544" s="39"/>
      <c r="N544" s="216"/>
      <c r="O544" s="216"/>
      <c r="P544" s="39"/>
      <c r="Q544" s="39"/>
      <c r="R544" s="39"/>
    </row>
    <row r="545" spans="1:18" ht="15.75" customHeight="1">
      <c r="A545" s="39"/>
      <c r="B545" s="39"/>
      <c r="C545" s="39"/>
      <c r="D545" s="39"/>
      <c r="E545" s="39"/>
      <c r="F545" s="39"/>
      <c r="G545" s="39"/>
      <c r="H545" s="39"/>
      <c r="I545" s="39"/>
      <c r="J545" s="39"/>
      <c r="K545" s="39"/>
      <c r="L545" s="39"/>
      <c r="N545" s="216"/>
      <c r="O545" s="216"/>
      <c r="P545" s="39"/>
      <c r="Q545" s="39"/>
      <c r="R545" s="39"/>
    </row>
    <row r="546" spans="1:18" ht="15.75" customHeight="1">
      <c r="A546" s="39"/>
      <c r="B546" s="39"/>
      <c r="C546" s="39"/>
      <c r="D546" s="39"/>
      <c r="E546" s="39"/>
      <c r="F546" s="39"/>
      <c r="G546" s="39"/>
      <c r="H546" s="39"/>
      <c r="I546" s="39"/>
      <c r="J546" s="39"/>
      <c r="K546" s="39"/>
      <c r="L546" s="39"/>
      <c r="N546" s="216"/>
      <c r="O546" s="216"/>
      <c r="P546" s="39"/>
      <c r="Q546" s="39"/>
      <c r="R546" s="39"/>
    </row>
    <row r="547" spans="1:18" ht="15.75" customHeight="1">
      <c r="A547" s="39"/>
      <c r="B547" s="39"/>
      <c r="C547" s="39"/>
      <c r="D547" s="39"/>
      <c r="E547" s="39"/>
      <c r="F547" s="39"/>
      <c r="G547" s="39"/>
      <c r="H547" s="39"/>
      <c r="I547" s="39"/>
      <c r="J547" s="39"/>
      <c r="K547" s="39"/>
      <c r="L547" s="39"/>
      <c r="N547" s="216"/>
      <c r="O547" s="216"/>
      <c r="P547" s="39"/>
      <c r="Q547" s="39"/>
      <c r="R547" s="39"/>
    </row>
    <row r="548" spans="1:18" ht="15.75" customHeight="1">
      <c r="A548" s="39"/>
      <c r="B548" s="39"/>
      <c r="C548" s="39"/>
      <c r="D548" s="39"/>
      <c r="E548" s="39"/>
      <c r="F548" s="39"/>
      <c r="G548" s="39"/>
      <c r="H548" s="39"/>
      <c r="I548" s="39"/>
      <c r="J548" s="39"/>
      <c r="K548" s="39"/>
      <c r="L548" s="39"/>
      <c r="N548" s="216"/>
      <c r="O548" s="216"/>
      <c r="P548" s="39"/>
      <c r="Q548" s="39"/>
      <c r="R548" s="39"/>
    </row>
    <row r="549" spans="1:18" ht="15.75" customHeight="1">
      <c r="A549" s="39"/>
      <c r="B549" s="39"/>
      <c r="C549" s="39"/>
      <c r="D549" s="39"/>
      <c r="E549" s="39"/>
      <c r="F549" s="39"/>
      <c r="G549" s="39"/>
      <c r="H549" s="39"/>
      <c r="I549" s="39"/>
      <c r="J549" s="39"/>
      <c r="K549" s="39"/>
      <c r="L549" s="39"/>
      <c r="N549" s="216"/>
      <c r="O549" s="216"/>
      <c r="P549" s="39"/>
      <c r="Q549" s="39"/>
      <c r="R549" s="39"/>
    </row>
    <row r="550" spans="1:18" ht="15.75" customHeight="1">
      <c r="A550" s="39"/>
      <c r="B550" s="39"/>
      <c r="C550" s="39"/>
      <c r="D550" s="39"/>
      <c r="E550" s="39"/>
      <c r="F550" s="39"/>
      <c r="G550" s="39"/>
      <c r="H550" s="39"/>
      <c r="I550" s="39"/>
      <c r="J550" s="39"/>
      <c r="K550" s="39"/>
      <c r="L550" s="39"/>
      <c r="N550" s="216"/>
      <c r="O550" s="216"/>
      <c r="P550" s="39"/>
      <c r="Q550" s="39"/>
      <c r="R550" s="39"/>
    </row>
    <row r="551" spans="1:18" ht="15.75" customHeight="1">
      <c r="A551" s="39"/>
      <c r="B551" s="39"/>
      <c r="C551" s="39"/>
      <c r="D551" s="39"/>
      <c r="E551" s="39"/>
      <c r="F551" s="39"/>
      <c r="G551" s="39"/>
      <c r="H551" s="39"/>
      <c r="I551" s="39"/>
      <c r="J551" s="39"/>
      <c r="K551" s="39"/>
      <c r="L551" s="39"/>
      <c r="N551" s="216"/>
      <c r="O551" s="216"/>
      <c r="P551" s="39"/>
      <c r="Q551" s="39"/>
      <c r="R551" s="39"/>
    </row>
    <row r="552" spans="1:18" ht="15.75" customHeight="1">
      <c r="A552" s="39"/>
      <c r="B552" s="39"/>
      <c r="C552" s="39"/>
      <c r="D552" s="39"/>
      <c r="E552" s="39"/>
      <c r="F552" s="39"/>
      <c r="G552" s="39"/>
      <c r="H552" s="39"/>
      <c r="I552" s="39"/>
      <c r="J552" s="39"/>
      <c r="K552" s="39"/>
      <c r="L552" s="39"/>
      <c r="N552" s="216"/>
      <c r="O552" s="216"/>
      <c r="P552" s="39"/>
      <c r="Q552" s="39"/>
      <c r="R552" s="39"/>
    </row>
    <row r="553" spans="1:18" ht="15.75" customHeight="1">
      <c r="A553" s="39"/>
      <c r="B553" s="39"/>
      <c r="C553" s="39"/>
      <c r="D553" s="39"/>
      <c r="E553" s="39"/>
      <c r="F553" s="39"/>
      <c r="G553" s="39"/>
      <c r="H553" s="39"/>
      <c r="I553" s="39"/>
      <c r="J553" s="39"/>
      <c r="K553" s="39"/>
      <c r="L553" s="39"/>
      <c r="N553" s="216"/>
      <c r="O553" s="216"/>
      <c r="P553" s="39"/>
      <c r="Q553" s="39"/>
      <c r="R553" s="39"/>
    </row>
    <row r="554" spans="1:18" ht="15.75" customHeight="1">
      <c r="A554" s="39"/>
      <c r="B554" s="39"/>
      <c r="C554" s="39"/>
      <c r="D554" s="39"/>
      <c r="E554" s="39"/>
      <c r="F554" s="39"/>
      <c r="G554" s="39"/>
      <c r="H554" s="39"/>
      <c r="I554" s="39"/>
      <c r="J554" s="39"/>
      <c r="K554" s="39"/>
      <c r="L554" s="39"/>
      <c r="N554" s="216"/>
      <c r="O554" s="216"/>
      <c r="P554" s="39"/>
      <c r="Q554" s="39"/>
      <c r="R554" s="39"/>
    </row>
    <row r="555" spans="1:18" ht="15.75" customHeight="1">
      <c r="A555" s="39"/>
      <c r="B555" s="39"/>
      <c r="C555" s="39"/>
      <c r="D555" s="39"/>
      <c r="E555" s="39"/>
      <c r="F555" s="39"/>
      <c r="G555" s="39"/>
      <c r="H555" s="39"/>
      <c r="I555" s="39"/>
      <c r="J555" s="39"/>
      <c r="K555" s="39"/>
      <c r="L555" s="39"/>
      <c r="N555" s="216"/>
      <c r="O555" s="216"/>
      <c r="P555" s="39"/>
      <c r="Q555" s="39"/>
      <c r="R555" s="39"/>
    </row>
    <row r="556" spans="1:18" ht="15.75" customHeight="1">
      <c r="A556" s="39"/>
      <c r="B556" s="39"/>
      <c r="C556" s="39"/>
      <c r="D556" s="39"/>
      <c r="E556" s="39"/>
      <c r="F556" s="39"/>
      <c r="G556" s="39"/>
      <c r="H556" s="39"/>
      <c r="I556" s="39"/>
      <c r="J556" s="39"/>
      <c r="K556" s="39"/>
      <c r="L556" s="39"/>
      <c r="N556" s="216"/>
      <c r="O556" s="216"/>
      <c r="P556" s="39"/>
      <c r="Q556" s="39"/>
      <c r="R556" s="39"/>
    </row>
    <row r="557" spans="1:18" ht="15.75" customHeight="1">
      <c r="A557" s="39"/>
      <c r="B557" s="39"/>
      <c r="C557" s="39"/>
      <c r="D557" s="39"/>
      <c r="E557" s="39"/>
      <c r="F557" s="39"/>
      <c r="G557" s="39"/>
      <c r="H557" s="39"/>
      <c r="I557" s="39"/>
      <c r="J557" s="39"/>
      <c r="K557" s="39"/>
      <c r="L557" s="39"/>
      <c r="N557" s="216"/>
      <c r="O557" s="216"/>
      <c r="P557" s="39"/>
      <c r="Q557" s="39"/>
      <c r="R557" s="39"/>
    </row>
    <row r="558" spans="1:18" ht="15.75" customHeight="1">
      <c r="A558" s="39"/>
      <c r="B558" s="39"/>
      <c r="C558" s="39"/>
      <c r="D558" s="39"/>
      <c r="E558" s="39"/>
      <c r="F558" s="39"/>
      <c r="G558" s="39"/>
      <c r="H558" s="39"/>
      <c r="I558" s="39"/>
      <c r="J558" s="39"/>
      <c r="K558" s="39"/>
      <c r="L558" s="39"/>
      <c r="N558" s="216"/>
      <c r="O558" s="216"/>
      <c r="P558" s="39"/>
      <c r="Q558" s="39"/>
      <c r="R558" s="39"/>
    </row>
    <row r="559" spans="1:18" ht="15.75" customHeight="1">
      <c r="A559" s="39"/>
      <c r="B559" s="39"/>
      <c r="C559" s="39"/>
      <c r="D559" s="39"/>
      <c r="E559" s="39"/>
      <c r="F559" s="39"/>
      <c r="G559" s="39"/>
      <c r="H559" s="39"/>
      <c r="I559" s="39"/>
      <c r="J559" s="39"/>
      <c r="K559" s="39"/>
      <c r="L559" s="39"/>
      <c r="N559" s="216"/>
      <c r="O559" s="216"/>
      <c r="P559" s="39"/>
      <c r="Q559" s="39"/>
      <c r="R559" s="39"/>
    </row>
    <row r="560" spans="1:18" ht="15.75" customHeight="1">
      <c r="A560" s="39"/>
      <c r="B560" s="39"/>
      <c r="C560" s="39"/>
      <c r="D560" s="39"/>
      <c r="E560" s="39"/>
      <c r="F560" s="39"/>
      <c r="G560" s="39"/>
      <c r="H560" s="39"/>
      <c r="I560" s="39"/>
      <c r="J560" s="39"/>
      <c r="K560" s="39"/>
      <c r="L560" s="39"/>
      <c r="N560" s="216"/>
      <c r="O560" s="216"/>
      <c r="P560" s="39"/>
      <c r="Q560" s="39"/>
      <c r="R560" s="39"/>
    </row>
    <row r="561" spans="1:18" ht="15.75" customHeight="1">
      <c r="A561" s="39"/>
      <c r="B561" s="39"/>
      <c r="C561" s="39"/>
      <c r="D561" s="39"/>
      <c r="E561" s="39"/>
      <c r="F561" s="39"/>
      <c r="G561" s="39"/>
      <c r="H561" s="39"/>
      <c r="I561" s="39"/>
      <c r="J561" s="39"/>
      <c r="K561" s="39"/>
      <c r="L561" s="39"/>
      <c r="N561" s="216"/>
      <c r="O561" s="216"/>
      <c r="P561" s="39"/>
      <c r="Q561" s="39"/>
      <c r="R561" s="39"/>
    </row>
    <row r="562" spans="1:18" ht="15.75" customHeight="1">
      <c r="A562" s="39"/>
      <c r="B562" s="39"/>
      <c r="C562" s="39"/>
      <c r="D562" s="39"/>
      <c r="E562" s="39"/>
      <c r="F562" s="39"/>
      <c r="G562" s="39"/>
      <c r="H562" s="39"/>
      <c r="I562" s="39"/>
      <c r="J562" s="39"/>
      <c r="K562" s="39"/>
      <c r="L562" s="39"/>
      <c r="N562" s="216"/>
      <c r="O562" s="216"/>
      <c r="P562" s="39"/>
      <c r="Q562" s="39"/>
      <c r="R562" s="39"/>
    </row>
    <row r="563" spans="1:18" ht="15.75" customHeight="1">
      <c r="A563" s="39"/>
      <c r="B563" s="39"/>
      <c r="C563" s="39"/>
      <c r="D563" s="39"/>
      <c r="E563" s="39"/>
      <c r="F563" s="39"/>
      <c r="G563" s="39"/>
      <c r="H563" s="39"/>
      <c r="I563" s="39"/>
      <c r="J563" s="39"/>
      <c r="K563" s="39"/>
      <c r="L563" s="39"/>
      <c r="N563" s="216"/>
      <c r="O563" s="216"/>
      <c r="P563" s="39"/>
      <c r="Q563" s="39"/>
      <c r="R563" s="39"/>
    </row>
    <row r="564" spans="1:18" ht="15.75" customHeight="1">
      <c r="A564" s="39"/>
      <c r="B564" s="39"/>
      <c r="C564" s="39"/>
      <c r="D564" s="39"/>
      <c r="E564" s="39"/>
      <c r="F564" s="39"/>
      <c r="G564" s="39"/>
      <c r="H564" s="39"/>
      <c r="I564" s="39"/>
      <c r="J564" s="39"/>
      <c r="K564" s="39"/>
      <c r="L564" s="39"/>
      <c r="N564" s="216"/>
      <c r="O564" s="216"/>
      <c r="P564" s="39"/>
      <c r="Q564" s="39"/>
      <c r="R564" s="39"/>
    </row>
    <row r="565" spans="1:18" ht="15.75" customHeight="1">
      <c r="A565" s="39"/>
      <c r="B565" s="39"/>
      <c r="C565" s="39"/>
      <c r="D565" s="39"/>
      <c r="E565" s="39"/>
      <c r="F565" s="39"/>
      <c r="G565" s="39"/>
      <c r="H565" s="39"/>
      <c r="I565" s="39"/>
      <c r="J565" s="39"/>
      <c r="K565" s="39"/>
      <c r="L565" s="39"/>
      <c r="N565" s="216"/>
      <c r="O565" s="216"/>
      <c r="P565" s="39"/>
      <c r="Q565" s="39"/>
      <c r="R565" s="39"/>
    </row>
    <row r="566" spans="1:18" ht="15.75" customHeight="1">
      <c r="A566" s="39"/>
      <c r="B566" s="39"/>
      <c r="C566" s="39"/>
      <c r="D566" s="39"/>
      <c r="E566" s="39"/>
      <c r="F566" s="39"/>
      <c r="G566" s="39"/>
      <c r="H566" s="39"/>
      <c r="I566" s="39"/>
      <c r="J566" s="39"/>
      <c r="K566" s="39"/>
      <c r="L566" s="39"/>
      <c r="N566" s="216"/>
      <c r="O566" s="216"/>
      <c r="P566" s="39"/>
      <c r="Q566" s="39"/>
      <c r="R566" s="39"/>
    </row>
    <row r="567" spans="1:18" ht="15.75" customHeight="1">
      <c r="A567" s="39"/>
      <c r="B567" s="39"/>
      <c r="C567" s="39"/>
      <c r="D567" s="39"/>
      <c r="E567" s="39"/>
      <c r="F567" s="39"/>
      <c r="G567" s="39"/>
      <c r="H567" s="39"/>
      <c r="I567" s="39"/>
      <c r="J567" s="39"/>
      <c r="K567" s="39"/>
      <c r="L567" s="39"/>
      <c r="N567" s="216"/>
      <c r="O567" s="216"/>
      <c r="P567" s="39"/>
      <c r="Q567" s="39"/>
      <c r="R567" s="39"/>
    </row>
    <row r="568" spans="1:18" ht="15.75" customHeight="1">
      <c r="A568" s="39"/>
      <c r="B568" s="39"/>
      <c r="C568" s="39"/>
      <c r="D568" s="39"/>
      <c r="E568" s="39"/>
      <c r="F568" s="39"/>
      <c r="G568" s="39"/>
      <c r="H568" s="39"/>
      <c r="I568" s="39"/>
      <c r="J568" s="39"/>
      <c r="K568" s="39"/>
      <c r="L568" s="39"/>
      <c r="N568" s="216"/>
      <c r="O568" s="216"/>
      <c r="P568" s="39"/>
      <c r="Q568" s="39"/>
      <c r="R568" s="39"/>
    </row>
    <row r="569" spans="1:18" ht="15.75" customHeight="1">
      <c r="A569" s="39"/>
      <c r="B569" s="39"/>
      <c r="C569" s="39"/>
      <c r="D569" s="39"/>
      <c r="E569" s="39"/>
      <c r="F569" s="39"/>
      <c r="G569" s="39"/>
      <c r="H569" s="39"/>
      <c r="I569" s="39"/>
      <c r="J569" s="39"/>
      <c r="K569" s="39"/>
      <c r="L569" s="39"/>
      <c r="N569" s="216"/>
      <c r="O569" s="216"/>
      <c r="P569" s="39"/>
      <c r="Q569" s="39"/>
      <c r="R569" s="39"/>
    </row>
    <row r="570" spans="1:18" ht="15.75" customHeight="1">
      <c r="A570" s="39"/>
      <c r="B570" s="39"/>
      <c r="C570" s="39"/>
      <c r="D570" s="39"/>
      <c r="E570" s="39"/>
      <c r="F570" s="39"/>
      <c r="G570" s="39"/>
      <c r="H570" s="39"/>
      <c r="I570" s="39"/>
      <c r="J570" s="39"/>
      <c r="K570" s="39"/>
      <c r="L570" s="39"/>
      <c r="N570" s="216"/>
      <c r="O570" s="216"/>
      <c r="P570" s="39"/>
      <c r="Q570" s="39"/>
      <c r="R570" s="39"/>
    </row>
    <row r="571" spans="1:18" ht="15.75" customHeight="1">
      <c r="A571" s="39"/>
      <c r="B571" s="39"/>
      <c r="C571" s="39"/>
      <c r="D571" s="39"/>
      <c r="E571" s="39"/>
      <c r="F571" s="39"/>
      <c r="G571" s="39"/>
      <c r="H571" s="39"/>
      <c r="I571" s="39"/>
      <c r="J571" s="39"/>
      <c r="K571" s="39"/>
      <c r="L571" s="39"/>
      <c r="N571" s="216"/>
      <c r="O571" s="216"/>
      <c r="P571" s="39"/>
      <c r="Q571" s="39"/>
      <c r="R571" s="39"/>
    </row>
    <row r="572" spans="1:18" ht="15.75" customHeight="1">
      <c r="A572" s="39"/>
      <c r="B572" s="39"/>
      <c r="C572" s="39"/>
      <c r="D572" s="39"/>
      <c r="E572" s="39"/>
      <c r="F572" s="39"/>
      <c r="G572" s="39"/>
      <c r="H572" s="39"/>
      <c r="I572" s="39"/>
      <c r="J572" s="39"/>
      <c r="K572" s="39"/>
      <c r="L572" s="39"/>
      <c r="N572" s="216"/>
      <c r="O572" s="216"/>
      <c r="P572" s="39"/>
      <c r="Q572" s="39"/>
      <c r="R572" s="39"/>
    </row>
    <row r="573" spans="1:18" ht="15.75" customHeight="1">
      <c r="A573" s="39"/>
      <c r="B573" s="39"/>
      <c r="C573" s="39"/>
      <c r="D573" s="39"/>
      <c r="E573" s="39"/>
      <c r="F573" s="39"/>
      <c r="G573" s="39"/>
      <c r="H573" s="39"/>
      <c r="I573" s="39"/>
      <c r="J573" s="39"/>
      <c r="K573" s="39"/>
      <c r="L573" s="39"/>
      <c r="N573" s="216"/>
      <c r="O573" s="216"/>
      <c r="P573" s="39"/>
      <c r="Q573" s="39"/>
      <c r="R573" s="39"/>
    </row>
    <row r="574" spans="1:18" ht="15.75" customHeight="1">
      <c r="A574" s="39"/>
      <c r="B574" s="39"/>
      <c r="C574" s="39"/>
      <c r="D574" s="39"/>
      <c r="E574" s="39"/>
      <c r="F574" s="39"/>
      <c r="G574" s="39"/>
      <c r="H574" s="39"/>
      <c r="I574" s="39"/>
      <c r="J574" s="39"/>
      <c r="K574" s="39"/>
      <c r="L574" s="39"/>
      <c r="N574" s="216"/>
      <c r="O574" s="216"/>
      <c r="P574" s="39"/>
      <c r="Q574" s="39"/>
      <c r="R574" s="39"/>
    </row>
    <row r="575" spans="1:18" ht="15.75" customHeight="1">
      <c r="A575" s="39"/>
      <c r="B575" s="39"/>
      <c r="C575" s="39"/>
      <c r="D575" s="39"/>
      <c r="E575" s="39"/>
      <c r="F575" s="39"/>
      <c r="G575" s="39"/>
      <c r="H575" s="39"/>
      <c r="I575" s="39"/>
      <c r="J575" s="39"/>
      <c r="K575" s="39"/>
      <c r="L575" s="39"/>
      <c r="N575" s="216"/>
      <c r="O575" s="216"/>
      <c r="P575" s="39"/>
      <c r="Q575" s="39"/>
      <c r="R575" s="39"/>
    </row>
    <row r="576" spans="1:18" ht="15.75" customHeight="1">
      <c r="A576" s="39"/>
      <c r="B576" s="39"/>
      <c r="C576" s="39"/>
      <c r="D576" s="39"/>
      <c r="E576" s="39"/>
      <c r="F576" s="39"/>
      <c r="G576" s="39"/>
      <c r="H576" s="39"/>
      <c r="I576" s="39"/>
      <c r="J576" s="39"/>
      <c r="K576" s="39"/>
      <c r="L576" s="39"/>
      <c r="N576" s="216"/>
      <c r="O576" s="216"/>
      <c r="P576" s="39"/>
      <c r="Q576" s="39"/>
      <c r="R576" s="39"/>
    </row>
    <row r="577" spans="1:18" ht="15.75" customHeight="1">
      <c r="A577" s="39"/>
      <c r="B577" s="39"/>
      <c r="C577" s="39"/>
      <c r="D577" s="39"/>
      <c r="E577" s="39"/>
      <c r="F577" s="39"/>
      <c r="G577" s="39"/>
      <c r="H577" s="39"/>
      <c r="I577" s="39"/>
      <c r="J577" s="39"/>
      <c r="K577" s="39"/>
      <c r="L577" s="39"/>
      <c r="N577" s="216"/>
      <c r="O577" s="216"/>
      <c r="P577" s="39"/>
      <c r="Q577" s="39"/>
      <c r="R577" s="39"/>
    </row>
    <row r="578" spans="1:18" ht="15.75" customHeight="1">
      <c r="A578" s="39"/>
      <c r="B578" s="39"/>
      <c r="C578" s="39"/>
      <c r="D578" s="39"/>
      <c r="E578" s="39"/>
      <c r="F578" s="39"/>
      <c r="G578" s="39"/>
      <c r="H578" s="39"/>
      <c r="I578" s="39"/>
      <c r="J578" s="39"/>
      <c r="K578" s="39"/>
      <c r="L578" s="39"/>
      <c r="N578" s="216"/>
      <c r="O578" s="216"/>
      <c r="P578" s="39"/>
      <c r="Q578" s="39"/>
      <c r="R578" s="39"/>
    </row>
    <row r="579" spans="1:18" ht="15.75" customHeight="1">
      <c r="A579" s="39"/>
      <c r="B579" s="39"/>
      <c r="C579" s="39"/>
      <c r="D579" s="39"/>
      <c r="E579" s="39"/>
      <c r="F579" s="39"/>
      <c r="G579" s="39"/>
      <c r="H579" s="39"/>
      <c r="I579" s="39"/>
      <c r="J579" s="39"/>
      <c r="K579" s="39"/>
      <c r="L579" s="39"/>
      <c r="N579" s="216"/>
      <c r="O579" s="216"/>
      <c r="P579" s="39"/>
      <c r="Q579" s="39"/>
      <c r="R579" s="39"/>
    </row>
    <row r="580" spans="1:18" ht="15.75" customHeight="1">
      <c r="A580" s="39"/>
      <c r="B580" s="39"/>
      <c r="C580" s="39"/>
      <c r="D580" s="39"/>
      <c r="E580" s="39"/>
      <c r="F580" s="39"/>
      <c r="G580" s="39"/>
      <c r="H580" s="39"/>
      <c r="I580" s="39"/>
      <c r="J580" s="39"/>
      <c r="K580" s="39"/>
      <c r="L580" s="39"/>
      <c r="N580" s="216"/>
      <c r="O580" s="216"/>
      <c r="P580" s="39"/>
      <c r="Q580" s="39"/>
      <c r="R580" s="39"/>
    </row>
    <row r="581" spans="1:18" ht="15.75" customHeight="1">
      <c r="A581" s="39"/>
      <c r="B581" s="39"/>
      <c r="C581" s="39"/>
      <c r="D581" s="39"/>
      <c r="E581" s="39"/>
      <c r="F581" s="39"/>
      <c r="G581" s="39"/>
      <c r="H581" s="39"/>
      <c r="I581" s="39"/>
      <c r="J581" s="39"/>
      <c r="K581" s="39"/>
      <c r="L581" s="39"/>
      <c r="N581" s="216"/>
      <c r="O581" s="216"/>
      <c r="P581" s="39"/>
      <c r="Q581" s="39"/>
      <c r="R581" s="39"/>
    </row>
    <row r="582" spans="1:18" ht="15.75" customHeight="1">
      <c r="A582" s="39"/>
      <c r="B582" s="39"/>
      <c r="C582" s="39"/>
      <c r="D582" s="39"/>
      <c r="E582" s="39"/>
      <c r="F582" s="39"/>
      <c r="G582" s="39"/>
      <c r="H582" s="39"/>
      <c r="I582" s="39"/>
      <c r="J582" s="39"/>
      <c r="K582" s="39"/>
      <c r="L582" s="39"/>
      <c r="N582" s="216"/>
      <c r="O582" s="216"/>
      <c r="P582" s="39"/>
      <c r="Q582" s="39"/>
      <c r="R582" s="39"/>
    </row>
    <row r="583" spans="1:18" ht="15.75" customHeight="1">
      <c r="A583" s="39"/>
      <c r="B583" s="39"/>
      <c r="C583" s="39"/>
      <c r="D583" s="39"/>
      <c r="E583" s="39"/>
      <c r="F583" s="39"/>
      <c r="G583" s="39"/>
      <c r="H583" s="39"/>
      <c r="I583" s="39"/>
      <c r="J583" s="39"/>
      <c r="K583" s="39"/>
      <c r="L583" s="39"/>
      <c r="N583" s="216"/>
      <c r="O583" s="216"/>
      <c r="P583" s="39"/>
      <c r="Q583" s="39"/>
      <c r="R583" s="39"/>
    </row>
    <row r="584" spans="1:18" ht="15.75" customHeight="1">
      <c r="A584" s="39"/>
      <c r="B584" s="39"/>
      <c r="C584" s="39"/>
      <c r="D584" s="39"/>
      <c r="E584" s="39"/>
      <c r="F584" s="39"/>
      <c r="G584" s="39"/>
      <c r="H584" s="39"/>
      <c r="I584" s="39"/>
      <c r="J584" s="39"/>
      <c r="K584" s="39"/>
      <c r="L584" s="39"/>
      <c r="N584" s="216"/>
      <c r="O584" s="216"/>
      <c r="P584" s="39"/>
      <c r="Q584" s="39"/>
      <c r="R584" s="39"/>
    </row>
    <row r="585" spans="1:18" ht="15.75" customHeight="1">
      <c r="A585" s="39"/>
      <c r="B585" s="39"/>
      <c r="C585" s="39"/>
      <c r="D585" s="39"/>
      <c r="E585" s="39"/>
      <c r="F585" s="39"/>
      <c r="G585" s="39"/>
      <c r="H585" s="39"/>
      <c r="I585" s="39"/>
      <c r="J585" s="39"/>
      <c r="K585" s="39"/>
      <c r="L585" s="39"/>
      <c r="N585" s="216"/>
      <c r="O585" s="216"/>
      <c r="P585" s="39"/>
      <c r="Q585" s="39"/>
      <c r="R585" s="39"/>
    </row>
    <row r="586" spans="1:18" ht="15.75" customHeight="1">
      <c r="A586" s="39"/>
      <c r="B586" s="39"/>
      <c r="C586" s="39"/>
      <c r="D586" s="39"/>
      <c r="E586" s="39"/>
      <c r="F586" s="39"/>
      <c r="G586" s="39"/>
      <c r="H586" s="39"/>
      <c r="I586" s="39"/>
      <c r="J586" s="39"/>
      <c r="K586" s="39"/>
      <c r="L586" s="39"/>
      <c r="N586" s="216"/>
      <c r="O586" s="216"/>
      <c r="P586" s="39"/>
      <c r="Q586" s="39"/>
      <c r="R586" s="39"/>
    </row>
    <row r="587" spans="1:18" ht="15.75" customHeight="1">
      <c r="A587" s="39"/>
      <c r="B587" s="39"/>
      <c r="C587" s="39"/>
      <c r="D587" s="39"/>
      <c r="E587" s="39"/>
      <c r="F587" s="39"/>
      <c r="G587" s="39"/>
      <c r="H587" s="39"/>
      <c r="I587" s="39"/>
      <c r="J587" s="39"/>
      <c r="K587" s="39"/>
      <c r="L587" s="39"/>
      <c r="N587" s="216"/>
      <c r="O587" s="216"/>
      <c r="P587" s="39"/>
      <c r="Q587" s="39"/>
      <c r="R587" s="39"/>
    </row>
    <row r="588" spans="1:18" ht="15.75" customHeight="1">
      <c r="A588" s="39"/>
      <c r="B588" s="39"/>
      <c r="C588" s="39"/>
      <c r="D588" s="39"/>
      <c r="E588" s="39"/>
      <c r="F588" s="39"/>
      <c r="G588" s="39"/>
      <c r="H588" s="39"/>
      <c r="I588" s="39"/>
      <c r="J588" s="39"/>
      <c r="K588" s="39"/>
      <c r="L588" s="39"/>
      <c r="N588" s="216"/>
      <c r="O588" s="216"/>
      <c r="P588" s="39"/>
      <c r="Q588" s="39"/>
      <c r="R588" s="39"/>
    </row>
    <row r="589" spans="1:18" ht="15.75" customHeight="1">
      <c r="A589" s="39"/>
      <c r="B589" s="39"/>
      <c r="C589" s="39"/>
      <c r="D589" s="39"/>
      <c r="E589" s="39"/>
      <c r="F589" s="39"/>
      <c r="G589" s="39"/>
      <c r="H589" s="39"/>
      <c r="I589" s="39"/>
      <c r="J589" s="39"/>
      <c r="K589" s="39"/>
      <c r="L589" s="39"/>
      <c r="N589" s="216"/>
      <c r="O589" s="216"/>
      <c r="P589" s="39"/>
      <c r="Q589" s="39"/>
      <c r="R589" s="39"/>
    </row>
    <row r="590" spans="1:18" ht="15.75" customHeight="1">
      <c r="A590" s="39"/>
      <c r="B590" s="39"/>
      <c r="C590" s="39"/>
      <c r="D590" s="39"/>
      <c r="E590" s="39"/>
      <c r="F590" s="39"/>
      <c r="G590" s="39"/>
      <c r="H590" s="39"/>
      <c r="I590" s="39"/>
      <c r="J590" s="39"/>
      <c r="K590" s="39"/>
      <c r="L590" s="39"/>
      <c r="N590" s="216"/>
      <c r="O590" s="216"/>
      <c r="P590" s="39"/>
      <c r="Q590" s="39"/>
      <c r="R590" s="39"/>
    </row>
    <row r="591" spans="1:18" ht="15.75" customHeight="1">
      <c r="A591" s="39"/>
      <c r="B591" s="39"/>
      <c r="C591" s="39"/>
      <c r="D591" s="39"/>
      <c r="E591" s="39"/>
      <c r="F591" s="39"/>
      <c r="G591" s="39"/>
      <c r="H591" s="39"/>
      <c r="I591" s="39"/>
      <c r="J591" s="39"/>
      <c r="K591" s="39"/>
      <c r="L591" s="39"/>
      <c r="N591" s="216"/>
      <c r="O591" s="216"/>
      <c r="P591" s="39"/>
      <c r="Q591" s="39"/>
      <c r="R591" s="39"/>
    </row>
    <row r="592" spans="1:18" ht="15.75" customHeight="1">
      <c r="A592" s="39"/>
      <c r="B592" s="39"/>
      <c r="C592" s="39"/>
      <c r="D592" s="39"/>
      <c r="E592" s="39"/>
      <c r="F592" s="39"/>
      <c r="G592" s="39"/>
      <c r="H592" s="39"/>
      <c r="I592" s="39"/>
      <c r="J592" s="39"/>
      <c r="K592" s="39"/>
      <c r="L592" s="39"/>
      <c r="N592" s="216"/>
      <c r="O592" s="216"/>
      <c r="P592" s="39"/>
      <c r="Q592" s="39"/>
      <c r="R592" s="39"/>
    </row>
    <row r="593" spans="1:18" ht="15.75" customHeight="1">
      <c r="A593" s="39"/>
      <c r="B593" s="39"/>
      <c r="C593" s="39"/>
      <c r="D593" s="39"/>
      <c r="E593" s="39"/>
      <c r="F593" s="39"/>
      <c r="G593" s="39"/>
      <c r="H593" s="39"/>
      <c r="I593" s="39"/>
      <c r="J593" s="39"/>
      <c r="K593" s="39"/>
      <c r="L593" s="39"/>
      <c r="N593" s="216"/>
      <c r="O593" s="216"/>
      <c r="P593" s="39"/>
      <c r="Q593" s="39"/>
      <c r="R593" s="39"/>
    </row>
    <row r="594" spans="1:18" ht="15.75" customHeight="1">
      <c r="A594" s="39"/>
      <c r="B594" s="39"/>
      <c r="C594" s="39"/>
      <c r="D594" s="39"/>
      <c r="E594" s="39"/>
      <c r="F594" s="39"/>
      <c r="G594" s="39"/>
      <c r="H594" s="39"/>
      <c r="I594" s="39"/>
      <c r="J594" s="39"/>
      <c r="K594" s="39"/>
      <c r="L594" s="39"/>
      <c r="N594" s="216"/>
      <c r="O594" s="216"/>
      <c r="P594" s="39"/>
      <c r="Q594" s="39"/>
      <c r="R594" s="39"/>
    </row>
    <row r="595" spans="1:18" ht="15.75" customHeight="1">
      <c r="A595" s="39"/>
      <c r="B595" s="39"/>
      <c r="C595" s="39"/>
      <c r="D595" s="39"/>
      <c r="E595" s="39"/>
      <c r="F595" s="39"/>
      <c r="G595" s="39"/>
      <c r="H595" s="39"/>
      <c r="I595" s="39"/>
      <c r="J595" s="39"/>
      <c r="K595" s="39"/>
      <c r="L595" s="39"/>
      <c r="N595" s="216"/>
      <c r="O595" s="216"/>
      <c r="P595" s="39"/>
      <c r="Q595" s="39"/>
      <c r="R595" s="39"/>
    </row>
    <row r="596" spans="1:18" ht="15.75" customHeight="1">
      <c r="A596" s="39"/>
      <c r="B596" s="39"/>
      <c r="C596" s="39"/>
      <c r="D596" s="39"/>
      <c r="E596" s="39"/>
      <c r="F596" s="39"/>
      <c r="G596" s="39"/>
      <c r="H596" s="39"/>
      <c r="I596" s="39"/>
      <c r="J596" s="39"/>
      <c r="K596" s="39"/>
      <c r="L596" s="39"/>
      <c r="N596" s="216"/>
      <c r="O596" s="216"/>
      <c r="P596" s="39"/>
      <c r="Q596" s="39"/>
      <c r="R596" s="39"/>
    </row>
    <row r="597" spans="1:18" ht="15.75" customHeight="1">
      <c r="A597" s="39"/>
      <c r="B597" s="39"/>
      <c r="C597" s="39"/>
      <c r="D597" s="39"/>
      <c r="E597" s="39"/>
      <c r="F597" s="39"/>
      <c r="G597" s="39"/>
      <c r="H597" s="39"/>
      <c r="I597" s="39"/>
      <c r="J597" s="39"/>
      <c r="K597" s="39"/>
      <c r="L597" s="39"/>
      <c r="N597" s="216"/>
      <c r="O597" s="216"/>
      <c r="P597" s="39"/>
      <c r="Q597" s="39"/>
      <c r="R597" s="39"/>
    </row>
    <row r="598" spans="1:18" ht="15.75" customHeight="1">
      <c r="A598" s="39"/>
      <c r="B598" s="39"/>
      <c r="C598" s="39"/>
      <c r="D598" s="39"/>
      <c r="E598" s="39"/>
      <c r="F598" s="39"/>
      <c r="G598" s="39"/>
      <c r="H598" s="39"/>
      <c r="I598" s="39"/>
      <c r="J598" s="39"/>
      <c r="K598" s="39"/>
      <c r="L598" s="39"/>
      <c r="N598" s="216"/>
      <c r="O598" s="216"/>
      <c r="P598" s="39"/>
      <c r="Q598" s="39"/>
      <c r="R598" s="39"/>
    </row>
    <row r="599" spans="1:18" ht="15.75" customHeight="1">
      <c r="A599" s="39"/>
      <c r="B599" s="39"/>
      <c r="C599" s="39"/>
      <c r="D599" s="39"/>
      <c r="E599" s="39"/>
      <c r="F599" s="39"/>
      <c r="G599" s="39"/>
      <c r="H599" s="39"/>
      <c r="I599" s="39"/>
      <c r="J599" s="39"/>
      <c r="K599" s="39"/>
      <c r="L599" s="39"/>
      <c r="N599" s="216"/>
      <c r="O599" s="216"/>
      <c r="P599" s="39"/>
      <c r="Q599" s="39"/>
      <c r="R599" s="39"/>
    </row>
    <row r="600" spans="1:18" ht="15.75" customHeight="1">
      <c r="A600" s="39"/>
      <c r="B600" s="39"/>
      <c r="C600" s="39"/>
      <c r="D600" s="39"/>
      <c r="E600" s="39"/>
      <c r="F600" s="39"/>
      <c r="G600" s="39"/>
      <c r="H600" s="39"/>
      <c r="I600" s="39"/>
      <c r="J600" s="39"/>
      <c r="K600" s="39"/>
      <c r="L600" s="39"/>
      <c r="N600" s="216"/>
      <c r="O600" s="216"/>
      <c r="P600" s="39"/>
      <c r="Q600" s="39"/>
      <c r="R600" s="39"/>
    </row>
    <row r="601" spans="1:18" ht="15.75" customHeight="1">
      <c r="A601" s="39"/>
      <c r="B601" s="39"/>
      <c r="C601" s="39"/>
      <c r="D601" s="39"/>
      <c r="E601" s="39"/>
      <c r="F601" s="39"/>
      <c r="G601" s="39"/>
      <c r="H601" s="39"/>
      <c r="I601" s="39"/>
      <c r="J601" s="39"/>
      <c r="K601" s="39"/>
      <c r="L601" s="39"/>
      <c r="N601" s="216"/>
      <c r="O601" s="216"/>
      <c r="P601" s="39"/>
      <c r="Q601" s="39"/>
      <c r="R601" s="39"/>
    </row>
    <row r="602" spans="1:18" ht="15.75" customHeight="1">
      <c r="A602" s="39"/>
      <c r="B602" s="39"/>
      <c r="C602" s="39"/>
      <c r="D602" s="39"/>
      <c r="E602" s="39"/>
      <c r="F602" s="39"/>
      <c r="G602" s="39"/>
      <c r="H602" s="39"/>
      <c r="I602" s="39"/>
      <c r="J602" s="39"/>
      <c r="K602" s="39"/>
      <c r="L602" s="39"/>
      <c r="N602" s="216"/>
      <c r="O602" s="216"/>
      <c r="P602" s="39"/>
      <c r="Q602" s="39"/>
      <c r="R602" s="39"/>
    </row>
    <row r="603" spans="1:18" ht="15.75" customHeight="1">
      <c r="A603" s="39"/>
      <c r="B603" s="39"/>
      <c r="C603" s="39"/>
      <c r="D603" s="39"/>
      <c r="E603" s="39"/>
      <c r="F603" s="39"/>
      <c r="G603" s="39"/>
      <c r="H603" s="39"/>
      <c r="I603" s="39"/>
      <c r="J603" s="39"/>
      <c r="K603" s="39"/>
      <c r="L603" s="39"/>
      <c r="N603" s="216"/>
      <c r="O603" s="216"/>
      <c r="P603" s="39"/>
      <c r="Q603" s="39"/>
      <c r="R603" s="39"/>
    </row>
    <row r="604" spans="1:18" ht="15.75" customHeight="1">
      <c r="A604" s="39"/>
      <c r="B604" s="39"/>
      <c r="C604" s="39"/>
      <c r="D604" s="39"/>
      <c r="E604" s="39"/>
      <c r="F604" s="39"/>
      <c r="G604" s="39"/>
      <c r="H604" s="39"/>
      <c r="I604" s="39"/>
      <c r="J604" s="39"/>
      <c r="K604" s="39"/>
      <c r="L604" s="39"/>
      <c r="N604" s="216"/>
      <c r="O604" s="216"/>
      <c r="P604" s="39"/>
      <c r="Q604" s="39"/>
      <c r="R604" s="39"/>
    </row>
    <row r="605" spans="1:18" ht="15.75" customHeight="1">
      <c r="A605" s="39"/>
      <c r="B605" s="39"/>
      <c r="C605" s="39"/>
      <c r="D605" s="39"/>
      <c r="E605" s="39"/>
      <c r="F605" s="39"/>
      <c r="G605" s="39"/>
      <c r="H605" s="39"/>
      <c r="I605" s="39"/>
      <c r="J605" s="39"/>
      <c r="K605" s="39"/>
      <c r="L605" s="39"/>
      <c r="N605" s="216"/>
      <c r="O605" s="216"/>
      <c r="P605" s="39"/>
      <c r="Q605" s="39"/>
      <c r="R605" s="39"/>
    </row>
    <row r="606" spans="1:18" ht="15.75" customHeight="1">
      <c r="A606" s="39"/>
      <c r="B606" s="39"/>
      <c r="C606" s="39"/>
      <c r="D606" s="39"/>
      <c r="E606" s="39"/>
      <c r="F606" s="39"/>
      <c r="G606" s="39"/>
      <c r="H606" s="39"/>
      <c r="I606" s="39"/>
      <c r="J606" s="39"/>
      <c r="K606" s="39"/>
      <c r="L606" s="39"/>
      <c r="N606" s="216"/>
      <c r="O606" s="216"/>
      <c r="P606" s="39"/>
      <c r="Q606" s="39"/>
      <c r="R606" s="39"/>
    </row>
    <row r="607" spans="1:18" ht="15.75" customHeight="1">
      <c r="A607" s="39"/>
      <c r="B607" s="39"/>
      <c r="C607" s="39"/>
      <c r="D607" s="39"/>
      <c r="E607" s="39"/>
      <c r="F607" s="39"/>
      <c r="G607" s="39"/>
      <c r="H607" s="39"/>
      <c r="I607" s="39"/>
      <c r="J607" s="39"/>
      <c r="K607" s="39"/>
      <c r="L607" s="39"/>
      <c r="N607" s="216"/>
      <c r="O607" s="216"/>
      <c r="P607" s="39"/>
      <c r="Q607" s="39"/>
      <c r="R607" s="39"/>
    </row>
    <row r="608" spans="1:18" ht="15.75" customHeight="1">
      <c r="A608" s="39"/>
      <c r="B608" s="39"/>
      <c r="C608" s="39"/>
      <c r="D608" s="39"/>
      <c r="E608" s="39"/>
      <c r="F608" s="39"/>
      <c r="G608" s="39"/>
      <c r="H608" s="39"/>
      <c r="I608" s="39"/>
      <c r="J608" s="39"/>
      <c r="K608" s="39"/>
      <c r="L608" s="39"/>
      <c r="N608" s="216"/>
      <c r="O608" s="216"/>
      <c r="P608" s="39"/>
      <c r="Q608" s="39"/>
      <c r="R608" s="39"/>
    </row>
    <row r="609" spans="1:18" ht="15.75" customHeight="1">
      <c r="A609" s="39"/>
      <c r="B609" s="39"/>
      <c r="C609" s="39"/>
      <c r="D609" s="39"/>
      <c r="E609" s="39"/>
      <c r="F609" s="39"/>
      <c r="G609" s="39"/>
      <c r="H609" s="39"/>
      <c r="I609" s="39"/>
      <c r="J609" s="39"/>
      <c r="K609" s="39"/>
      <c r="L609" s="39"/>
      <c r="N609" s="216"/>
      <c r="O609" s="216"/>
      <c r="P609" s="39"/>
      <c r="Q609" s="39"/>
      <c r="R609" s="39"/>
    </row>
    <row r="610" spans="1:18" ht="15.75" customHeight="1">
      <c r="A610" s="39"/>
      <c r="B610" s="39"/>
      <c r="C610" s="39"/>
      <c r="D610" s="39"/>
      <c r="E610" s="39"/>
      <c r="F610" s="39"/>
      <c r="G610" s="39"/>
      <c r="H610" s="39"/>
      <c r="I610" s="39"/>
      <c r="J610" s="39"/>
      <c r="K610" s="39"/>
      <c r="L610" s="39"/>
      <c r="N610" s="216"/>
      <c r="O610" s="216"/>
      <c r="P610" s="39"/>
      <c r="Q610" s="39"/>
      <c r="R610" s="39"/>
    </row>
    <row r="611" spans="1:18" ht="15.75" customHeight="1">
      <c r="A611" s="39"/>
      <c r="B611" s="39"/>
      <c r="C611" s="39"/>
      <c r="D611" s="39"/>
      <c r="E611" s="39"/>
      <c r="F611" s="39"/>
      <c r="G611" s="39"/>
      <c r="H611" s="39"/>
      <c r="I611" s="39"/>
      <c r="J611" s="39"/>
      <c r="K611" s="39"/>
      <c r="L611" s="39"/>
      <c r="N611" s="216"/>
      <c r="O611" s="216"/>
      <c r="P611" s="39"/>
      <c r="Q611" s="39"/>
      <c r="R611" s="39"/>
    </row>
    <row r="612" spans="1:18" ht="15.75" customHeight="1">
      <c r="A612" s="39"/>
      <c r="B612" s="39"/>
      <c r="C612" s="39"/>
      <c r="D612" s="39"/>
      <c r="E612" s="39"/>
      <c r="F612" s="39"/>
      <c r="G612" s="39"/>
      <c r="H612" s="39"/>
      <c r="I612" s="39"/>
      <c r="J612" s="39"/>
      <c r="K612" s="39"/>
      <c r="L612" s="39"/>
      <c r="N612" s="216"/>
      <c r="O612" s="216"/>
      <c r="P612" s="39"/>
      <c r="Q612" s="39"/>
      <c r="R612" s="39"/>
    </row>
    <row r="613" spans="1:18" ht="15.75" customHeight="1">
      <c r="A613" s="39"/>
      <c r="B613" s="39"/>
      <c r="C613" s="39"/>
      <c r="D613" s="39"/>
      <c r="E613" s="39"/>
      <c r="F613" s="39"/>
      <c r="G613" s="39"/>
      <c r="H613" s="39"/>
      <c r="I613" s="39"/>
      <c r="J613" s="39"/>
      <c r="K613" s="39"/>
      <c r="L613" s="39"/>
      <c r="N613" s="216"/>
      <c r="O613" s="216"/>
      <c r="P613" s="39"/>
      <c r="Q613" s="39"/>
      <c r="R613" s="39"/>
    </row>
    <row r="614" spans="1:18" ht="15.75" customHeight="1">
      <c r="A614" s="39"/>
      <c r="B614" s="39"/>
      <c r="C614" s="39"/>
      <c r="D614" s="39"/>
      <c r="E614" s="39"/>
      <c r="F614" s="39"/>
      <c r="G614" s="39"/>
      <c r="H614" s="39"/>
      <c r="I614" s="39"/>
      <c r="J614" s="39"/>
      <c r="K614" s="39"/>
      <c r="L614" s="39"/>
      <c r="N614" s="216"/>
      <c r="O614" s="216"/>
      <c r="P614" s="39"/>
      <c r="Q614" s="39"/>
      <c r="R614" s="39"/>
    </row>
    <row r="615" spans="1:18" ht="15.75" customHeight="1">
      <c r="A615" s="39"/>
      <c r="B615" s="39"/>
      <c r="C615" s="39"/>
      <c r="D615" s="39"/>
      <c r="E615" s="39"/>
      <c r="F615" s="39"/>
      <c r="G615" s="39"/>
      <c r="H615" s="39"/>
      <c r="I615" s="39"/>
      <c r="J615" s="39"/>
      <c r="K615" s="39"/>
      <c r="L615" s="39"/>
      <c r="N615" s="216"/>
      <c r="O615" s="216"/>
      <c r="P615" s="39"/>
      <c r="Q615" s="39"/>
      <c r="R615" s="39"/>
    </row>
    <row r="616" spans="1:18" ht="15.75" customHeight="1">
      <c r="A616" s="39"/>
      <c r="B616" s="39"/>
      <c r="C616" s="39"/>
      <c r="D616" s="39"/>
      <c r="E616" s="39"/>
      <c r="F616" s="39"/>
      <c r="G616" s="39"/>
      <c r="H616" s="39"/>
      <c r="I616" s="39"/>
      <c r="J616" s="39"/>
      <c r="K616" s="39"/>
      <c r="L616" s="39"/>
      <c r="N616" s="216"/>
      <c r="O616" s="216"/>
      <c r="P616" s="39"/>
      <c r="Q616" s="39"/>
      <c r="R616" s="39"/>
    </row>
    <row r="617" spans="1:18" ht="15.75" customHeight="1">
      <c r="A617" s="39"/>
      <c r="B617" s="39"/>
      <c r="C617" s="39"/>
      <c r="D617" s="39"/>
      <c r="E617" s="39"/>
      <c r="F617" s="39"/>
      <c r="G617" s="39"/>
      <c r="H617" s="39"/>
      <c r="I617" s="39"/>
      <c r="J617" s="39"/>
      <c r="K617" s="39"/>
      <c r="L617" s="39"/>
      <c r="N617" s="216"/>
      <c r="O617" s="216"/>
      <c r="P617" s="39"/>
      <c r="Q617" s="39"/>
      <c r="R617" s="39"/>
    </row>
    <row r="618" spans="1:18" ht="15.75" customHeight="1">
      <c r="A618" s="39"/>
      <c r="B618" s="39"/>
      <c r="C618" s="39"/>
      <c r="D618" s="39"/>
      <c r="E618" s="39"/>
      <c r="F618" s="39"/>
      <c r="G618" s="39"/>
      <c r="H618" s="39"/>
      <c r="I618" s="39"/>
      <c r="J618" s="39"/>
      <c r="K618" s="39"/>
      <c r="L618" s="39"/>
      <c r="N618" s="216"/>
      <c r="O618" s="216"/>
      <c r="P618" s="39"/>
      <c r="Q618" s="39"/>
      <c r="R618" s="39"/>
    </row>
    <row r="619" spans="1:18" ht="15.75" customHeight="1">
      <c r="A619" s="39"/>
      <c r="B619" s="39"/>
      <c r="C619" s="39"/>
      <c r="D619" s="39"/>
      <c r="E619" s="39"/>
      <c r="F619" s="39"/>
      <c r="G619" s="39"/>
      <c r="H619" s="39"/>
      <c r="I619" s="39"/>
      <c r="J619" s="39"/>
      <c r="K619" s="39"/>
      <c r="L619" s="39"/>
      <c r="N619" s="216"/>
      <c r="O619" s="216"/>
      <c r="P619" s="39"/>
      <c r="Q619" s="39"/>
      <c r="R619" s="39"/>
    </row>
    <row r="620" spans="1:18" ht="15.75" customHeight="1">
      <c r="A620" s="39"/>
      <c r="B620" s="39"/>
      <c r="C620" s="39"/>
      <c r="D620" s="39"/>
      <c r="E620" s="39"/>
      <c r="F620" s="39"/>
      <c r="G620" s="39"/>
      <c r="H620" s="39"/>
      <c r="I620" s="39"/>
      <c r="J620" s="39"/>
      <c r="K620" s="39"/>
      <c r="L620" s="39"/>
      <c r="N620" s="216"/>
      <c r="O620" s="216"/>
      <c r="P620" s="39"/>
      <c r="Q620" s="39"/>
      <c r="R620" s="39"/>
    </row>
    <row r="621" spans="1:18" ht="15.75" customHeight="1">
      <c r="A621" s="39"/>
      <c r="B621" s="39"/>
      <c r="C621" s="39"/>
      <c r="D621" s="39"/>
      <c r="E621" s="39"/>
      <c r="F621" s="39"/>
      <c r="G621" s="39"/>
      <c r="H621" s="39"/>
      <c r="I621" s="39"/>
      <c r="J621" s="39"/>
      <c r="K621" s="39"/>
      <c r="L621" s="39"/>
      <c r="N621" s="216"/>
      <c r="O621" s="216"/>
      <c r="P621" s="39"/>
      <c r="Q621" s="39"/>
      <c r="R621" s="39"/>
    </row>
    <row r="622" spans="1:18" ht="15.75" customHeight="1">
      <c r="A622" s="39"/>
      <c r="B622" s="39"/>
      <c r="C622" s="39"/>
      <c r="D622" s="39"/>
      <c r="E622" s="39"/>
      <c r="F622" s="39"/>
      <c r="G622" s="39"/>
      <c r="H622" s="39"/>
      <c r="I622" s="39"/>
      <c r="J622" s="39"/>
      <c r="K622" s="39"/>
      <c r="L622" s="39"/>
      <c r="N622" s="216"/>
      <c r="O622" s="216"/>
      <c r="P622" s="39"/>
      <c r="Q622" s="39"/>
      <c r="R622" s="39"/>
    </row>
    <row r="623" spans="1:18" ht="15.75" customHeight="1">
      <c r="A623" s="39"/>
      <c r="B623" s="39"/>
      <c r="C623" s="39"/>
      <c r="D623" s="39"/>
      <c r="E623" s="39"/>
      <c r="F623" s="39"/>
      <c r="G623" s="39"/>
      <c r="H623" s="39"/>
      <c r="I623" s="39"/>
      <c r="J623" s="39"/>
      <c r="K623" s="39"/>
      <c r="L623" s="39"/>
      <c r="N623" s="216"/>
      <c r="O623" s="216"/>
      <c r="P623" s="39"/>
      <c r="Q623" s="39"/>
      <c r="R623" s="39"/>
    </row>
    <row r="624" spans="1:18" ht="15.75" customHeight="1">
      <c r="A624" s="39"/>
      <c r="B624" s="39"/>
      <c r="C624" s="39"/>
      <c r="D624" s="39"/>
      <c r="E624" s="39"/>
      <c r="F624" s="39"/>
      <c r="G624" s="39"/>
      <c r="H624" s="39"/>
      <c r="I624" s="39"/>
      <c r="J624" s="39"/>
      <c r="K624" s="39"/>
      <c r="L624" s="39"/>
      <c r="N624" s="216"/>
      <c r="O624" s="216"/>
      <c r="P624" s="39"/>
      <c r="Q624" s="39"/>
      <c r="R624" s="39"/>
    </row>
    <row r="625" spans="1:18" ht="15.75" customHeight="1">
      <c r="A625" s="39"/>
      <c r="B625" s="39"/>
      <c r="C625" s="39"/>
      <c r="D625" s="39"/>
      <c r="E625" s="39"/>
      <c r="F625" s="39"/>
      <c r="G625" s="39"/>
      <c r="H625" s="39"/>
      <c r="I625" s="39"/>
      <c r="J625" s="39"/>
      <c r="K625" s="39"/>
      <c r="L625" s="39"/>
      <c r="N625" s="216"/>
      <c r="O625" s="216"/>
      <c r="P625" s="39"/>
      <c r="Q625" s="39"/>
      <c r="R625" s="39"/>
    </row>
    <row r="626" spans="1:18" ht="15.75" customHeight="1">
      <c r="A626" s="39"/>
      <c r="B626" s="39"/>
      <c r="C626" s="39"/>
      <c r="D626" s="39"/>
      <c r="E626" s="39"/>
      <c r="F626" s="39"/>
      <c r="G626" s="39"/>
      <c r="H626" s="39"/>
      <c r="I626" s="39"/>
      <c r="J626" s="39"/>
      <c r="K626" s="39"/>
      <c r="L626" s="39"/>
      <c r="N626" s="216"/>
      <c r="O626" s="216"/>
      <c r="P626" s="39"/>
      <c r="Q626" s="39"/>
      <c r="R626" s="39"/>
    </row>
    <row r="627" spans="1:18" ht="15.75" customHeight="1">
      <c r="A627" s="39"/>
      <c r="B627" s="39"/>
      <c r="C627" s="39"/>
      <c r="D627" s="39"/>
      <c r="E627" s="39"/>
      <c r="F627" s="39"/>
      <c r="G627" s="39"/>
      <c r="H627" s="39"/>
      <c r="I627" s="39"/>
      <c r="J627" s="39"/>
      <c r="K627" s="39"/>
      <c r="L627" s="39"/>
      <c r="N627" s="216"/>
      <c r="O627" s="216"/>
      <c r="P627" s="39"/>
      <c r="Q627" s="39"/>
      <c r="R627" s="39"/>
    </row>
    <row r="628" spans="1:18" ht="15.75" customHeight="1">
      <c r="A628" s="39"/>
      <c r="B628" s="39"/>
      <c r="C628" s="39"/>
      <c r="D628" s="39"/>
      <c r="E628" s="39"/>
      <c r="F628" s="39"/>
      <c r="G628" s="39"/>
      <c r="H628" s="39"/>
      <c r="I628" s="39"/>
      <c r="J628" s="39"/>
      <c r="K628" s="39"/>
      <c r="L628" s="39"/>
      <c r="N628" s="216"/>
      <c r="O628" s="216"/>
      <c r="P628" s="39"/>
      <c r="Q628" s="39"/>
      <c r="R628" s="39"/>
    </row>
    <row r="629" spans="1:18" ht="15.75" customHeight="1">
      <c r="A629" s="39"/>
      <c r="B629" s="39"/>
      <c r="C629" s="39"/>
      <c r="D629" s="39"/>
      <c r="E629" s="39"/>
      <c r="F629" s="39"/>
      <c r="G629" s="39"/>
      <c r="H629" s="39"/>
      <c r="I629" s="39"/>
      <c r="J629" s="39"/>
      <c r="K629" s="39"/>
      <c r="L629" s="39"/>
      <c r="N629" s="216"/>
      <c r="O629" s="216"/>
      <c r="P629" s="39"/>
      <c r="Q629" s="39"/>
      <c r="R629" s="39"/>
    </row>
    <row r="630" spans="1:18" ht="15.75" customHeight="1">
      <c r="A630" s="39"/>
      <c r="B630" s="39"/>
      <c r="C630" s="39"/>
      <c r="D630" s="39"/>
      <c r="E630" s="39"/>
      <c r="F630" s="39"/>
      <c r="G630" s="39"/>
      <c r="H630" s="39"/>
      <c r="I630" s="39"/>
      <c r="J630" s="39"/>
      <c r="K630" s="39"/>
      <c r="L630" s="39"/>
      <c r="N630" s="216"/>
      <c r="O630" s="216"/>
      <c r="P630" s="39"/>
      <c r="Q630" s="39"/>
      <c r="R630" s="39"/>
    </row>
    <row r="631" spans="1:18" ht="15.75" customHeight="1">
      <c r="A631" s="39"/>
      <c r="B631" s="39"/>
      <c r="C631" s="39"/>
      <c r="D631" s="39"/>
      <c r="E631" s="39"/>
      <c r="F631" s="39"/>
      <c r="G631" s="39"/>
      <c r="H631" s="39"/>
      <c r="I631" s="39"/>
      <c r="J631" s="39"/>
      <c r="K631" s="39"/>
      <c r="L631" s="39"/>
      <c r="N631" s="216"/>
      <c r="O631" s="216"/>
      <c r="P631" s="39"/>
      <c r="Q631" s="39"/>
      <c r="R631" s="39"/>
    </row>
    <row r="632" spans="1:18" ht="15.75" customHeight="1">
      <c r="A632" s="39"/>
      <c r="B632" s="39"/>
      <c r="C632" s="39"/>
      <c r="D632" s="39"/>
      <c r="E632" s="39"/>
      <c r="F632" s="39"/>
      <c r="G632" s="39"/>
      <c r="H632" s="39"/>
      <c r="I632" s="39"/>
      <c r="J632" s="39"/>
      <c r="K632" s="39"/>
      <c r="L632" s="39"/>
      <c r="N632" s="216"/>
      <c r="O632" s="216"/>
      <c r="P632" s="39"/>
      <c r="Q632" s="39"/>
      <c r="R632" s="39"/>
    </row>
    <row r="633" spans="1:18" ht="15.75" customHeight="1">
      <c r="A633" s="39"/>
      <c r="B633" s="39"/>
      <c r="C633" s="39"/>
      <c r="D633" s="39"/>
      <c r="E633" s="39"/>
      <c r="F633" s="39"/>
      <c r="G633" s="39"/>
      <c r="H633" s="39"/>
      <c r="I633" s="39"/>
      <c r="J633" s="39"/>
      <c r="K633" s="39"/>
      <c r="L633" s="39"/>
      <c r="N633" s="216"/>
      <c r="O633" s="216"/>
      <c r="P633" s="39"/>
      <c r="Q633" s="39"/>
      <c r="R633" s="39"/>
    </row>
    <row r="634" spans="1:18" ht="15.75" customHeight="1">
      <c r="A634" s="39"/>
      <c r="B634" s="39"/>
      <c r="C634" s="39"/>
      <c r="D634" s="39"/>
      <c r="E634" s="39"/>
      <c r="F634" s="39"/>
      <c r="G634" s="39"/>
      <c r="H634" s="39"/>
      <c r="I634" s="39"/>
      <c r="J634" s="39"/>
      <c r="K634" s="39"/>
      <c r="L634" s="39"/>
      <c r="N634" s="216"/>
      <c r="O634" s="216"/>
      <c r="P634" s="39"/>
      <c r="Q634" s="39"/>
      <c r="R634" s="39"/>
    </row>
    <row r="635" spans="1:18" ht="15.75" customHeight="1">
      <c r="A635" s="39"/>
      <c r="B635" s="39"/>
      <c r="C635" s="39"/>
      <c r="D635" s="39"/>
      <c r="E635" s="39"/>
      <c r="F635" s="39"/>
      <c r="G635" s="39"/>
      <c r="H635" s="39"/>
      <c r="I635" s="39"/>
      <c r="J635" s="39"/>
      <c r="K635" s="39"/>
      <c r="L635" s="39"/>
      <c r="N635" s="216"/>
      <c r="O635" s="216"/>
      <c r="P635" s="39"/>
      <c r="Q635" s="39"/>
      <c r="R635" s="39"/>
    </row>
    <row r="636" spans="1:18" ht="15.75" customHeight="1">
      <c r="A636" s="39"/>
      <c r="B636" s="39"/>
      <c r="C636" s="39"/>
      <c r="D636" s="39"/>
      <c r="E636" s="39"/>
      <c r="F636" s="39"/>
      <c r="G636" s="39"/>
      <c r="H636" s="39"/>
      <c r="I636" s="39"/>
      <c r="J636" s="39"/>
      <c r="K636" s="39"/>
      <c r="L636" s="39"/>
      <c r="N636" s="216"/>
      <c r="O636" s="216"/>
      <c r="P636" s="39"/>
      <c r="Q636" s="39"/>
      <c r="R636" s="39"/>
    </row>
    <row r="637" spans="1:18" ht="15.75" customHeight="1">
      <c r="A637" s="39"/>
      <c r="B637" s="39"/>
      <c r="C637" s="39"/>
      <c r="D637" s="39"/>
      <c r="E637" s="39"/>
      <c r="F637" s="39"/>
      <c r="G637" s="39"/>
      <c r="H637" s="39"/>
      <c r="I637" s="39"/>
      <c r="J637" s="39"/>
      <c r="K637" s="39"/>
      <c r="L637" s="39"/>
      <c r="N637" s="216"/>
      <c r="O637" s="216"/>
      <c r="P637" s="39"/>
      <c r="Q637" s="39"/>
      <c r="R637" s="39"/>
    </row>
    <row r="638" spans="1:18" ht="15.75" customHeight="1">
      <c r="A638" s="39"/>
      <c r="B638" s="39"/>
      <c r="C638" s="39"/>
      <c r="D638" s="39"/>
      <c r="E638" s="39"/>
      <c r="F638" s="39"/>
      <c r="G638" s="39"/>
      <c r="H638" s="39"/>
      <c r="I638" s="39"/>
      <c r="J638" s="39"/>
      <c r="K638" s="39"/>
      <c r="L638" s="39"/>
      <c r="N638" s="216"/>
      <c r="O638" s="216"/>
      <c r="P638" s="39"/>
      <c r="Q638" s="39"/>
      <c r="R638" s="39"/>
    </row>
    <row r="639" spans="1:18" ht="15.75" customHeight="1">
      <c r="A639" s="39"/>
      <c r="B639" s="39"/>
      <c r="C639" s="39"/>
      <c r="D639" s="39"/>
      <c r="E639" s="39"/>
      <c r="F639" s="39"/>
      <c r="G639" s="39"/>
      <c r="H639" s="39"/>
      <c r="I639" s="39"/>
      <c r="J639" s="39"/>
      <c r="K639" s="39"/>
      <c r="L639" s="39"/>
      <c r="N639" s="216"/>
      <c r="O639" s="216"/>
      <c r="P639" s="39"/>
      <c r="Q639" s="39"/>
      <c r="R639" s="39"/>
    </row>
    <row r="640" spans="1:18" ht="15.75" customHeight="1">
      <c r="A640" s="39"/>
      <c r="B640" s="39"/>
      <c r="C640" s="39"/>
      <c r="D640" s="39"/>
      <c r="E640" s="39"/>
      <c r="F640" s="39"/>
      <c r="G640" s="39"/>
      <c r="H640" s="39"/>
      <c r="I640" s="39"/>
      <c r="J640" s="39"/>
      <c r="K640" s="39"/>
      <c r="L640" s="39"/>
      <c r="N640" s="216"/>
      <c r="O640" s="216"/>
      <c r="P640" s="39"/>
      <c r="Q640" s="39"/>
      <c r="R640" s="39"/>
    </row>
    <row r="641" spans="1:18" ht="15.75" customHeight="1">
      <c r="A641" s="39"/>
      <c r="B641" s="39"/>
      <c r="C641" s="39"/>
      <c r="D641" s="39"/>
      <c r="E641" s="39"/>
      <c r="F641" s="39"/>
      <c r="G641" s="39"/>
      <c r="H641" s="39"/>
      <c r="I641" s="39"/>
      <c r="J641" s="39"/>
      <c r="K641" s="39"/>
      <c r="L641" s="39"/>
      <c r="N641" s="216"/>
      <c r="O641" s="216"/>
      <c r="P641" s="39"/>
      <c r="Q641" s="39"/>
      <c r="R641" s="39"/>
    </row>
    <row r="642" spans="1:18" ht="15.75" customHeight="1">
      <c r="A642" s="39"/>
      <c r="B642" s="39"/>
      <c r="C642" s="39"/>
      <c r="D642" s="39"/>
      <c r="E642" s="39"/>
      <c r="F642" s="39"/>
      <c r="G642" s="39"/>
      <c r="H642" s="39"/>
      <c r="I642" s="39"/>
      <c r="J642" s="39"/>
      <c r="K642" s="39"/>
      <c r="L642" s="39"/>
      <c r="N642" s="216"/>
      <c r="O642" s="216"/>
      <c r="P642" s="39"/>
      <c r="Q642" s="39"/>
      <c r="R642" s="39"/>
    </row>
    <row r="643" spans="1:18" ht="15.75" customHeight="1">
      <c r="A643" s="39"/>
      <c r="B643" s="39"/>
      <c r="C643" s="39"/>
      <c r="D643" s="39"/>
      <c r="E643" s="39"/>
      <c r="F643" s="39"/>
      <c r="G643" s="39"/>
      <c r="H643" s="39"/>
      <c r="I643" s="39"/>
      <c r="J643" s="39"/>
      <c r="K643" s="39"/>
      <c r="L643" s="39"/>
      <c r="N643" s="216"/>
      <c r="O643" s="216"/>
      <c r="P643" s="39"/>
      <c r="Q643" s="39"/>
      <c r="R643" s="39"/>
    </row>
    <row r="644" spans="1:18" ht="15.75" customHeight="1">
      <c r="A644" s="39"/>
      <c r="B644" s="39"/>
      <c r="C644" s="39"/>
      <c r="D644" s="39"/>
      <c r="E644" s="39"/>
      <c r="F644" s="39"/>
      <c r="G644" s="39"/>
      <c r="H644" s="39"/>
      <c r="I644" s="39"/>
      <c r="J644" s="39"/>
      <c r="K644" s="39"/>
      <c r="L644" s="39"/>
      <c r="N644" s="216"/>
      <c r="O644" s="216"/>
      <c r="P644" s="39"/>
      <c r="Q644" s="39"/>
      <c r="R644" s="39"/>
    </row>
    <row r="645" spans="1:18" ht="15.75" customHeight="1">
      <c r="A645" s="39"/>
      <c r="B645" s="39"/>
      <c r="C645" s="39"/>
      <c r="D645" s="39"/>
      <c r="E645" s="39"/>
      <c r="F645" s="39"/>
      <c r="G645" s="39"/>
      <c r="H645" s="39"/>
      <c r="I645" s="39"/>
      <c r="J645" s="39"/>
      <c r="K645" s="39"/>
      <c r="L645" s="39"/>
      <c r="N645" s="216"/>
      <c r="O645" s="216"/>
      <c r="P645" s="39"/>
      <c r="Q645" s="39"/>
      <c r="R645" s="39"/>
    </row>
    <row r="646" spans="1:18" ht="15.75" customHeight="1">
      <c r="A646" s="39"/>
      <c r="B646" s="39"/>
      <c r="C646" s="39"/>
      <c r="D646" s="39"/>
      <c r="E646" s="39"/>
      <c r="F646" s="39"/>
      <c r="G646" s="39"/>
      <c r="H646" s="39"/>
      <c r="I646" s="39"/>
      <c r="J646" s="39"/>
      <c r="K646" s="39"/>
      <c r="L646" s="39"/>
      <c r="N646" s="216"/>
      <c r="O646" s="216"/>
      <c r="P646" s="39"/>
      <c r="Q646" s="39"/>
      <c r="R646" s="39"/>
    </row>
    <row r="647" spans="1:18" ht="15.75" customHeight="1">
      <c r="A647" s="39"/>
      <c r="B647" s="39"/>
      <c r="C647" s="39"/>
      <c r="D647" s="39"/>
      <c r="E647" s="39"/>
      <c r="F647" s="39"/>
      <c r="G647" s="39"/>
      <c r="H647" s="39"/>
      <c r="I647" s="39"/>
      <c r="J647" s="39"/>
      <c r="K647" s="39"/>
      <c r="L647" s="39"/>
      <c r="N647" s="216"/>
      <c r="O647" s="216"/>
      <c r="P647" s="39"/>
      <c r="Q647" s="39"/>
      <c r="R647" s="39"/>
    </row>
    <row r="648" spans="1:18" ht="15.75" customHeight="1">
      <c r="A648" s="39"/>
      <c r="B648" s="39"/>
      <c r="C648" s="39"/>
      <c r="D648" s="39"/>
      <c r="E648" s="39"/>
      <c r="F648" s="39"/>
      <c r="G648" s="39"/>
      <c r="H648" s="39"/>
      <c r="I648" s="39"/>
      <c r="J648" s="39"/>
      <c r="K648" s="39"/>
      <c r="L648" s="39"/>
      <c r="N648" s="216"/>
      <c r="O648" s="216"/>
      <c r="P648" s="39"/>
      <c r="Q648" s="39"/>
      <c r="R648" s="39"/>
    </row>
    <row r="649" spans="1:18" ht="15.75" customHeight="1">
      <c r="A649" s="39"/>
      <c r="B649" s="39"/>
      <c r="C649" s="39"/>
      <c r="D649" s="39"/>
      <c r="E649" s="39"/>
      <c r="F649" s="39"/>
      <c r="G649" s="39"/>
      <c r="H649" s="39"/>
      <c r="I649" s="39"/>
      <c r="J649" s="39"/>
      <c r="K649" s="39"/>
      <c r="L649" s="39"/>
      <c r="N649" s="216"/>
      <c r="O649" s="216"/>
      <c r="P649" s="39"/>
      <c r="Q649" s="39"/>
      <c r="R649" s="39"/>
    </row>
    <row r="650" spans="1:18" ht="15.75" customHeight="1">
      <c r="A650" s="39"/>
      <c r="B650" s="39"/>
      <c r="C650" s="39"/>
      <c r="D650" s="39"/>
      <c r="E650" s="39"/>
      <c r="F650" s="39"/>
      <c r="G650" s="39"/>
      <c r="H650" s="39"/>
      <c r="I650" s="39"/>
      <c r="J650" s="39"/>
      <c r="K650" s="39"/>
      <c r="L650" s="39"/>
      <c r="N650" s="216"/>
      <c r="O650" s="216"/>
      <c r="P650" s="39"/>
      <c r="Q650" s="39"/>
      <c r="R650" s="39"/>
    </row>
    <row r="651" spans="1:18" ht="15.75" customHeight="1">
      <c r="A651" s="39"/>
      <c r="B651" s="39"/>
      <c r="C651" s="39"/>
      <c r="D651" s="39"/>
      <c r="E651" s="39"/>
      <c r="F651" s="39"/>
      <c r="G651" s="39"/>
      <c r="H651" s="39"/>
      <c r="I651" s="39"/>
      <c r="J651" s="39"/>
      <c r="K651" s="39"/>
      <c r="L651" s="39"/>
      <c r="N651" s="216"/>
      <c r="O651" s="216"/>
      <c r="P651" s="39"/>
      <c r="Q651" s="39"/>
      <c r="R651" s="39"/>
    </row>
    <row r="652" spans="1:18" ht="15.75" customHeight="1">
      <c r="A652" s="39"/>
      <c r="B652" s="39"/>
      <c r="C652" s="39"/>
      <c r="D652" s="39"/>
      <c r="E652" s="39"/>
      <c r="F652" s="39"/>
      <c r="G652" s="39"/>
      <c r="H652" s="39"/>
      <c r="I652" s="39"/>
      <c r="J652" s="39"/>
      <c r="K652" s="39"/>
      <c r="L652" s="39"/>
      <c r="N652" s="216"/>
      <c r="O652" s="216"/>
      <c r="P652" s="39"/>
      <c r="Q652" s="39"/>
      <c r="R652" s="39"/>
    </row>
    <row r="653" spans="1:18" ht="15.75" customHeight="1">
      <c r="A653" s="39"/>
      <c r="B653" s="39"/>
      <c r="C653" s="39"/>
      <c r="D653" s="39"/>
      <c r="E653" s="39"/>
      <c r="F653" s="39"/>
      <c r="G653" s="39"/>
      <c r="H653" s="39"/>
      <c r="I653" s="39"/>
      <c r="J653" s="39"/>
      <c r="K653" s="39"/>
      <c r="L653" s="39"/>
      <c r="N653" s="216"/>
      <c r="O653" s="216"/>
      <c r="P653" s="39"/>
      <c r="Q653" s="39"/>
      <c r="R653" s="39"/>
    </row>
    <row r="654" spans="1:18" ht="15.75" customHeight="1">
      <c r="A654" s="39"/>
      <c r="B654" s="39"/>
      <c r="C654" s="39"/>
      <c r="D654" s="39"/>
      <c r="E654" s="39"/>
      <c r="F654" s="39"/>
      <c r="G654" s="39"/>
      <c r="H654" s="39"/>
      <c r="I654" s="39"/>
      <c r="J654" s="39"/>
      <c r="K654" s="39"/>
      <c r="L654" s="39"/>
      <c r="N654" s="216"/>
      <c r="O654" s="216"/>
      <c r="P654" s="39"/>
      <c r="Q654" s="39"/>
      <c r="R654" s="39"/>
    </row>
    <row r="655" spans="1:18" ht="15.75" customHeight="1">
      <c r="A655" s="39"/>
      <c r="B655" s="39"/>
      <c r="C655" s="39"/>
      <c r="D655" s="39"/>
      <c r="E655" s="39"/>
      <c r="F655" s="39"/>
      <c r="G655" s="39"/>
      <c r="H655" s="39"/>
      <c r="I655" s="39"/>
      <c r="J655" s="39"/>
      <c r="K655" s="39"/>
      <c r="L655" s="39"/>
      <c r="N655" s="216"/>
      <c r="O655" s="216"/>
      <c r="P655" s="39"/>
      <c r="Q655" s="39"/>
      <c r="R655" s="39"/>
    </row>
    <row r="656" spans="1:18" ht="15.75" customHeight="1">
      <c r="A656" s="39"/>
      <c r="B656" s="39"/>
      <c r="C656" s="39"/>
      <c r="D656" s="39"/>
      <c r="E656" s="39"/>
      <c r="F656" s="39"/>
      <c r="G656" s="39"/>
      <c r="H656" s="39"/>
      <c r="I656" s="39"/>
      <c r="J656" s="39"/>
      <c r="K656" s="39"/>
      <c r="L656" s="39"/>
      <c r="N656" s="216"/>
      <c r="O656" s="216"/>
      <c r="P656" s="39"/>
      <c r="Q656" s="39"/>
      <c r="R656" s="39"/>
    </row>
    <row r="657" spans="1:18" ht="15.75" customHeight="1">
      <c r="A657" s="39"/>
      <c r="B657" s="39"/>
      <c r="C657" s="39"/>
      <c r="D657" s="39"/>
      <c r="E657" s="39"/>
      <c r="F657" s="39"/>
      <c r="G657" s="39"/>
      <c r="H657" s="39"/>
      <c r="I657" s="39"/>
      <c r="J657" s="39"/>
      <c r="K657" s="39"/>
      <c r="L657" s="39"/>
      <c r="N657" s="216"/>
      <c r="O657" s="216"/>
      <c r="P657" s="39"/>
      <c r="Q657" s="39"/>
      <c r="R657" s="39"/>
    </row>
    <row r="658" spans="1:18" ht="15.75" customHeight="1">
      <c r="A658" s="39"/>
      <c r="B658" s="39"/>
      <c r="C658" s="39"/>
      <c r="D658" s="39"/>
      <c r="E658" s="39"/>
      <c r="F658" s="39"/>
      <c r="G658" s="39"/>
      <c r="H658" s="39"/>
      <c r="I658" s="39"/>
      <c r="J658" s="39"/>
      <c r="K658" s="39"/>
      <c r="L658" s="39"/>
      <c r="N658" s="216"/>
      <c r="O658" s="216"/>
      <c r="P658" s="39"/>
      <c r="Q658" s="39"/>
      <c r="R658" s="39"/>
    </row>
    <row r="659" spans="1:18" ht="15.75" customHeight="1">
      <c r="A659" s="39"/>
      <c r="B659" s="39"/>
      <c r="C659" s="39"/>
      <c r="D659" s="39"/>
      <c r="E659" s="39"/>
      <c r="F659" s="39"/>
      <c r="G659" s="39"/>
      <c r="H659" s="39"/>
      <c r="I659" s="39"/>
      <c r="J659" s="39"/>
      <c r="K659" s="39"/>
      <c r="L659" s="39"/>
      <c r="N659" s="216"/>
      <c r="O659" s="216"/>
      <c r="P659" s="39"/>
      <c r="Q659" s="39"/>
      <c r="R659" s="39"/>
    </row>
    <row r="660" spans="1:18" ht="15.75" customHeight="1">
      <c r="A660" s="39"/>
      <c r="B660" s="39"/>
      <c r="C660" s="39"/>
      <c r="D660" s="39"/>
      <c r="E660" s="39"/>
      <c r="F660" s="39"/>
      <c r="G660" s="39"/>
      <c r="H660" s="39"/>
      <c r="I660" s="39"/>
      <c r="J660" s="39"/>
      <c r="K660" s="39"/>
      <c r="L660" s="39"/>
      <c r="N660" s="216"/>
      <c r="O660" s="216"/>
      <c r="P660" s="39"/>
      <c r="Q660" s="39"/>
      <c r="R660" s="39"/>
    </row>
    <row r="661" spans="1:18" ht="15.75" customHeight="1">
      <c r="A661" s="39"/>
      <c r="B661" s="39"/>
      <c r="C661" s="39"/>
      <c r="D661" s="39"/>
      <c r="E661" s="39"/>
      <c r="F661" s="39"/>
      <c r="G661" s="39"/>
      <c r="H661" s="39"/>
      <c r="I661" s="39"/>
      <c r="J661" s="39"/>
      <c r="K661" s="39"/>
      <c r="L661" s="39"/>
      <c r="N661" s="216"/>
      <c r="O661" s="216"/>
      <c r="P661" s="39"/>
      <c r="Q661" s="39"/>
      <c r="R661" s="39"/>
    </row>
    <row r="662" spans="1:18" ht="15.75" customHeight="1">
      <c r="A662" s="39"/>
      <c r="B662" s="39"/>
      <c r="C662" s="39"/>
      <c r="D662" s="39"/>
      <c r="E662" s="39"/>
      <c r="F662" s="39"/>
      <c r="G662" s="39"/>
      <c r="H662" s="39"/>
      <c r="I662" s="39"/>
      <c r="J662" s="39"/>
      <c r="K662" s="39"/>
      <c r="L662" s="39"/>
      <c r="N662" s="216"/>
      <c r="O662" s="216"/>
      <c r="P662" s="39"/>
      <c r="Q662" s="39"/>
      <c r="R662" s="39"/>
    </row>
    <row r="663" spans="1:18" ht="15.75" customHeight="1">
      <c r="A663" s="39"/>
      <c r="B663" s="39"/>
      <c r="C663" s="39"/>
      <c r="D663" s="39"/>
      <c r="E663" s="39"/>
      <c r="F663" s="39"/>
      <c r="G663" s="39"/>
      <c r="H663" s="39"/>
      <c r="I663" s="39"/>
      <c r="J663" s="39"/>
      <c r="K663" s="39"/>
      <c r="L663" s="39"/>
      <c r="N663" s="216"/>
      <c r="O663" s="216"/>
      <c r="P663" s="39"/>
      <c r="Q663" s="39"/>
      <c r="R663" s="39"/>
    </row>
    <row r="664" spans="1:18" ht="15.75" customHeight="1">
      <c r="A664" s="39"/>
      <c r="B664" s="39"/>
      <c r="C664" s="39"/>
      <c r="D664" s="39"/>
      <c r="E664" s="39"/>
      <c r="F664" s="39"/>
      <c r="G664" s="39"/>
      <c r="H664" s="39"/>
      <c r="I664" s="39"/>
      <c r="J664" s="39"/>
      <c r="K664" s="39"/>
      <c r="L664" s="39"/>
      <c r="N664" s="216"/>
      <c r="O664" s="216"/>
      <c r="P664" s="39"/>
      <c r="Q664" s="39"/>
      <c r="R664" s="39"/>
    </row>
    <row r="665" spans="1:18" ht="15.75" customHeight="1">
      <c r="A665" s="39"/>
      <c r="B665" s="39"/>
      <c r="C665" s="39"/>
      <c r="D665" s="39"/>
      <c r="E665" s="39"/>
      <c r="F665" s="39"/>
      <c r="G665" s="39"/>
      <c r="H665" s="39"/>
      <c r="I665" s="39"/>
      <c r="J665" s="39"/>
      <c r="K665" s="39"/>
      <c r="L665" s="39"/>
      <c r="N665" s="216"/>
      <c r="O665" s="216"/>
      <c r="P665" s="39"/>
      <c r="Q665" s="39"/>
      <c r="R665" s="39"/>
    </row>
    <row r="666" spans="1:18" ht="15.75" customHeight="1">
      <c r="A666" s="39"/>
      <c r="B666" s="39"/>
      <c r="C666" s="39"/>
      <c r="D666" s="39"/>
      <c r="E666" s="39"/>
      <c r="F666" s="39"/>
      <c r="G666" s="39"/>
      <c r="H666" s="39"/>
      <c r="I666" s="39"/>
      <c r="J666" s="39"/>
      <c r="K666" s="39"/>
      <c r="L666" s="39"/>
      <c r="N666" s="216"/>
      <c r="O666" s="216"/>
      <c r="P666" s="39"/>
      <c r="Q666" s="39"/>
      <c r="R666" s="39"/>
    </row>
    <row r="667" spans="1:18" ht="15.75" customHeight="1">
      <c r="A667" s="39"/>
      <c r="B667" s="39"/>
      <c r="C667" s="39"/>
      <c r="D667" s="39"/>
      <c r="E667" s="39"/>
      <c r="F667" s="39"/>
      <c r="G667" s="39"/>
      <c r="H667" s="39"/>
      <c r="I667" s="39"/>
      <c r="J667" s="39"/>
      <c r="K667" s="39"/>
      <c r="L667" s="39"/>
      <c r="N667" s="216"/>
      <c r="O667" s="216"/>
      <c r="P667" s="39"/>
      <c r="Q667" s="39"/>
      <c r="R667" s="39"/>
    </row>
    <row r="668" spans="1:18" ht="15.75" customHeight="1">
      <c r="A668" s="39"/>
      <c r="B668" s="39"/>
      <c r="C668" s="39"/>
      <c r="D668" s="39"/>
      <c r="E668" s="39"/>
      <c r="F668" s="39"/>
      <c r="G668" s="39"/>
      <c r="H668" s="39"/>
      <c r="I668" s="39"/>
      <c r="J668" s="39"/>
      <c r="K668" s="39"/>
      <c r="L668" s="39"/>
      <c r="N668" s="216"/>
      <c r="O668" s="216"/>
      <c r="P668" s="39"/>
      <c r="Q668" s="39"/>
      <c r="R668" s="39"/>
    </row>
    <row r="669" spans="1:18" ht="15.75" customHeight="1">
      <c r="A669" s="39"/>
      <c r="B669" s="39"/>
      <c r="C669" s="39"/>
      <c r="D669" s="39"/>
      <c r="E669" s="39"/>
      <c r="F669" s="39"/>
      <c r="G669" s="39"/>
      <c r="H669" s="39"/>
      <c r="I669" s="39"/>
      <c r="J669" s="39"/>
      <c r="K669" s="39"/>
      <c r="L669" s="39"/>
      <c r="N669" s="216"/>
      <c r="O669" s="216"/>
      <c r="P669" s="39"/>
      <c r="Q669" s="39"/>
      <c r="R669" s="39"/>
    </row>
    <row r="670" spans="1:18" ht="15.75" customHeight="1">
      <c r="A670" s="39"/>
      <c r="B670" s="39"/>
      <c r="C670" s="39"/>
      <c r="D670" s="39"/>
      <c r="E670" s="39"/>
      <c r="F670" s="39"/>
      <c r="G670" s="39"/>
      <c r="H670" s="39"/>
      <c r="I670" s="39"/>
      <c r="J670" s="39"/>
      <c r="K670" s="39"/>
      <c r="L670" s="39"/>
      <c r="N670" s="216"/>
      <c r="O670" s="216"/>
      <c r="P670" s="39"/>
      <c r="Q670" s="39"/>
      <c r="R670" s="39"/>
    </row>
    <row r="671" spans="1:18" ht="15.75" customHeight="1">
      <c r="A671" s="39"/>
      <c r="B671" s="39"/>
      <c r="C671" s="39"/>
      <c r="D671" s="39"/>
      <c r="E671" s="39"/>
      <c r="F671" s="39"/>
      <c r="G671" s="39"/>
      <c r="H671" s="39"/>
      <c r="I671" s="39"/>
      <c r="J671" s="39"/>
      <c r="K671" s="39"/>
      <c r="L671" s="39"/>
      <c r="N671" s="216"/>
      <c r="O671" s="216"/>
      <c r="P671" s="39"/>
      <c r="Q671" s="39"/>
      <c r="R671" s="39"/>
    </row>
    <row r="672" spans="1:18" ht="15.75" customHeight="1">
      <c r="A672" s="39"/>
      <c r="B672" s="39"/>
      <c r="C672" s="39"/>
      <c r="D672" s="39"/>
      <c r="E672" s="39"/>
      <c r="F672" s="39"/>
      <c r="G672" s="39"/>
      <c r="H672" s="39"/>
      <c r="I672" s="39"/>
      <c r="J672" s="39"/>
      <c r="K672" s="39"/>
      <c r="L672" s="39"/>
      <c r="N672" s="216"/>
      <c r="O672" s="216"/>
      <c r="P672" s="39"/>
      <c r="Q672" s="39"/>
      <c r="R672" s="39"/>
    </row>
    <row r="673" spans="1:18" ht="15.75" customHeight="1">
      <c r="A673" s="39"/>
      <c r="B673" s="39"/>
      <c r="C673" s="39"/>
      <c r="D673" s="39"/>
      <c r="E673" s="39"/>
      <c r="F673" s="39"/>
      <c r="G673" s="39"/>
      <c r="H673" s="39"/>
      <c r="I673" s="39"/>
      <c r="J673" s="39"/>
      <c r="K673" s="39"/>
      <c r="L673" s="39"/>
      <c r="N673" s="216"/>
      <c r="O673" s="216"/>
      <c r="P673" s="39"/>
      <c r="Q673" s="39"/>
      <c r="R673" s="39"/>
    </row>
    <row r="674" spans="1:18" ht="15.75" customHeight="1">
      <c r="A674" s="39"/>
      <c r="B674" s="39"/>
      <c r="C674" s="39"/>
      <c r="D674" s="39"/>
      <c r="E674" s="39"/>
      <c r="F674" s="39"/>
      <c r="G674" s="39"/>
      <c r="H674" s="39"/>
      <c r="I674" s="39"/>
      <c r="J674" s="39"/>
      <c r="K674" s="39"/>
      <c r="L674" s="39"/>
      <c r="N674" s="216"/>
      <c r="O674" s="216"/>
      <c r="P674" s="39"/>
      <c r="Q674" s="39"/>
      <c r="R674" s="39"/>
    </row>
    <row r="675" spans="1:18" ht="15.75" customHeight="1">
      <c r="A675" s="39"/>
      <c r="B675" s="39"/>
      <c r="C675" s="39"/>
      <c r="D675" s="39"/>
      <c r="E675" s="39"/>
      <c r="F675" s="39"/>
      <c r="G675" s="39"/>
      <c r="H675" s="39"/>
      <c r="I675" s="39"/>
      <c r="J675" s="39"/>
      <c r="K675" s="39"/>
      <c r="L675" s="39"/>
      <c r="N675" s="216"/>
      <c r="O675" s="216"/>
      <c r="P675" s="39"/>
      <c r="Q675" s="39"/>
      <c r="R675" s="39"/>
    </row>
    <row r="676" spans="1:18" ht="15.75" customHeight="1">
      <c r="A676" s="39"/>
      <c r="B676" s="39"/>
      <c r="C676" s="39"/>
      <c r="D676" s="39"/>
      <c r="E676" s="39"/>
      <c r="F676" s="39"/>
      <c r="G676" s="39"/>
      <c r="H676" s="39"/>
      <c r="I676" s="39"/>
      <c r="J676" s="39"/>
      <c r="K676" s="39"/>
      <c r="L676" s="39"/>
      <c r="N676" s="216"/>
      <c r="O676" s="216"/>
      <c r="P676" s="39"/>
      <c r="Q676" s="39"/>
      <c r="R676" s="39"/>
    </row>
    <row r="677" spans="1:18" ht="15.75" customHeight="1">
      <c r="A677" s="39"/>
      <c r="B677" s="39"/>
      <c r="C677" s="39"/>
      <c r="D677" s="39"/>
      <c r="E677" s="39"/>
      <c r="F677" s="39"/>
      <c r="G677" s="39"/>
      <c r="H677" s="39"/>
      <c r="I677" s="39"/>
      <c r="J677" s="39"/>
      <c r="K677" s="39"/>
      <c r="L677" s="39"/>
      <c r="N677" s="216"/>
      <c r="O677" s="216"/>
      <c r="P677" s="39"/>
      <c r="Q677" s="39"/>
      <c r="R677" s="39"/>
    </row>
    <row r="678" spans="1:18" ht="15.75" customHeight="1">
      <c r="A678" s="39"/>
      <c r="B678" s="39"/>
      <c r="C678" s="39"/>
      <c r="D678" s="39"/>
      <c r="E678" s="39"/>
      <c r="F678" s="39"/>
      <c r="G678" s="39"/>
      <c r="H678" s="39"/>
      <c r="I678" s="39"/>
      <c r="J678" s="39"/>
      <c r="K678" s="39"/>
      <c r="L678" s="39"/>
      <c r="N678" s="216"/>
      <c r="O678" s="216"/>
      <c r="P678" s="39"/>
      <c r="Q678" s="39"/>
      <c r="R678" s="39"/>
    </row>
    <row r="679" spans="1:18" ht="15.75" customHeight="1">
      <c r="A679" s="39"/>
      <c r="B679" s="39"/>
      <c r="C679" s="39"/>
      <c r="D679" s="39"/>
      <c r="E679" s="39"/>
      <c r="F679" s="39"/>
      <c r="G679" s="39"/>
      <c r="H679" s="39"/>
      <c r="I679" s="39"/>
      <c r="J679" s="39"/>
      <c r="K679" s="39"/>
      <c r="L679" s="39"/>
      <c r="N679" s="216"/>
      <c r="O679" s="216"/>
      <c r="P679" s="39"/>
      <c r="Q679" s="39"/>
      <c r="R679" s="39"/>
    </row>
    <row r="680" spans="1:18" ht="15.75" customHeight="1">
      <c r="A680" s="39"/>
      <c r="B680" s="39"/>
      <c r="C680" s="39"/>
      <c r="D680" s="39"/>
      <c r="E680" s="39"/>
      <c r="F680" s="39"/>
      <c r="G680" s="39"/>
      <c r="H680" s="39"/>
      <c r="I680" s="39"/>
      <c r="J680" s="39"/>
      <c r="K680" s="39"/>
      <c r="L680" s="39"/>
      <c r="N680" s="216"/>
      <c r="O680" s="216"/>
      <c r="P680" s="39"/>
      <c r="Q680" s="39"/>
      <c r="R680" s="39"/>
    </row>
    <row r="681" spans="1:18" ht="15.75" customHeight="1">
      <c r="A681" s="39"/>
      <c r="B681" s="39"/>
      <c r="C681" s="39"/>
      <c r="D681" s="39"/>
      <c r="E681" s="39"/>
      <c r="F681" s="39"/>
      <c r="G681" s="39"/>
      <c r="H681" s="39"/>
      <c r="I681" s="39"/>
      <c r="J681" s="39"/>
      <c r="K681" s="39"/>
      <c r="L681" s="39"/>
      <c r="N681" s="216"/>
      <c r="O681" s="216"/>
      <c r="P681" s="39"/>
      <c r="Q681" s="39"/>
      <c r="R681" s="39"/>
    </row>
    <row r="682" spans="1:18" ht="15.75" customHeight="1">
      <c r="A682" s="39"/>
      <c r="B682" s="39"/>
      <c r="C682" s="39"/>
      <c r="D682" s="39"/>
      <c r="E682" s="39"/>
      <c r="F682" s="39"/>
      <c r="G682" s="39"/>
      <c r="H682" s="39"/>
      <c r="I682" s="39"/>
      <c r="J682" s="39"/>
      <c r="K682" s="39"/>
      <c r="L682" s="39"/>
      <c r="N682" s="216"/>
      <c r="O682" s="216"/>
      <c r="P682" s="39"/>
      <c r="Q682" s="39"/>
      <c r="R682" s="39"/>
    </row>
    <row r="683" spans="1:18" ht="15.75" customHeight="1">
      <c r="A683" s="39"/>
      <c r="B683" s="39"/>
      <c r="C683" s="39"/>
      <c r="D683" s="39"/>
      <c r="E683" s="39"/>
      <c r="F683" s="39"/>
      <c r="G683" s="39"/>
      <c r="H683" s="39"/>
      <c r="I683" s="39"/>
      <c r="J683" s="39"/>
      <c r="K683" s="39"/>
      <c r="L683" s="39"/>
      <c r="N683" s="216"/>
      <c r="O683" s="216"/>
      <c r="P683" s="39"/>
      <c r="Q683" s="39"/>
      <c r="R683" s="39"/>
    </row>
    <row r="684" spans="1:18" ht="15.75" customHeight="1">
      <c r="A684" s="39"/>
      <c r="B684" s="39"/>
      <c r="C684" s="39"/>
      <c r="D684" s="39"/>
      <c r="E684" s="39"/>
      <c r="F684" s="39"/>
      <c r="G684" s="39"/>
      <c r="H684" s="39"/>
      <c r="I684" s="39"/>
      <c r="J684" s="39"/>
      <c r="K684" s="39"/>
      <c r="L684" s="39"/>
      <c r="N684" s="216"/>
      <c r="O684" s="216"/>
      <c r="P684" s="39"/>
      <c r="Q684" s="39"/>
      <c r="R684" s="39"/>
    </row>
    <row r="685" spans="1:18" ht="15.75" customHeight="1">
      <c r="A685" s="39"/>
      <c r="B685" s="39"/>
      <c r="C685" s="39"/>
      <c r="D685" s="39"/>
      <c r="E685" s="39"/>
      <c r="F685" s="39"/>
      <c r="G685" s="39"/>
      <c r="H685" s="39"/>
      <c r="I685" s="39"/>
      <c r="J685" s="39"/>
      <c r="K685" s="39"/>
      <c r="L685" s="39"/>
      <c r="N685" s="216"/>
      <c r="O685" s="216"/>
      <c r="P685" s="39"/>
      <c r="Q685" s="39"/>
      <c r="R685" s="39"/>
    </row>
    <row r="686" spans="1:18" ht="15.75" customHeight="1">
      <c r="A686" s="39"/>
      <c r="B686" s="39"/>
      <c r="C686" s="39"/>
      <c r="D686" s="39"/>
      <c r="E686" s="39"/>
      <c r="F686" s="39"/>
      <c r="G686" s="39"/>
      <c r="H686" s="39"/>
      <c r="I686" s="39"/>
      <c r="J686" s="39"/>
      <c r="K686" s="39"/>
      <c r="L686" s="39"/>
      <c r="N686" s="216"/>
      <c r="O686" s="216"/>
      <c r="P686" s="39"/>
      <c r="Q686" s="39"/>
      <c r="R686" s="39"/>
    </row>
    <row r="687" spans="1:18" ht="15.75" customHeight="1">
      <c r="A687" s="39"/>
      <c r="B687" s="39"/>
      <c r="C687" s="39"/>
      <c r="D687" s="39"/>
      <c r="E687" s="39"/>
      <c r="F687" s="39"/>
      <c r="G687" s="39"/>
      <c r="H687" s="39"/>
      <c r="I687" s="39"/>
      <c r="J687" s="39"/>
      <c r="K687" s="39"/>
      <c r="L687" s="39"/>
      <c r="N687" s="216"/>
      <c r="O687" s="216"/>
      <c r="P687" s="39"/>
      <c r="Q687" s="39"/>
      <c r="R687" s="39"/>
    </row>
    <row r="688" spans="1:18" ht="15.75" customHeight="1">
      <c r="A688" s="39"/>
      <c r="B688" s="39"/>
      <c r="C688" s="39"/>
      <c r="D688" s="39"/>
      <c r="E688" s="39"/>
      <c r="F688" s="39"/>
      <c r="G688" s="39"/>
      <c r="H688" s="39"/>
      <c r="I688" s="39"/>
      <c r="J688" s="39"/>
      <c r="K688" s="39"/>
      <c r="L688" s="39"/>
      <c r="N688" s="216"/>
      <c r="O688" s="216"/>
      <c r="P688" s="39"/>
      <c r="Q688" s="39"/>
      <c r="R688" s="39"/>
    </row>
    <row r="689" spans="1:18" ht="15.75" customHeight="1">
      <c r="A689" s="39"/>
      <c r="B689" s="39"/>
      <c r="C689" s="39"/>
      <c r="D689" s="39"/>
      <c r="E689" s="39"/>
      <c r="F689" s="39"/>
      <c r="G689" s="39"/>
      <c r="H689" s="39"/>
      <c r="I689" s="39"/>
      <c r="J689" s="39"/>
      <c r="K689" s="39"/>
      <c r="L689" s="39"/>
      <c r="N689" s="216"/>
      <c r="O689" s="216"/>
      <c r="P689" s="39"/>
      <c r="Q689" s="39"/>
      <c r="R689" s="39"/>
    </row>
    <row r="690" spans="1:18" ht="15.75" customHeight="1">
      <c r="A690" s="39"/>
      <c r="B690" s="39"/>
      <c r="C690" s="39"/>
      <c r="D690" s="39"/>
      <c r="E690" s="39"/>
      <c r="F690" s="39"/>
      <c r="G690" s="39"/>
      <c r="H690" s="39"/>
      <c r="I690" s="39"/>
      <c r="J690" s="39"/>
      <c r="K690" s="39"/>
      <c r="L690" s="39"/>
      <c r="N690" s="216"/>
      <c r="O690" s="216"/>
      <c r="P690" s="39"/>
      <c r="Q690" s="39"/>
      <c r="R690" s="39"/>
    </row>
    <row r="691" spans="1:18" ht="15.75" customHeight="1">
      <c r="A691" s="39"/>
      <c r="B691" s="39"/>
      <c r="C691" s="39"/>
      <c r="D691" s="39"/>
      <c r="E691" s="39"/>
      <c r="F691" s="39"/>
      <c r="G691" s="39"/>
      <c r="H691" s="39"/>
      <c r="I691" s="39"/>
      <c r="J691" s="39"/>
      <c r="K691" s="39"/>
      <c r="L691" s="39"/>
      <c r="N691" s="216"/>
      <c r="O691" s="216"/>
      <c r="P691" s="39"/>
      <c r="Q691" s="39"/>
      <c r="R691" s="39"/>
    </row>
    <row r="692" spans="1:18" ht="15.75" customHeight="1">
      <c r="A692" s="39"/>
      <c r="B692" s="39"/>
      <c r="C692" s="39"/>
      <c r="D692" s="39"/>
      <c r="E692" s="39"/>
      <c r="F692" s="39"/>
      <c r="G692" s="39"/>
      <c r="H692" s="39"/>
      <c r="I692" s="39"/>
      <c r="J692" s="39"/>
      <c r="K692" s="39"/>
      <c r="L692" s="39"/>
      <c r="N692" s="216"/>
      <c r="O692" s="216"/>
      <c r="P692" s="39"/>
      <c r="Q692" s="39"/>
      <c r="R692" s="39"/>
    </row>
    <row r="693" spans="1:18" ht="15.75" customHeight="1">
      <c r="A693" s="39"/>
      <c r="B693" s="39"/>
      <c r="C693" s="39"/>
      <c r="D693" s="39"/>
      <c r="E693" s="39"/>
      <c r="F693" s="39"/>
      <c r="G693" s="39"/>
      <c r="H693" s="39"/>
      <c r="I693" s="39"/>
      <c r="J693" s="39"/>
      <c r="K693" s="39"/>
      <c r="L693" s="39"/>
      <c r="N693" s="216"/>
      <c r="O693" s="216"/>
      <c r="P693" s="39"/>
      <c r="Q693" s="39"/>
      <c r="R693" s="39"/>
    </row>
    <row r="694" spans="1:18" ht="15.75" customHeight="1">
      <c r="A694" s="39"/>
      <c r="B694" s="39"/>
      <c r="C694" s="39"/>
      <c r="D694" s="39"/>
      <c r="E694" s="39"/>
      <c r="F694" s="39"/>
      <c r="G694" s="39"/>
      <c r="H694" s="39"/>
      <c r="I694" s="39"/>
      <c r="J694" s="39"/>
      <c r="K694" s="39"/>
      <c r="L694" s="39"/>
      <c r="N694" s="216"/>
      <c r="O694" s="216"/>
      <c r="P694" s="39"/>
      <c r="Q694" s="39"/>
      <c r="R694" s="39"/>
    </row>
    <row r="695" spans="1:18" ht="15.75" customHeight="1">
      <c r="A695" s="39"/>
      <c r="B695" s="39"/>
      <c r="C695" s="39"/>
      <c r="D695" s="39"/>
      <c r="E695" s="39"/>
      <c r="F695" s="39"/>
      <c r="G695" s="39"/>
      <c r="H695" s="39"/>
      <c r="I695" s="39"/>
      <c r="J695" s="39"/>
      <c r="K695" s="39"/>
      <c r="L695" s="39"/>
      <c r="N695" s="216"/>
      <c r="O695" s="216"/>
      <c r="P695" s="39"/>
      <c r="Q695" s="39"/>
      <c r="R695" s="39"/>
    </row>
    <row r="696" spans="1:18" ht="15.75" customHeight="1">
      <c r="A696" s="39"/>
      <c r="B696" s="39"/>
      <c r="C696" s="39"/>
      <c r="D696" s="39"/>
      <c r="E696" s="39"/>
      <c r="F696" s="39"/>
      <c r="G696" s="39"/>
      <c r="H696" s="39"/>
      <c r="I696" s="39"/>
      <c r="J696" s="39"/>
      <c r="K696" s="39"/>
      <c r="L696" s="39"/>
      <c r="N696" s="216"/>
      <c r="O696" s="216"/>
      <c r="P696" s="39"/>
      <c r="Q696" s="39"/>
      <c r="R696" s="39"/>
    </row>
    <row r="697" spans="1:18" ht="15.75" customHeight="1">
      <c r="A697" s="39"/>
      <c r="B697" s="39"/>
      <c r="C697" s="39"/>
      <c r="D697" s="39"/>
      <c r="E697" s="39"/>
      <c r="F697" s="39"/>
      <c r="G697" s="39"/>
      <c r="H697" s="39"/>
      <c r="I697" s="39"/>
      <c r="J697" s="39"/>
      <c r="K697" s="39"/>
      <c r="L697" s="39"/>
      <c r="N697" s="216"/>
      <c r="O697" s="216"/>
      <c r="P697" s="39"/>
      <c r="Q697" s="39"/>
      <c r="R697" s="39"/>
    </row>
    <row r="698" spans="1:18" ht="15.75" customHeight="1">
      <c r="A698" s="39"/>
      <c r="B698" s="39"/>
      <c r="C698" s="39"/>
      <c r="D698" s="39"/>
      <c r="E698" s="39"/>
      <c r="F698" s="39"/>
      <c r="G698" s="39"/>
      <c r="H698" s="39"/>
      <c r="I698" s="39"/>
      <c r="J698" s="39"/>
      <c r="K698" s="39"/>
      <c r="L698" s="39"/>
      <c r="N698" s="216"/>
      <c r="O698" s="216"/>
      <c r="P698" s="39"/>
      <c r="Q698" s="39"/>
      <c r="R698" s="39"/>
    </row>
    <row r="699" spans="1:18" ht="15.75" customHeight="1">
      <c r="A699" s="39"/>
      <c r="B699" s="39"/>
      <c r="C699" s="39"/>
      <c r="D699" s="39"/>
      <c r="E699" s="39"/>
      <c r="F699" s="39"/>
      <c r="G699" s="39"/>
      <c r="H699" s="39"/>
      <c r="I699" s="39"/>
      <c r="J699" s="39"/>
      <c r="K699" s="39"/>
      <c r="L699" s="39"/>
      <c r="N699" s="216"/>
      <c r="O699" s="216"/>
      <c r="P699" s="39"/>
      <c r="Q699" s="39"/>
      <c r="R699" s="39"/>
    </row>
    <row r="700" spans="1:18" ht="15.75" customHeight="1">
      <c r="A700" s="39"/>
      <c r="B700" s="39"/>
      <c r="C700" s="39"/>
      <c r="D700" s="39"/>
      <c r="E700" s="39"/>
      <c r="F700" s="39"/>
      <c r="G700" s="39"/>
      <c r="H700" s="39"/>
      <c r="I700" s="39"/>
      <c r="J700" s="39"/>
      <c r="K700" s="39"/>
      <c r="L700" s="39"/>
      <c r="N700" s="216"/>
      <c r="O700" s="216"/>
      <c r="P700" s="39"/>
      <c r="Q700" s="39"/>
      <c r="R700" s="39"/>
    </row>
    <row r="701" spans="1:18" ht="15.75" customHeight="1">
      <c r="A701" s="39"/>
      <c r="B701" s="39"/>
      <c r="C701" s="39"/>
      <c r="D701" s="39"/>
      <c r="E701" s="39"/>
      <c r="F701" s="39"/>
      <c r="G701" s="39"/>
      <c r="H701" s="39"/>
      <c r="I701" s="39"/>
      <c r="J701" s="39"/>
      <c r="K701" s="39"/>
      <c r="L701" s="39"/>
      <c r="N701" s="216"/>
      <c r="O701" s="216"/>
      <c r="P701" s="39"/>
      <c r="Q701" s="39"/>
      <c r="R701" s="39"/>
    </row>
    <row r="702" spans="1:18" ht="15.75" customHeight="1">
      <c r="A702" s="39"/>
      <c r="B702" s="39"/>
      <c r="C702" s="39"/>
      <c r="D702" s="39"/>
      <c r="E702" s="39"/>
      <c r="F702" s="39"/>
      <c r="G702" s="39"/>
      <c r="H702" s="39"/>
      <c r="I702" s="39"/>
      <c r="J702" s="39"/>
      <c r="K702" s="39"/>
      <c r="L702" s="39"/>
      <c r="N702" s="216"/>
      <c r="O702" s="216"/>
      <c r="P702" s="39"/>
      <c r="Q702" s="39"/>
      <c r="R702" s="39"/>
    </row>
    <row r="703" spans="1:18" ht="15.75" customHeight="1">
      <c r="A703" s="39"/>
      <c r="B703" s="39"/>
      <c r="C703" s="39"/>
      <c r="D703" s="39"/>
      <c r="E703" s="39"/>
      <c r="F703" s="39"/>
      <c r="G703" s="39"/>
      <c r="H703" s="39"/>
      <c r="I703" s="39"/>
      <c r="J703" s="39"/>
      <c r="K703" s="39"/>
      <c r="L703" s="39"/>
      <c r="N703" s="216"/>
      <c r="O703" s="216"/>
      <c r="P703" s="39"/>
      <c r="Q703" s="39"/>
      <c r="R703" s="39"/>
    </row>
    <row r="704" spans="1:18" ht="15.75" customHeight="1">
      <c r="A704" s="39"/>
      <c r="B704" s="39"/>
      <c r="C704" s="39"/>
      <c r="D704" s="39"/>
      <c r="E704" s="39"/>
      <c r="F704" s="39"/>
      <c r="G704" s="39"/>
      <c r="H704" s="39"/>
      <c r="I704" s="39"/>
      <c r="J704" s="39"/>
      <c r="K704" s="39"/>
      <c r="L704" s="39"/>
      <c r="N704" s="216"/>
      <c r="O704" s="216"/>
      <c r="P704" s="39"/>
      <c r="Q704" s="39"/>
      <c r="R704" s="39"/>
    </row>
    <row r="705" spans="1:18" ht="15.75" customHeight="1">
      <c r="A705" s="39"/>
      <c r="B705" s="39"/>
      <c r="C705" s="39"/>
      <c r="D705" s="39"/>
      <c r="E705" s="39"/>
      <c r="F705" s="39"/>
      <c r="G705" s="39"/>
      <c r="H705" s="39"/>
      <c r="I705" s="39"/>
      <c r="J705" s="39"/>
      <c r="K705" s="39"/>
      <c r="L705" s="39"/>
      <c r="N705" s="216"/>
      <c r="O705" s="216"/>
      <c r="P705" s="39"/>
      <c r="Q705" s="39"/>
      <c r="R705" s="39"/>
    </row>
    <row r="706" spans="1:18" ht="15.75" customHeight="1">
      <c r="A706" s="39"/>
      <c r="B706" s="39"/>
      <c r="C706" s="39"/>
      <c r="D706" s="39"/>
      <c r="E706" s="39"/>
      <c r="F706" s="39"/>
      <c r="G706" s="39"/>
      <c r="H706" s="39"/>
      <c r="I706" s="39"/>
      <c r="J706" s="39"/>
      <c r="K706" s="39"/>
      <c r="L706" s="39"/>
      <c r="N706" s="216"/>
      <c r="O706" s="216"/>
      <c r="P706" s="39"/>
      <c r="Q706" s="39"/>
      <c r="R706" s="39"/>
    </row>
    <row r="707" spans="1:18" ht="15.75" customHeight="1">
      <c r="A707" s="39"/>
      <c r="B707" s="39"/>
      <c r="C707" s="39"/>
      <c r="D707" s="39"/>
      <c r="E707" s="39"/>
      <c r="F707" s="39"/>
      <c r="G707" s="39"/>
      <c r="H707" s="39"/>
      <c r="I707" s="39"/>
      <c r="J707" s="39"/>
      <c r="K707" s="39"/>
      <c r="L707" s="39"/>
      <c r="N707" s="216"/>
      <c r="O707" s="216"/>
      <c r="P707" s="39"/>
      <c r="Q707" s="39"/>
      <c r="R707" s="39"/>
    </row>
    <row r="708" spans="1:18" ht="15.75" customHeight="1">
      <c r="A708" s="39"/>
      <c r="B708" s="39"/>
      <c r="C708" s="39"/>
      <c r="D708" s="39"/>
      <c r="E708" s="39"/>
      <c r="F708" s="39"/>
      <c r="G708" s="39"/>
      <c r="H708" s="39"/>
      <c r="I708" s="39"/>
      <c r="J708" s="39"/>
      <c r="K708" s="39"/>
      <c r="L708" s="39"/>
      <c r="N708" s="216"/>
      <c r="O708" s="216"/>
      <c r="P708" s="39"/>
      <c r="Q708" s="39"/>
      <c r="R708" s="39"/>
    </row>
    <row r="709" spans="1:18" ht="15.75" customHeight="1">
      <c r="A709" s="39"/>
      <c r="B709" s="39"/>
      <c r="C709" s="39"/>
      <c r="D709" s="39"/>
      <c r="E709" s="39"/>
      <c r="F709" s="39"/>
      <c r="G709" s="39"/>
      <c r="H709" s="39"/>
      <c r="I709" s="39"/>
      <c r="J709" s="39"/>
      <c r="K709" s="39"/>
      <c r="L709" s="39"/>
      <c r="N709" s="216"/>
      <c r="O709" s="216"/>
      <c r="P709" s="39"/>
      <c r="Q709" s="39"/>
      <c r="R709" s="39"/>
    </row>
    <row r="710" spans="1:18" ht="15.75" customHeight="1">
      <c r="A710" s="39"/>
      <c r="B710" s="39"/>
      <c r="C710" s="39"/>
      <c r="D710" s="39"/>
      <c r="E710" s="39"/>
      <c r="F710" s="39"/>
      <c r="G710" s="39"/>
      <c r="H710" s="39"/>
      <c r="I710" s="39"/>
      <c r="J710" s="39"/>
      <c r="K710" s="39"/>
      <c r="L710" s="39"/>
      <c r="N710" s="216"/>
      <c r="O710" s="216"/>
      <c r="P710" s="39"/>
      <c r="Q710" s="39"/>
      <c r="R710" s="39"/>
    </row>
    <row r="711" spans="1:18" ht="15.75" customHeight="1">
      <c r="A711" s="39"/>
      <c r="B711" s="39"/>
      <c r="C711" s="39"/>
      <c r="D711" s="39"/>
      <c r="E711" s="39"/>
      <c r="F711" s="39"/>
      <c r="G711" s="39"/>
      <c r="H711" s="39"/>
      <c r="I711" s="39"/>
      <c r="J711" s="39"/>
      <c r="K711" s="39"/>
      <c r="L711" s="39"/>
      <c r="N711" s="216"/>
      <c r="O711" s="216"/>
      <c r="P711" s="39"/>
      <c r="Q711" s="39"/>
      <c r="R711" s="39"/>
    </row>
    <row r="712" spans="1:18" ht="15.75" customHeight="1">
      <c r="A712" s="39"/>
      <c r="B712" s="39"/>
      <c r="C712" s="39"/>
      <c r="D712" s="39"/>
      <c r="E712" s="39"/>
      <c r="F712" s="39"/>
      <c r="G712" s="39"/>
      <c r="H712" s="39"/>
      <c r="I712" s="39"/>
      <c r="J712" s="39"/>
      <c r="K712" s="39"/>
      <c r="L712" s="39"/>
      <c r="N712" s="216"/>
      <c r="O712" s="216"/>
      <c r="P712" s="39"/>
      <c r="Q712" s="39"/>
      <c r="R712" s="39"/>
    </row>
    <row r="713" spans="1:18" ht="15.75" customHeight="1">
      <c r="A713" s="39"/>
      <c r="B713" s="39"/>
      <c r="C713" s="39"/>
      <c r="D713" s="39"/>
      <c r="E713" s="39"/>
      <c r="F713" s="39"/>
      <c r="G713" s="39"/>
      <c r="H713" s="39"/>
      <c r="I713" s="39"/>
      <c r="J713" s="39"/>
      <c r="K713" s="39"/>
      <c r="L713" s="39"/>
      <c r="N713" s="216"/>
      <c r="O713" s="216"/>
      <c r="P713" s="39"/>
      <c r="Q713" s="39"/>
      <c r="R713" s="39"/>
    </row>
    <row r="714" spans="1:18" ht="15.75" customHeight="1">
      <c r="A714" s="39"/>
      <c r="B714" s="39"/>
      <c r="C714" s="39"/>
      <c r="D714" s="39"/>
      <c r="E714" s="39"/>
      <c r="F714" s="39"/>
      <c r="G714" s="39"/>
      <c r="H714" s="39"/>
      <c r="I714" s="39"/>
      <c r="J714" s="39"/>
      <c r="K714" s="39"/>
      <c r="L714" s="39"/>
      <c r="N714" s="216"/>
      <c r="O714" s="216"/>
      <c r="P714" s="39"/>
      <c r="Q714" s="39"/>
      <c r="R714" s="39"/>
    </row>
    <row r="715" spans="1:18" ht="15.75" customHeight="1">
      <c r="A715" s="39"/>
      <c r="B715" s="39"/>
      <c r="C715" s="39"/>
      <c r="D715" s="39"/>
      <c r="E715" s="39"/>
      <c r="F715" s="39"/>
      <c r="G715" s="39"/>
      <c r="H715" s="39"/>
      <c r="I715" s="39"/>
      <c r="J715" s="39"/>
      <c r="K715" s="39"/>
      <c r="L715" s="39"/>
      <c r="N715" s="216"/>
      <c r="O715" s="216"/>
      <c r="P715" s="39"/>
      <c r="Q715" s="39"/>
      <c r="R715" s="39"/>
    </row>
    <row r="716" spans="1:18" ht="15.75" customHeight="1">
      <c r="A716" s="39"/>
      <c r="B716" s="39"/>
      <c r="C716" s="39"/>
      <c r="D716" s="39"/>
      <c r="E716" s="39"/>
      <c r="F716" s="39"/>
      <c r="G716" s="39"/>
      <c r="H716" s="39"/>
      <c r="I716" s="39"/>
      <c r="J716" s="39"/>
      <c r="K716" s="39"/>
      <c r="L716" s="39"/>
      <c r="N716" s="216"/>
      <c r="O716" s="216"/>
      <c r="P716" s="39"/>
      <c r="Q716" s="39"/>
      <c r="R716" s="39"/>
    </row>
    <row r="717" spans="1:18" ht="15.75" customHeight="1">
      <c r="A717" s="39"/>
      <c r="B717" s="39"/>
      <c r="C717" s="39"/>
      <c r="D717" s="39"/>
      <c r="E717" s="39"/>
      <c r="F717" s="39"/>
      <c r="G717" s="39"/>
      <c r="H717" s="39"/>
      <c r="I717" s="39"/>
      <c r="J717" s="39"/>
      <c r="K717" s="39"/>
      <c r="L717" s="39"/>
      <c r="N717" s="216"/>
      <c r="O717" s="216"/>
      <c r="P717" s="39"/>
      <c r="Q717" s="39"/>
      <c r="R717" s="39"/>
    </row>
    <row r="718" spans="1:18" ht="15.75" customHeight="1">
      <c r="A718" s="39"/>
      <c r="B718" s="39"/>
      <c r="C718" s="39"/>
      <c r="D718" s="39"/>
      <c r="E718" s="39"/>
      <c r="F718" s="39"/>
      <c r="G718" s="39"/>
      <c r="H718" s="39"/>
      <c r="I718" s="39"/>
      <c r="J718" s="39"/>
      <c r="K718" s="39"/>
      <c r="L718" s="39"/>
      <c r="N718" s="216"/>
      <c r="O718" s="216"/>
      <c r="P718" s="39"/>
      <c r="Q718" s="39"/>
      <c r="R718" s="39"/>
    </row>
    <row r="719" spans="1:18" ht="15.75" customHeight="1">
      <c r="A719" s="39"/>
      <c r="B719" s="39"/>
      <c r="C719" s="39"/>
      <c r="D719" s="39"/>
      <c r="E719" s="39"/>
      <c r="F719" s="39"/>
      <c r="G719" s="39"/>
      <c r="H719" s="39"/>
      <c r="I719" s="39"/>
      <c r="J719" s="39"/>
      <c r="K719" s="39"/>
      <c r="L719" s="39"/>
      <c r="N719" s="216"/>
      <c r="O719" s="216"/>
      <c r="P719" s="39"/>
      <c r="Q719" s="39"/>
      <c r="R719" s="39"/>
    </row>
    <row r="720" spans="1:18" ht="15.75" customHeight="1">
      <c r="A720" s="39"/>
      <c r="B720" s="39"/>
      <c r="C720" s="39"/>
      <c r="D720" s="39"/>
      <c r="E720" s="39"/>
      <c r="F720" s="39"/>
      <c r="G720" s="39"/>
      <c r="H720" s="39"/>
      <c r="I720" s="39"/>
      <c r="J720" s="39"/>
      <c r="K720" s="39"/>
      <c r="L720" s="39"/>
      <c r="N720" s="216"/>
      <c r="O720" s="216"/>
      <c r="P720" s="39"/>
      <c r="Q720" s="39"/>
      <c r="R720" s="39"/>
    </row>
    <row r="721" spans="1:18" ht="15.75" customHeight="1">
      <c r="A721" s="39"/>
      <c r="B721" s="39"/>
      <c r="C721" s="39"/>
      <c r="D721" s="39"/>
      <c r="E721" s="39"/>
      <c r="F721" s="39"/>
      <c r="G721" s="39"/>
      <c r="H721" s="39"/>
      <c r="I721" s="39"/>
      <c r="J721" s="39"/>
      <c r="K721" s="39"/>
      <c r="L721" s="39"/>
      <c r="N721" s="216"/>
      <c r="O721" s="216"/>
      <c r="P721" s="39"/>
      <c r="Q721" s="39"/>
      <c r="R721" s="39"/>
    </row>
    <row r="722" spans="1:18" ht="15.75" customHeight="1">
      <c r="A722" s="39"/>
      <c r="B722" s="39"/>
      <c r="C722" s="39"/>
      <c r="D722" s="39"/>
      <c r="E722" s="39"/>
      <c r="F722" s="39"/>
      <c r="G722" s="39"/>
      <c r="H722" s="39"/>
      <c r="I722" s="39"/>
      <c r="J722" s="39"/>
      <c r="K722" s="39"/>
      <c r="L722" s="39"/>
      <c r="N722" s="216"/>
      <c r="O722" s="216"/>
      <c r="P722" s="39"/>
      <c r="Q722" s="39"/>
      <c r="R722" s="39"/>
    </row>
    <row r="723" spans="1:18" ht="15.75" customHeight="1">
      <c r="A723" s="39"/>
      <c r="B723" s="39"/>
      <c r="C723" s="39"/>
      <c r="D723" s="39"/>
      <c r="E723" s="39"/>
      <c r="F723" s="39"/>
      <c r="G723" s="39"/>
      <c r="H723" s="39"/>
      <c r="I723" s="39"/>
      <c r="J723" s="39"/>
      <c r="K723" s="39"/>
      <c r="L723" s="39"/>
      <c r="N723" s="216"/>
      <c r="O723" s="216"/>
      <c r="P723" s="39"/>
      <c r="Q723" s="39"/>
      <c r="R723" s="39"/>
    </row>
    <row r="724" spans="1:18" ht="15.75" customHeight="1">
      <c r="A724" s="39"/>
      <c r="B724" s="39"/>
      <c r="C724" s="39"/>
      <c r="D724" s="39"/>
      <c r="E724" s="39"/>
      <c r="F724" s="39"/>
      <c r="G724" s="39"/>
      <c r="H724" s="39"/>
      <c r="I724" s="39"/>
      <c r="J724" s="39"/>
      <c r="K724" s="39"/>
      <c r="L724" s="39"/>
      <c r="N724" s="216"/>
      <c r="O724" s="216"/>
      <c r="P724" s="39"/>
      <c r="Q724" s="39"/>
      <c r="R724" s="39"/>
    </row>
    <row r="725" spans="1:18" ht="15.75" customHeight="1">
      <c r="A725" s="39"/>
      <c r="B725" s="39"/>
      <c r="C725" s="39"/>
      <c r="D725" s="39"/>
      <c r="E725" s="39"/>
      <c r="F725" s="39"/>
      <c r="G725" s="39"/>
      <c r="H725" s="39"/>
      <c r="I725" s="39"/>
      <c r="J725" s="39"/>
      <c r="K725" s="39"/>
      <c r="L725" s="39"/>
      <c r="N725" s="216"/>
      <c r="O725" s="216"/>
      <c r="P725" s="39"/>
      <c r="Q725" s="39"/>
      <c r="R725" s="39"/>
    </row>
    <row r="726" spans="1:18" ht="15.75" customHeight="1">
      <c r="A726" s="39"/>
      <c r="B726" s="39"/>
      <c r="C726" s="39"/>
      <c r="D726" s="39"/>
      <c r="E726" s="39"/>
      <c r="F726" s="39"/>
      <c r="G726" s="39"/>
      <c r="H726" s="39"/>
      <c r="I726" s="39"/>
      <c r="J726" s="39"/>
      <c r="K726" s="39"/>
      <c r="L726" s="39"/>
      <c r="N726" s="216"/>
      <c r="O726" s="216"/>
      <c r="P726" s="39"/>
      <c r="Q726" s="39"/>
      <c r="R726" s="39"/>
    </row>
    <row r="727" spans="1:18" ht="15.75" customHeight="1">
      <c r="A727" s="39"/>
      <c r="B727" s="39"/>
      <c r="C727" s="39"/>
      <c r="D727" s="39"/>
      <c r="E727" s="39"/>
      <c r="F727" s="39"/>
      <c r="G727" s="39"/>
      <c r="H727" s="39"/>
      <c r="I727" s="39"/>
      <c r="J727" s="39"/>
      <c r="K727" s="39"/>
      <c r="L727" s="39"/>
      <c r="N727" s="216"/>
      <c r="O727" s="216"/>
      <c r="P727" s="39"/>
      <c r="Q727" s="39"/>
      <c r="R727" s="39"/>
    </row>
    <row r="728" spans="1:18" ht="15.75" customHeight="1">
      <c r="A728" s="39"/>
      <c r="B728" s="39"/>
      <c r="C728" s="39"/>
      <c r="D728" s="39"/>
      <c r="E728" s="39"/>
      <c r="F728" s="39"/>
      <c r="G728" s="39"/>
      <c r="H728" s="39"/>
      <c r="I728" s="39"/>
      <c r="J728" s="39"/>
      <c r="K728" s="39"/>
      <c r="L728" s="39"/>
      <c r="N728" s="216"/>
      <c r="O728" s="216"/>
      <c r="P728" s="39"/>
      <c r="Q728" s="39"/>
      <c r="R728" s="39"/>
    </row>
    <row r="729" spans="1:18" ht="15.75" customHeight="1">
      <c r="A729" s="39"/>
      <c r="B729" s="39"/>
      <c r="C729" s="39"/>
      <c r="D729" s="39"/>
      <c r="E729" s="39"/>
      <c r="F729" s="39"/>
      <c r="G729" s="39"/>
      <c r="H729" s="39"/>
      <c r="I729" s="39"/>
      <c r="J729" s="39"/>
      <c r="K729" s="39"/>
      <c r="L729" s="39"/>
      <c r="N729" s="216"/>
      <c r="O729" s="216"/>
      <c r="P729" s="39"/>
      <c r="Q729" s="39"/>
      <c r="R729" s="39"/>
    </row>
    <row r="730" spans="1:18" ht="15.75" customHeight="1">
      <c r="A730" s="39"/>
      <c r="B730" s="39"/>
      <c r="C730" s="39"/>
      <c r="D730" s="39"/>
      <c r="E730" s="39"/>
      <c r="F730" s="39"/>
      <c r="G730" s="39"/>
      <c r="H730" s="39"/>
      <c r="I730" s="39"/>
      <c r="J730" s="39"/>
      <c r="K730" s="39"/>
      <c r="L730" s="39"/>
      <c r="N730" s="216"/>
      <c r="O730" s="216"/>
      <c r="P730" s="39"/>
      <c r="Q730" s="39"/>
      <c r="R730" s="39"/>
    </row>
    <row r="731" spans="1:18" ht="15.75" customHeight="1">
      <c r="A731" s="39"/>
      <c r="B731" s="39"/>
      <c r="C731" s="39"/>
      <c r="D731" s="39"/>
      <c r="E731" s="39"/>
      <c r="F731" s="39"/>
      <c r="G731" s="39"/>
      <c r="H731" s="39"/>
      <c r="I731" s="39"/>
      <c r="J731" s="39"/>
      <c r="K731" s="39"/>
      <c r="L731" s="39"/>
      <c r="N731" s="216"/>
      <c r="O731" s="216"/>
      <c r="P731" s="39"/>
      <c r="Q731" s="39"/>
      <c r="R731" s="39"/>
    </row>
    <row r="732" spans="1:18" ht="15.75" customHeight="1">
      <c r="A732" s="39"/>
      <c r="B732" s="39"/>
      <c r="C732" s="39"/>
      <c r="D732" s="39"/>
      <c r="E732" s="39"/>
      <c r="F732" s="39"/>
      <c r="G732" s="39"/>
      <c r="H732" s="39"/>
      <c r="I732" s="39"/>
      <c r="J732" s="39"/>
      <c r="K732" s="39"/>
      <c r="L732" s="39"/>
      <c r="N732" s="216"/>
      <c r="O732" s="216"/>
      <c r="P732" s="39"/>
      <c r="Q732" s="39"/>
      <c r="R732" s="39"/>
    </row>
    <row r="733" spans="1:18" ht="15.75" customHeight="1">
      <c r="A733" s="39"/>
      <c r="B733" s="39"/>
      <c r="C733" s="39"/>
      <c r="D733" s="39"/>
      <c r="E733" s="39"/>
      <c r="F733" s="39"/>
      <c r="G733" s="39"/>
      <c r="H733" s="39"/>
      <c r="I733" s="39"/>
      <c r="J733" s="39"/>
      <c r="K733" s="39"/>
      <c r="L733" s="39"/>
      <c r="N733" s="216"/>
      <c r="O733" s="216"/>
      <c r="P733" s="39"/>
      <c r="Q733" s="39"/>
      <c r="R733" s="39"/>
    </row>
    <row r="734" spans="1:18" ht="15.75" customHeight="1">
      <c r="A734" s="39"/>
      <c r="B734" s="39"/>
      <c r="C734" s="39"/>
      <c r="D734" s="39"/>
      <c r="E734" s="39"/>
      <c r="F734" s="39"/>
      <c r="G734" s="39"/>
      <c r="H734" s="39"/>
      <c r="I734" s="39"/>
      <c r="J734" s="39"/>
      <c r="K734" s="39"/>
      <c r="L734" s="39"/>
      <c r="N734" s="216"/>
      <c r="O734" s="216"/>
      <c r="P734" s="39"/>
      <c r="Q734" s="39"/>
      <c r="R734" s="39"/>
    </row>
    <row r="735" spans="1:18" ht="15.75" customHeight="1">
      <c r="A735" s="39"/>
      <c r="B735" s="39"/>
      <c r="C735" s="39"/>
      <c r="D735" s="39"/>
      <c r="E735" s="39"/>
      <c r="F735" s="39"/>
      <c r="G735" s="39"/>
      <c r="H735" s="39"/>
      <c r="I735" s="39"/>
      <c r="J735" s="39"/>
      <c r="K735" s="39"/>
      <c r="L735" s="39"/>
      <c r="N735" s="216"/>
      <c r="O735" s="216"/>
      <c r="P735" s="39"/>
      <c r="Q735" s="39"/>
      <c r="R735" s="39"/>
    </row>
    <row r="736" spans="1:18" ht="15.75" customHeight="1">
      <c r="A736" s="39"/>
      <c r="B736" s="39"/>
      <c r="C736" s="39"/>
      <c r="D736" s="39"/>
      <c r="E736" s="39"/>
      <c r="F736" s="39"/>
      <c r="G736" s="39"/>
      <c r="H736" s="39"/>
      <c r="I736" s="39"/>
      <c r="J736" s="39"/>
      <c r="K736" s="39"/>
      <c r="L736" s="39"/>
      <c r="N736" s="216"/>
      <c r="O736" s="216"/>
      <c r="P736" s="39"/>
      <c r="Q736" s="39"/>
      <c r="R736" s="39"/>
    </row>
    <row r="737" spans="1:18" ht="15.75" customHeight="1">
      <c r="A737" s="39"/>
      <c r="B737" s="39"/>
      <c r="C737" s="39"/>
      <c r="D737" s="39"/>
      <c r="E737" s="39"/>
      <c r="F737" s="39"/>
      <c r="G737" s="39"/>
      <c r="H737" s="39"/>
      <c r="I737" s="39"/>
      <c r="J737" s="39"/>
      <c r="K737" s="39"/>
      <c r="L737" s="39"/>
      <c r="N737" s="216"/>
      <c r="O737" s="216"/>
      <c r="P737" s="39"/>
      <c r="Q737" s="39"/>
      <c r="R737" s="39"/>
    </row>
    <row r="738" spans="1:18" ht="15.75" customHeight="1">
      <c r="A738" s="39"/>
      <c r="B738" s="39"/>
      <c r="C738" s="39"/>
      <c r="D738" s="39"/>
      <c r="E738" s="39"/>
      <c r="F738" s="39"/>
      <c r="G738" s="39"/>
      <c r="H738" s="39"/>
      <c r="I738" s="39"/>
      <c r="J738" s="39"/>
      <c r="K738" s="39"/>
      <c r="L738" s="39"/>
      <c r="N738" s="216"/>
      <c r="O738" s="216"/>
      <c r="P738" s="39"/>
      <c r="Q738" s="39"/>
      <c r="R738" s="39"/>
    </row>
    <row r="739" spans="1:18" ht="15.75" customHeight="1">
      <c r="A739" s="39"/>
      <c r="B739" s="39"/>
      <c r="C739" s="39"/>
      <c r="D739" s="39"/>
      <c r="E739" s="39"/>
      <c r="F739" s="39"/>
      <c r="G739" s="39"/>
      <c r="H739" s="39"/>
      <c r="I739" s="39"/>
      <c r="J739" s="39"/>
      <c r="K739" s="39"/>
      <c r="L739" s="39"/>
      <c r="N739" s="216"/>
      <c r="O739" s="216"/>
      <c r="P739" s="39"/>
      <c r="Q739" s="39"/>
      <c r="R739" s="39"/>
    </row>
    <row r="740" spans="1:18" ht="15.75" customHeight="1">
      <c r="A740" s="39"/>
      <c r="B740" s="39"/>
      <c r="C740" s="39"/>
      <c r="D740" s="39"/>
      <c r="E740" s="39"/>
      <c r="F740" s="39"/>
      <c r="G740" s="39"/>
      <c r="H740" s="39"/>
      <c r="I740" s="39"/>
      <c r="J740" s="39"/>
      <c r="K740" s="39"/>
      <c r="L740" s="39"/>
      <c r="N740" s="216"/>
      <c r="O740" s="216"/>
      <c r="P740" s="39"/>
      <c r="Q740" s="39"/>
      <c r="R740" s="39"/>
    </row>
    <row r="741" spans="1:18" ht="15.75" customHeight="1">
      <c r="A741" s="39"/>
      <c r="B741" s="39"/>
      <c r="C741" s="39"/>
      <c r="D741" s="39"/>
      <c r="E741" s="39"/>
      <c r="F741" s="39"/>
      <c r="G741" s="39"/>
      <c r="H741" s="39"/>
      <c r="I741" s="39"/>
      <c r="J741" s="39"/>
      <c r="K741" s="39"/>
      <c r="L741" s="39"/>
      <c r="N741" s="216"/>
      <c r="O741" s="216"/>
      <c r="P741" s="39"/>
      <c r="Q741" s="39"/>
      <c r="R741" s="39"/>
    </row>
    <row r="742" spans="1:18" ht="15.75" customHeight="1">
      <c r="A742" s="39"/>
      <c r="B742" s="39"/>
      <c r="C742" s="39"/>
      <c r="D742" s="39"/>
      <c r="E742" s="39"/>
      <c r="F742" s="39"/>
      <c r="G742" s="39"/>
      <c r="H742" s="39"/>
      <c r="I742" s="39"/>
      <c r="J742" s="39"/>
      <c r="K742" s="39"/>
      <c r="L742" s="39"/>
      <c r="N742" s="216"/>
      <c r="O742" s="216"/>
      <c r="P742" s="39"/>
      <c r="Q742" s="39"/>
      <c r="R742" s="39"/>
    </row>
    <row r="743" spans="1:18" ht="15.75" customHeight="1">
      <c r="A743" s="39"/>
      <c r="B743" s="39"/>
      <c r="C743" s="39"/>
      <c r="D743" s="39"/>
      <c r="E743" s="39"/>
      <c r="F743" s="39"/>
      <c r="G743" s="39"/>
      <c r="H743" s="39"/>
      <c r="I743" s="39"/>
      <c r="J743" s="39"/>
      <c r="K743" s="39"/>
      <c r="L743" s="39"/>
      <c r="N743" s="216"/>
      <c r="O743" s="216"/>
      <c r="P743" s="39"/>
      <c r="Q743" s="39"/>
      <c r="R743" s="39"/>
    </row>
    <row r="744" spans="1:18" ht="15.75" customHeight="1">
      <c r="A744" s="39"/>
      <c r="B744" s="39"/>
      <c r="C744" s="39"/>
      <c r="D744" s="39"/>
      <c r="E744" s="39"/>
      <c r="F744" s="39"/>
      <c r="G744" s="39"/>
      <c r="H744" s="39"/>
      <c r="I744" s="39"/>
      <c r="J744" s="39"/>
      <c r="K744" s="39"/>
      <c r="L744" s="39"/>
      <c r="N744" s="216"/>
      <c r="O744" s="216"/>
      <c r="P744" s="39"/>
      <c r="Q744" s="39"/>
      <c r="R744" s="39"/>
    </row>
    <row r="745" spans="1:18" ht="15.75" customHeight="1">
      <c r="A745" s="39"/>
      <c r="B745" s="39"/>
      <c r="C745" s="39"/>
      <c r="D745" s="39"/>
      <c r="E745" s="39"/>
      <c r="F745" s="39"/>
      <c r="G745" s="39"/>
      <c r="H745" s="39"/>
      <c r="I745" s="39"/>
      <c r="J745" s="39"/>
      <c r="K745" s="39"/>
      <c r="L745" s="39"/>
      <c r="N745" s="216"/>
      <c r="O745" s="216"/>
      <c r="P745" s="39"/>
      <c r="Q745" s="39"/>
      <c r="R745" s="39"/>
    </row>
    <row r="746" spans="1:18" ht="15.75" customHeight="1">
      <c r="A746" s="39"/>
      <c r="B746" s="39"/>
      <c r="C746" s="39"/>
      <c r="D746" s="39"/>
      <c r="E746" s="39"/>
      <c r="F746" s="39"/>
      <c r="G746" s="39"/>
      <c r="H746" s="39"/>
      <c r="I746" s="39"/>
      <c r="J746" s="39"/>
      <c r="K746" s="39"/>
      <c r="L746" s="39"/>
      <c r="N746" s="216"/>
      <c r="O746" s="216"/>
      <c r="P746" s="39"/>
      <c r="Q746" s="39"/>
      <c r="R746" s="39"/>
    </row>
    <row r="747" spans="1:18" ht="15.75" customHeight="1">
      <c r="A747" s="39"/>
      <c r="B747" s="39"/>
      <c r="C747" s="39"/>
      <c r="D747" s="39"/>
      <c r="E747" s="39"/>
      <c r="F747" s="39"/>
      <c r="G747" s="39"/>
      <c r="H747" s="39"/>
      <c r="I747" s="39"/>
      <c r="J747" s="39"/>
      <c r="K747" s="39"/>
      <c r="L747" s="39"/>
      <c r="N747" s="216"/>
      <c r="O747" s="216"/>
      <c r="P747" s="39"/>
      <c r="Q747" s="39"/>
      <c r="R747" s="39"/>
    </row>
    <row r="748" spans="1:18" ht="15.75" customHeight="1">
      <c r="A748" s="39"/>
      <c r="B748" s="39"/>
      <c r="C748" s="39"/>
      <c r="D748" s="39"/>
      <c r="E748" s="39"/>
      <c r="F748" s="39"/>
      <c r="G748" s="39"/>
      <c r="H748" s="39"/>
      <c r="I748" s="39"/>
      <c r="J748" s="39"/>
      <c r="K748" s="39"/>
      <c r="L748" s="39"/>
      <c r="N748" s="216"/>
      <c r="O748" s="216"/>
      <c r="P748" s="39"/>
      <c r="Q748" s="39"/>
      <c r="R748" s="39"/>
    </row>
    <row r="749" spans="1:18" ht="15.75" customHeight="1">
      <c r="A749" s="39"/>
      <c r="B749" s="39"/>
      <c r="C749" s="39"/>
      <c r="D749" s="39"/>
      <c r="E749" s="39"/>
      <c r="F749" s="39"/>
      <c r="G749" s="39"/>
      <c r="H749" s="39"/>
      <c r="I749" s="39"/>
      <c r="J749" s="39"/>
      <c r="K749" s="39"/>
      <c r="L749" s="39"/>
      <c r="N749" s="216"/>
      <c r="O749" s="216"/>
      <c r="P749" s="39"/>
      <c r="Q749" s="39"/>
      <c r="R749" s="39"/>
    </row>
    <row r="750" spans="1:18" ht="15.75" customHeight="1">
      <c r="A750" s="39"/>
      <c r="B750" s="39"/>
      <c r="C750" s="39"/>
      <c r="D750" s="39"/>
      <c r="E750" s="39"/>
      <c r="F750" s="39"/>
      <c r="G750" s="39"/>
      <c r="H750" s="39"/>
      <c r="I750" s="39"/>
      <c r="J750" s="39"/>
      <c r="K750" s="39"/>
      <c r="L750" s="39"/>
      <c r="N750" s="216"/>
      <c r="O750" s="216"/>
      <c r="P750" s="39"/>
      <c r="Q750" s="39"/>
      <c r="R750" s="39"/>
    </row>
    <row r="751" spans="1:18" ht="15.75" customHeight="1">
      <c r="A751" s="39"/>
      <c r="B751" s="39"/>
      <c r="C751" s="39"/>
      <c r="D751" s="39"/>
      <c r="E751" s="39"/>
      <c r="F751" s="39"/>
      <c r="G751" s="39"/>
      <c r="H751" s="39"/>
      <c r="I751" s="39"/>
      <c r="J751" s="39"/>
      <c r="K751" s="39"/>
      <c r="L751" s="39"/>
      <c r="N751" s="216"/>
      <c r="O751" s="216"/>
      <c r="P751" s="39"/>
      <c r="Q751" s="39"/>
      <c r="R751" s="39"/>
    </row>
    <row r="752" spans="1:18" ht="15.75" customHeight="1">
      <c r="A752" s="39"/>
      <c r="B752" s="39"/>
      <c r="C752" s="39"/>
      <c r="D752" s="39"/>
      <c r="E752" s="39"/>
      <c r="F752" s="39"/>
      <c r="G752" s="39"/>
      <c r="H752" s="39"/>
      <c r="I752" s="39"/>
      <c r="J752" s="39"/>
      <c r="K752" s="39"/>
      <c r="L752" s="39"/>
      <c r="N752" s="216"/>
      <c r="O752" s="216"/>
      <c r="P752" s="39"/>
      <c r="Q752" s="39"/>
      <c r="R752" s="39"/>
    </row>
    <row r="753" spans="1:18" ht="15.75" customHeight="1">
      <c r="A753" s="39"/>
      <c r="B753" s="39"/>
      <c r="C753" s="39"/>
      <c r="D753" s="39"/>
      <c r="E753" s="39"/>
      <c r="F753" s="39"/>
      <c r="G753" s="39"/>
      <c r="H753" s="39"/>
      <c r="I753" s="39"/>
      <c r="J753" s="39"/>
      <c r="K753" s="39"/>
      <c r="L753" s="39"/>
      <c r="N753" s="216"/>
      <c r="O753" s="216"/>
      <c r="P753" s="39"/>
      <c r="Q753" s="39"/>
      <c r="R753" s="39"/>
    </row>
    <row r="754" spans="1:18" ht="15.75" customHeight="1">
      <c r="A754" s="39"/>
      <c r="B754" s="39"/>
      <c r="C754" s="39"/>
      <c r="D754" s="39"/>
      <c r="E754" s="39"/>
      <c r="F754" s="39"/>
      <c r="G754" s="39"/>
      <c r="H754" s="39"/>
      <c r="I754" s="39"/>
      <c r="J754" s="39"/>
      <c r="K754" s="39"/>
      <c r="L754" s="39"/>
      <c r="N754" s="216"/>
      <c r="O754" s="216"/>
      <c r="P754" s="39"/>
      <c r="Q754" s="39"/>
      <c r="R754" s="39"/>
    </row>
    <row r="755" spans="1:18" ht="15.75" customHeight="1">
      <c r="A755" s="39"/>
      <c r="B755" s="39"/>
      <c r="C755" s="39"/>
      <c r="D755" s="39"/>
      <c r="E755" s="39"/>
      <c r="F755" s="39"/>
      <c r="G755" s="39"/>
      <c r="H755" s="39"/>
      <c r="I755" s="39"/>
      <c r="J755" s="39"/>
      <c r="K755" s="39"/>
      <c r="L755" s="39"/>
      <c r="N755" s="216"/>
      <c r="O755" s="216"/>
      <c r="P755" s="39"/>
      <c r="Q755" s="39"/>
      <c r="R755" s="39"/>
    </row>
    <row r="756" spans="1:18" ht="15.75" customHeight="1">
      <c r="A756" s="39"/>
      <c r="B756" s="39"/>
      <c r="C756" s="39"/>
      <c r="D756" s="39"/>
      <c r="E756" s="39"/>
      <c r="F756" s="39"/>
      <c r="G756" s="39"/>
      <c r="H756" s="39"/>
      <c r="I756" s="39"/>
      <c r="J756" s="39"/>
      <c r="K756" s="39"/>
      <c r="L756" s="39"/>
      <c r="N756" s="216"/>
      <c r="O756" s="216"/>
      <c r="P756" s="39"/>
      <c r="Q756" s="39"/>
      <c r="R756" s="39"/>
    </row>
    <row r="757" spans="1:18" ht="15.75" customHeight="1">
      <c r="A757" s="39"/>
      <c r="B757" s="39"/>
      <c r="C757" s="39"/>
      <c r="D757" s="39"/>
      <c r="E757" s="39"/>
      <c r="F757" s="39"/>
      <c r="G757" s="39"/>
      <c r="H757" s="39"/>
      <c r="I757" s="39"/>
      <c r="J757" s="39"/>
      <c r="K757" s="39"/>
      <c r="L757" s="39"/>
      <c r="N757" s="216"/>
      <c r="O757" s="216"/>
      <c r="P757" s="39"/>
      <c r="Q757" s="39"/>
      <c r="R757" s="39"/>
    </row>
    <row r="758" spans="1:18" ht="15.75" customHeight="1">
      <c r="A758" s="39"/>
      <c r="B758" s="39"/>
      <c r="C758" s="39"/>
      <c r="D758" s="39"/>
      <c r="E758" s="39"/>
      <c r="F758" s="39"/>
      <c r="G758" s="39"/>
      <c r="H758" s="39"/>
      <c r="I758" s="39"/>
      <c r="J758" s="39"/>
      <c r="K758" s="39"/>
      <c r="L758" s="39"/>
      <c r="N758" s="216"/>
      <c r="O758" s="216"/>
      <c r="P758" s="39"/>
      <c r="Q758" s="39"/>
      <c r="R758" s="39"/>
    </row>
    <row r="759" spans="1:18" ht="15.75" customHeight="1">
      <c r="A759" s="39"/>
      <c r="B759" s="39"/>
      <c r="C759" s="39"/>
      <c r="D759" s="39"/>
      <c r="E759" s="39"/>
      <c r="F759" s="39"/>
      <c r="G759" s="39"/>
      <c r="H759" s="39"/>
      <c r="I759" s="39"/>
      <c r="J759" s="39"/>
      <c r="K759" s="39"/>
      <c r="L759" s="39"/>
      <c r="N759" s="216"/>
      <c r="O759" s="216"/>
      <c r="P759" s="39"/>
      <c r="Q759" s="39"/>
      <c r="R759" s="39"/>
    </row>
    <row r="760" spans="1:18" ht="15.75" customHeight="1">
      <c r="A760" s="39"/>
      <c r="B760" s="39"/>
      <c r="C760" s="39"/>
      <c r="D760" s="39"/>
      <c r="E760" s="39"/>
      <c r="F760" s="39"/>
      <c r="G760" s="39"/>
      <c r="H760" s="39"/>
      <c r="I760" s="39"/>
      <c r="J760" s="39"/>
      <c r="K760" s="39"/>
      <c r="L760" s="39"/>
      <c r="N760" s="216"/>
      <c r="O760" s="216"/>
      <c r="P760" s="39"/>
      <c r="Q760" s="39"/>
      <c r="R760" s="39"/>
    </row>
    <row r="761" spans="1:18" ht="15.75" customHeight="1">
      <c r="A761" s="39"/>
      <c r="B761" s="39"/>
      <c r="C761" s="39"/>
      <c r="D761" s="39"/>
      <c r="E761" s="39"/>
      <c r="F761" s="39"/>
      <c r="G761" s="39"/>
      <c r="H761" s="39"/>
      <c r="I761" s="39"/>
      <c r="J761" s="39"/>
      <c r="K761" s="39"/>
      <c r="L761" s="39"/>
      <c r="N761" s="216"/>
      <c r="O761" s="216"/>
      <c r="P761" s="39"/>
      <c r="Q761" s="39"/>
      <c r="R761" s="39"/>
    </row>
    <row r="762" spans="1:18" ht="15.75" customHeight="1">
      <c r="A762" s="39"/>
      <c r="B762" s="39"/>
      <c r="C762" s="39"/>
      <c r="D762" s="39"/>
      <c r="E762" s="39"/>
      <c r="F762" s="39"/>
      <c r="G762" s="39"/>
      <c r="H762" s="39"/>
      <c r="I762" s="39"/>
      <c r="J762" s="39"/>
      <c r="K762" s="39"/>
      <c r="L762" s="39"/>
      <c r="N762" s="216"/>
      <c r="O762" s="216"/>
      <c r="P762" s="39"/>
      <c r="Q762" s="39"/>
      <c r="R762" s="39"/>
    </row>
    <row r="763" spans="1:18" ht="15.75" customHeight="1">
      <c r="A763" s="39"/>
      <c r="B763" s="39"/>
      <c r="C763" s="39"/>
      <c r="D763" s="39"/>
      <c r="E763" s="39"/>
      <c r="F763" s="39"/>
      <c r="G763" s="39"/>
      <c r="H763" s="39"/>
      <c r="I763" s="39"/>
      <c r="J763" s="39"/>
      <c r="K763" s="39"/>
      <c r="L763" s="39"/>
      <c r="N763" s="216"/>
      <c r="O763" s="216"/>
      <c r="P763" s="39"/>
      <c r="Q763" s="39"/>
      <c r="R763" s="39"/>
    </row>
    <row r="764" spans="1:18" ht="15.75" customHeight="1">
      <c r="A764" s="39"/>
      <c r="B764" s="39"/>
      <c r="C764" s="39"/>
      <c r="D764" s="39"/>
      <c r="E764" s="39"/>
      <c r="F764" s="39"/>
      <c r="G764" s="39"/>
      <c r="H764" s="39"/>
      <c r="I764" s="39"/>
      <c r="J764" s="39"/>
      <c r="K764" s="39"/>
      <c r="L764" s="39"/>
      <c r="N764" s="216"/>
      <c r="O764" s="216"/>
      <c r="P764" s="39"/>
      <c r="Q764" s="39"/>
      <c r="R764" s="39"/>
    </row>
    <row r="765" spans="1:18" ht="15.75" customHeight="1">
      <c r="A765" s="39"/>
      <c r="B765" s="39"/>
      <c r="C765" s="39"/>
      <c r="D765" s="39"/>
      <c r="E765" s="39"/>
      <c r="F765" s="39"/>
      <c r="G765" s="39"/>
      <c r="H765" s="39"/>
      <c r="I765" s="39"/>
      <c r="J765" s="39"/>
      <c r="K765" s="39"/>
      <c r="L765" s="39"/>
      <c r="N765" s="216"/>
      <c r="O765" s="216"/>
      <c r="P765" s="39"/>
      <c r="Q765" s="39"/>
      <c r="R765" s="39"/>
    </row>
    <row r="766" spans="1:18" ht="15.75" customHeight="1">
      <c r="A766" s="39"/>
      <c r="B766" s="39"/>
      <c r="C766" s="39"/>
      <c r="D766" s="39"/>
      <c r="E766" s="39"/>
      <c r="F766" s="39"/>
      <c r="G766" s="39"/>
      <c r="H766" s="39"/>
      <c r="I766" s="39"/>
      <c r="J766" s="39"/>
      <c r="K766" s="39"/>
      <c r="L766" s="39"/>
      <c r="N766" s="216"/>
      <c r="O766" s="216"/>
      <c r="P766" s="39"/>
      <c r="Q766" s="39"/>
      <c r="R766" s="39"/>
    </row>
    <row r="767" spans="1:18" ht="15.75" customHeight="1">
      <c r="A767" s="39"/>
      <c r="B767" s="39"/>
      <c r="C767" s="39"/>
      <c r="D767" s="39"/>
      <c r="E767" s="39"/>
      <c r="F767" s="39"/>
      <c r="G767" s="39"/>
      <c r="H767" s="39"/>
      <c r="I767" s="39"/>
      <c r="J767" s="39"/>
      <c r="K767" s="39"/>
      <c r="L767" s="39"/>
      <c r="N767" s="216"/>
      <c r="O767" s="216"/>
      <c r="P767" s="39"/>
      <c r="Q767" s="39"/>
      <c r="R767" s="39"/>
    </row>
    <row r="768" spans="1:18" ht="15.75" customHeight="1">
      <c r="A768" s="39"/>
      <c r="B768" s="39"/>
      <c r="C768" s="39"/>
      <c r="D768" s="39"/>
      <c r="E768" s="39"/>
      <c r="F768" s="39"/>
      <c r="G768" s="39"/>
      <c r="H768" s="39"/>
      <c r="I768" s="39"/>
      <c r="J768" s="39"/>
      <c r="K768" s="39"/>
      <c r="L768" s="39"/>
      <c r="N768" s="216"/>
      <c r="O768" s="216"/>
      <c r="P768" s="39"/>
      <c r="Q768" s="39"/>
      <c r="R768" s="39"/>
    </row>
    <row r="769" spans="1:18" ht="15.75" customHeight="1">
      <c r="A769" s="39"/>
      <c r="B769" s="39"/>
      <c r="C769" s="39"/>
      <c r="D769" s="39"/>
      <c r="E769" s="39"/>
      <c r="F769" s="39"/>
      <c r="G769" s="39"/>
      <c r="H769" s="39"/>
      <c r="I769" s="39"/>
      <c r="J769" s="39"/>
      <c r="K769" s="39"/>
      <c r="L769" s="39"/>
      <c r="N769" s="216"/>
      <c r="O769" s="216"/>
      <c r="P769" s="39"/>
      <c r="Q769" s="39"/>
      <c r="R769" s="39"/>
    </row>
    <row r="770" spans="1:18" ht="15.75" customHeight="1">
      <c r="A770" s="39"/>
      <c r="B770" s="39"/>
      <c r="C770" s="39"/>
      <c r="D770" s="39"/>
      <c r="E770" s="39"/>
      <c r="F770" s="39"/>
      <c r="G770" s="39"/>
      <c r="H770" s="39"/>
      <c r="I770" s="39"/>
      <c r="J770" s="39"/>
      <c r="K770" s="39"/>
      <c r="L770" s="39"/>
      <c r="N770" s="216"/>
      <c r="O770" s="216"/>
      <c r="P770" s="39"/>
      <c r="Q770" s="39"/>
      <c r="R770" s="39"/>
    </row>
    <row r="771" spans="1:18" ht="15.75" customHeight="1">
      <c r="A771" s="39"/>
      <c r="B771" s="39"/>
      <c r="C771" s="39"/>
      <c r="D771" s="39"/>
      <c r="E771" s="39"/>
      <c r="F771" s="39"/>
      <c r="G771" s="39"/>
      <c r="H771" s="39"/>
      <c r="I771" s="39"/>
      <c r="J771" s="39"/>
      <c r="K771" s="39"/>
      <c r="L771" s="39"/>
      <c r="N771" s="216"/>
      <c r="O771" s="216"/>
      <c r="P771" s="39"/>
      <c r="Q771" s="39"/>
      <c r="R771" s="39"/>
    </row>
    <row r="772" spans="1:18" ht="15.75" customHeight="1">
      <c r="A772" s="39"/>
      <c r="B772" s="39"/>
      <c r="C772" s="39"/>
      <c r="D772" s="39"/>
      <c r="E772" s="39"/>
      <c r="F772" s="39"/>
      <c r="G772" s="39"/>
      <c r="H772" s="39"/>
      <c r="I772" s="39"/>
      <c r="J772" s="39"/>
      <c r="K772" s="39"/>
      <c r="L772" s="39"/>
      <c r="N772" s="216"/>
      <c r="O772" s="216"/>
      <c r="P772" s="39"/>
      <c r="Q772" s="39"/>
      <c r="R772" s="39"/>
    </row>
    <row r="773" spans="1:18" ht="15.75" customHeight="1">
      <c r="A773" s="39"/>
      <c r="B773" s="39"/>
      <c r="C773" s="39"/>
      <c r="D773" s="39"/>
      <c r="E773" s="39"/>
      <c r="F773" s="39"/>
      <c r="G773" s="39"/>
      <c r="H773" s="39"/>
      <c r="I773" s="39"/>
      <c r="J773" s="39"/>
      <c r="K773" s="39"/>
      <c r="L773" s="39"/>
      <c r="N773" s="216"/>
      <c r="O773" s="216"/>
      <c r="P773" s="39"/>
      <c r="Q773" s="39"/>
      <c r="R773" s="39"/>
    </row>
    <row r="774" spans="1:18" ht="15.75" customHeight="1">
      <c r="A774" s="39"/>
      <c r="B774" s="39"/>
      <c r="C774" s="39"/>
      <c r="D774" s="39"/>
      <c r="E774" s="39"/>
      <c r="F774" s="39"/>
      <c r="G774" s="39"/>
      <c r="H774" s="39"/>
      <c r="I774" s="39"/>
      <c r="J774" s="39"/>
      <c r="K774" s="39"/>
      <c r="L774" s="39"/>
      <c r="N774" s="216"/>
      <c r="O774" s="216"/>
      <c r="P774" s="39"/>
      <c r="Q774" s="39"/>
      <c r="R774" s="39"/>
    </row>
    <row r="775" spans="1:18" ht="15.75" customHeight="1">
      <c r="A775" s="39"/>
      <c r="B775" s="39"/>
      <c r="C775" s="39"/>
      <c r="D775" s="39"/>
      <c r="E775" s="39"/>
      <c r="F775" s="39"/>
      <c r="G775" s="39"/>
      <c r="H775" s="39"/>
      <c r="I775" s="39"/>
      <c r="J775" s="39"/>
      <c r="K775" s="39"/>
      <c r="L775" s="39"/>
      <c r="N775" s="216"/>
      <c r="O775" s="216"/>
      <c r="P775" s="39"/>
      <c r="Q775" s="39"/>
      <c r="R775" s="39"/>
    </row>
    <row r="776" spans="1:18" ht="15.75" customHeight="1">
      <c r="A776" s="39"/>
      <c r="B776" s="39"/>
      <c r="C776" s="39"/>
      <c r="D776" s="39"/>
      <c r="E776" s="39"/>
      <c r="F776" s="39"/>
      <c r="G776" s="39"/>
      <c r="H776" s="39"/>
      <c r="I776" s="39"/>
      <c r="J776" s="39"/>
      <c r="K776" s="39"/>
      <c r="L776" s="39"/>
      <c r="N776" s="216"/>
      <c r="O776" s="216"/>
      <c r="P776" s="39"/>
      <c r="Q776" s="39"/>
      <c r="R776" s="39"/>
    </row>
    <row r="777" spans="1:18" ht="15.75" customHeight="1">
      <c r="A777" s="39"/>
      <c r="B777" s="39"/>
      <c r="C777" s="39"/>
      <c r="D777" s="39"/>
      <c r="E777" s="39"/>
      <c r="F777" s="39"/>
      <c r="G777" s="39"/>
      <c r="H777" s="39"/>
      <c r="I777" s="39"/>
      <c r="J777" s="39"/>
      <c r="K777" s="39"/>
      <c r="L777" s="39"/>
      <c r="N777" s="216"/>
      <c r="O777" s="216"/>
      <c r="P777" s="39"/>
      <c r="Q777" s="39"/>
      <c r="R777" s="39"/>
    </row>
    <row r="778" spans="1:18" ht="15.75" customHeight="1">
      <c r="A778" s="39"/>
      <c r="B778" s="39"/>
      <c r="C778" s="39"/>
      <c r="D778" s="39"/>
      <c r="E778" s="39"/>
      <c r="F778" s="39"/>
      <c r="G778" s="39"/>
      <c r="H778" s="39"/>
      <c r="I778" s="39"/>
      <c r="J778" s="39"/>
      <c r="K778" s="39"/>
      <c r="L778" s="39"/>
      <c r="N778" s="216"/>
      <c r="O778" s="216"/>
      <c r="P778" s="39"/>
      <c r="Q778" s="39"/>
      <c r="R778" s="39"/>
    </row>
    <row r="779" spans="1:18" ht="15.75" customHeight="1">
      <c r="A779" s="39"/>
      <c r="B779" s="39"/>
      <c r="C779" s="39"/>
      <c r="D779" s="39"/>
      <c r="E779" s="39"/>
      <c r="F779" s="39"/>
      <c r="G779" s="39"/>
      <c r="H779" s="39"/>
      <c r="I779" s="39"/>
      <c r="J779" s="39"/>
      <c r="K779" s="39"/>
      <c r="L779" s="39"/>
      <c r="N779" s="216"/>
      <c r="O779" s="216"/>
      <c r="P779" s="39"/>
      <c r="Q779" s="39"/>
      <c r="R779" s="39"/>
    </row>
    <row r="780" spans="1:18" ht="15.75" customHeight="1">
      <c r="A780" s="39"/>
      <c r="B780" s="39"/>
      <c r="C780" s="39"/>
      <c r="D780" s="39"/>
      <c r="E780" s="39"/>
      <c r="F780" s="39"/>
      <c r="G780" s="39"/>
      <c r="H780" s="39"/>
      <c r="I780" s="39"/>
      <c r="J780" s="39"/>
      <c r="K780" s="39"/>
      <c r="L780" s="39"/>
      <c r="N780" s="216"/>
      <c r="O780" s="216"/>
      <c r="P780" s="39"/>
      <c r="Q780" s="39"/>
      <c r="R780" s="39"/>
    </row>
    <row r="781" spans="1:18" ht="15.75" customHeight="1">
      <c r="A781" s="39"/>
      <c r="B781" s="39"/>
      <c r="C781" s="39"/>
      <c r="D781" s="39"/>
      <c r="E781" s="39"/>
      <c r="F781" s="39"/>
      <c r="G781" s="39"/>
      <c r="H781" s="39"/>
      <c r="I781" s="39"/>
      <c r="J781" s="39"/>
      <c r="K781" s="39"/>
      <c r="L781" s="39"/>
      <c r="N781" s="216"/>
      <c r="O781" s="216"/>
      <c r="P781" s="39"/>
      <c r="Q781" s="39"/>
      <c r="R781" s="39"/>
    </row>
    <row r="782" spans="1:18" ht="15.75" customHeight="1">
      <c r="A782" s="39"/>
      <c r="B782" s="39"/>
      <c r="C782" s="39"/>
      <c r="D782" s="39"/>
      <c r="E782" s="39"/>
      <c r="F782" s="39"/>
      <c r="G782" s="39"/>
      <c r="H782" s="39"/>
      <c r="I782" s="39"/>
      <c r="J782" s="39"/>
      <c r="K782" s="39"/>
      <c r="L782" s="39"/>
      <c r="N782" s="216"/>
      <c r="O782" s="216"/>
      <c r="P782" s="39"/>
      <c r="Q782" s="39"/>
      <c r="R782" s="39"/>
    </row>
    <row r="783" spans="1:18" ht="15.75" customHeight="1">
      <c r="A783" s="39"/>
      <c r="B783" s="39"/>
      <c r="C783" s="39"/>
      <c r="D783" s="39"/>
      <c r="E783" s="39"/>
      <c r="F783" s="39"/>
      <c r="G783" s="39"/>
      <c r="H783" s="39"/>
      <c r="I783" s="39"/>
      <c r="J783" s="39"/>
      <c r="K783" s="39"/>
      <c r="L783" s="39"/>
      <c r="N783" s="216"/>
      <c r="O783" s="216"/>
      <c r="P783" s="39"/>
      <c r="Q783" s="39"/>
      <c r="R783" s="39"/>
    </row>
    <row r="784" spans="1:18" ht="15.75" customHeight="1">
      <c r="A784" s="39"/>
      <c r="B784" s="39"/>
      <c r="C784" s="39"/>
      <c r="D784" s="39"/>
      <c r="E784" s="39"/>
      <c r="F784" s="39"/>
      <c r="G784" s="39"/>
      <c r="H784" s="39"/>
      <c r="I784" s="39"/>
      <c r="J784" s="39"/>
      <c r="K784" s="39"/>
      <c r="L784" s="39"/>
      <c r="N784" s="216"/>
      <c r="O784" s="216"/>
      <c r="P784" s="39"/>
      <c r="Q784" s="39"/>
      <c r="R784" s="39"/>
    </row>
    <row r="785" spans="1:18" ht="15.75" customHeight="1">
      <c r="A785" s="39"/>
      <c r="B785" s="39"/>
      <c r="C785" s="39"/>
      <c r="D785" s="39"/>
      <c r="E785" s="39"/>
      <c r="F785" s="39"/>
      <c r="G785" s="39"/>
      <c r="H785" s="39"/>
      <c r="I785" s="39"/>
      <c r="J785" s="39"/>
      <c r="K785" s="39"/>
      <c r="L785" s="39"/>
      <c r="N785" s="216"/>
      <c r="O785" s="216"/>
      <c r="P785" s="39"/>
      <c r="Q785" s="39"/>
      <c r="R785" s="39"/>
    </row>
    <row r="786" spans="1:18" ht="15.75" customHeight="1">
      <c r="A786" s="39"/>
      <c r="B786" s="39"/>
      <c r="C786" s="39"/>
      <c r="D786" s="39"/>
      <c r="E786" s="39"/>
      <c r="F786" s="39"/>
      <c r="G786" s="39"/>
      <c r="H786" s="39"/>
      <c r="I786" s="39"/>
      <c r="J786" s="39"/>
      <c r="K786" s="39"/>
      <c r="L786" s="39"/>
      <c r="N786" s="216"/>
      <c r="O786" s="216"/>
      <c r="P786" s="39"/>
      <c r="Q786" s="39"/>
      <c r="R786" s="39"/>
    </row>
    <row r="787" spans="1:18" ht="15.75" customHeight="1">
      <c r="A787" s="39"/>
      <c r="B787" s="39"/>
      <c r="C787" s="39"/>
      <c r="D787" s="39"/>
      <c r="E787" s="39"/>
      <c r="F787" s="39"/>
      <c r="G787" s="39"/>
      <c r="H787" s="39"/>
      <c r="I787" s="39"/>
      <c r="J787" s="39"/>
      <c r="K787" s="39"/>
      <c r="L787" s="39"/>
      <c r="N787" s="216"/>
      <c r="O787" s="216"/>
      <c r="P787" s="39"/>
      <c r="Q787" s="39"/>
      <c r="R787" s="39"/>
    </row>
    <row r="788" spans="1:18" ht="15.75" customHeight="1">
      <c r="A788" s="39"/>
      <c r="B788" s="39"/>
      <c r="C788" s="39"/>
      <c r="D788" s="39"/>
      <c r="E788" s="39"/>
      <c r="F788" s="39"/>
      <c r="G788" s="39"/>
      <c r="H788" s="39"/>
      <c r="I788" s="39"/>
      <c r="J788" s="39"/>
      <c r="K788" s="39"/>
      <c r="L788" s="39"/>
      <c r="N788" s="216"/>
      <c r="O788" s="216"/>
      <c r="P788" s="39"/>
      <c r="Q788" s="39"/>
      <c r="R788" s="39"/>
    </row>
    <row r="789" spans="1:18" ht="15.75" customHeight="1">
      <c r="A789" s="39"/>
      <c r="B789" s="39"/>
      <c r="C789" s="39"/>
      <c r="D789" s="39"/>
      <c r="E789" s="39"/>
      <c r="F789" s="39"/>
      <c r="G789" s="39"/>
      <c r="H789" s="39"/>
      <c r="I789" s="39"/>
      <c r="J789" s="39"/>
      <c r="K789" s="39"/>
      <c r="L789" s="39"/>
      <c r="N789" s="216"/>
      <c r="O789" s="216"/>
      <c r="P789" s="39"/>
      <c r="Q789" s="39"/>
      <c r="R789" s="39"/>
    </row>
    <row r="790" spans="1:18" ht="15.75" customHeight="1">
      <c r="A790" s="39"/>
      <c r="B790" s="39"/>
      <c r="C790" s="39"/>
      <c r="D790" s="39"/>
      <c r="E790" s="39"/>
      <c r="F790" s="39"/>
      <c r="G790" s="39"/>
      <c r="H790" s="39"/>
      <c r="I790" s="39"/>
      <c r="J790" s="39"/>
      <c r="K790" s="39"/>
      <c r="L790" s="39"/>
      <c r="N790" s="216"/>
      <c r="O790" s="216"/>
      <c r="P790" s="39"/>
      <c r="Q790" s="39"/>
      <c r="R790" s="39"/>
    </row>
    <row r="791" spans="1:18" ht="15.75" customHeight="1">
      <c r="A791" s="39"/>
      <c r="B791" s="39"/>
      <c r="C791" s="39"/>
      <c r="D791" s="39"/>
      <c r="E791" s="39"/>
      <c r="F791" s="39"/>
      <c r="G791" s="39"/>
      <c r="H791" s="39"/>
      <c r="I791" s="39"/>
      <c r="J791" s="39"/>
      <c r="K791" s="39"/>
      <c r="L791" s="39"/>
      <c r="N791" s="216"/>
      <c r="O791" s="216"/>
      <c r="P791" s="39"/>
      <c r="Q791" s="39"/>
      <c r="R791" s="39"/>
    </row>
    <row r="792" spans="1:18" ht="15.75" customHeight="1">
      <c r="A792" s="39"/>
      <c r="B792" s="39"/>
      <c r="C792" s="39"/>
      <c r="D792" s="39"/>
      <c r="E792" s="39"/>
      <c r="F792" s="39"/>
      <c r="G792" s="39"/>
      <c r="H792" s="39"/>
      <c r="I792" s="39"/>
      <c r="J792" s="39"/>
      <c r="K792" s="39"/>
      <c r="L792" s="39"/>
      <c r="N792" s="216"/>
      <c r="O792" s="216"/>
      <c r="P792" s="39"/>
      <c r="Q792" s="39"/>
      <c r="R792" s="39"/>
    </row>
    <row r="793" spans="1:18" ht="15.75" customHeight="1">
      <c r="A793" s="39"/>
      <c r="B793" s="39"/>
      <c r="C793" s="39"/>
      <c r="D793" s="39"/>
      <c r="E793" s="39"/>
      <c r="F793" s="39"/>
      <c r="G793" s="39"/>
      <c r="H793" s="39"/>
      <c r="I793" s="39"/>
      <c r="J793" s="39"/>
      <c r="K793" s="39"/>
      <c r="L793" s="39"/>
      <c r="N793" s="216"/>
      <c r="O793" s="216"/>
      <c r="P793" s="39"/>
      <c r="Q793" s="39"/>
      <c r="R793" s="39"/>
    </row>
    <row r="794" spans="1:18" ht="15.75" customHeight="1">
      <c r="A794" s="39"/>
      <c r="B794" s="39"/>
      <c r="C794" s="39"/>
      <c r="D794" s="39"/>
      <c r="E794" s="39"/>
      <c r="F794" s="39"/>
      <c r="G794" s="39"/>
      <c r="H794" s="39"/>
      <c r="I794" s="39"/>
      <c r="J794" s="39"/>
      <c r="K794" s="39"/>
      <c r="L794" s="39"/>
      <c r="N794" s="216"/>
      <c r="O794" s="216"/>
      <c r="P794" s="39"/>
      <c r="Q794" s="39"/>
      <c r="R794" s="39"/>
    </row>
    <row r="795" spans="1:18" ht="15.75" customHeight="1">
      <c r="A795" s="39"/>
      <c r="B795" s="39"/>
      <c r="C795" s="39"/>
      <c r="D795" s="39"/>
      <c r="E795" s="39"/>
      <c r="F795" s="39"/>
      <c r="G795" s="39"/>
      <c r="H795" s="39"/>
      <c r="I795" s="39"/>
      <c r="J795" s="39"/>
      <c r="K795" s="39"/>
      <c r="L795" s="39"/>
      <c r="N795" s="216"/>
      <c r="O795" s="216"/>
      <c r="P795" s="39"/>
      <c r="Q795" s="39"/>
      <c r="R795" s="39"/>
    </row>
    <row r="796" spans="1:18" ht="15.75" customHeight="1">
      <c r="A796" s="39"/>
      <c r="B796" s="39"/>
      <c r="C796" s="39"/>
      <c r="D796" s="39"/>
      <c r="E796" s="39"/>
      <c r="F796" s="39"/>
      <c r="G796" s="39"/>
      <c r="H796" s="39"/>
      <c r="I796" s="39"/>
      <c r="J796" s="39"/>
      <c r="K796" s="39"/>
      <c r="L796" s="39"/>
      <c r="N796" s="216"/>
      <c r="O796" s="216"/>
      <c r="P796" s="39"/>
      <c r="Q796" s="39"/>
      <c r="R796" s="39"/>
    </row>
    <row r="797" spans="1:18" ht="15.75" customHeight="1">
      <c r="A797" s="39"/>
      <c r="B797" s="39"/>
      <c r="C797" s="39"/>
      <c r="D797" s="39"/>
      <c r="E797" s="39"/>
      <c r="F797" s="39"/>
      <c r="G797" s="39"/>
      <c r="H797" s="39"/>
      <c r="I797" s="39"/>
      <c r="J797" s="39"/>
      <c r="K797" s="39"/>
      <c r="L797" s="39"/>
      <c r="N797" s="216"/>
      <c r="O797" s="216"/>
      <c r="P797" s="39"/>
      <c r="Q797" s="39"/>
      <c r="R797" s="39"/>
    </row>
    <row r="798" spans="1:18" ht="15.75" customHeight="1">
      <c r="A798" s="39"/>
      <c r="B798" s="39"/>
      <c r="C798" s="39"/>
      <c r="D798" s="39"/>
      <c r="E798" s="39"/>
      <c r="F798" s="39"/>
      <c r="G798" s="39"/>
      <c r="H798" s="39"/>
      <c r="I798" s="39"/>
      <c r="J798" s="39"/>
      <c r="K798" s="39"/>
      <c r="L798" s="39"/>
      <c r="N798" s="216"/>
      <c r="O798" s="216"/>
      <c r="P798" s="39"/>
      <c r="Q798" s="39"/>
      <c r="R798" s="39"/>
    </row>
    <row r="799" spans="1:18" ht="15.75" customHeight="1">
      <c r="A799" s="39"/>
      <c r="B799" s="39"/>
      <c r="C799" s="39"/>
      <c r="D799" s="39"/>
      <c r="E799" s="39"/>
      <c r="F799" s="39"/>
      <c r="G799" s="39"/>
      <c r="H799" s="39"/>
      <c r="I799" s="39"/>
      <c r="J799" s="39"/>
      <c r="K799" s="39"/>
      <c r="L799" s="39"/>
      <c r="N799" s="216"/>
      <c r="O799" s="216"/>
      <c r="P799" s="39"/>
      <c r="Q799" s="39"/>
      <c r="R799" s="39"/>
    </row>
    <row r="800" spans="1:18" ht="15.75" customHeight="1">
      <c r="A800" s="39"/>
      <c r="B800" s="39"/>
      <c r="C800" s="39"/>
      <c r="D800" s="39"/>
      <c r="E800" s="39"/>
      <c r="F800" s="39"/>
      <c r="G800" s="39"/>
      <c r="H800" s="39"/>
      <c r="I800" s="39"/>
      <c r="J800" s="39"/>
      <c r="K800" s="39"/>
      <c r="L800" s="39"/>
      <c r="N800" s="216"/>
      <c r="O800" s="216"/>
      <c r="P800" s="39"/>
      <c r="Q800" s="39"/>
      <c r="R800" s="39"/>
    </row>
    <row r="801" spans="1:18" ht="15.75" customHeight="1">
      <c r="A801" s="39"/>
      <c r="B801" s="39"/>
      <c r="C801" s="39"/>
      <c r="D801" s="39"/>
      <c r="E801" s="39"/>
      <c r="F801" s="39"/>
      <c r="G801" s="39"/>
      <c r="H801" s="39"/>
      <c r="I801" s="39"/>
      <c r="J801" s="39"/>
      <c r="K801" s="39"/>
      <c r="L801" s="39"/>
      <c r="N801" s="216"/>
      <c r="O801" s="216"/>
      <c r="P801" s="39"/>
      <c r="Q801" s="39"/>
      <c r="R801" s="39"/>
    </row>
    <row r="802" spans="1:18" ht="15.75" customHeight="1">
      <c r="A802" s="39"/>
      <c r="B802" s="39"/>
      <c r="C802" s="39"/>
      <c r="D802" s="39"/>
      <c r="E802" s="39"/>
      <c r="F802" s="39"/>
      <c r="G802" s="39"/>
      <c r="H802" s="39"/>
      <c r="I802" s="39"/>
      <c r="J802" s="39"/>
      <c r="K802" s="39"/>
      <c r="L802" s="39"/>
      <c r="N802" s="216"/>
      <c r="O802" s="216"/>
      <c r="P802" s="39"/>
      <c r="Q802" s="39"/>
      <c r="R802" s="39"/>
    </row>
    <row r="803" spans="1:18" ht="15.75" customHeight="1">
      <c r="A803" s="39"/>
      <c r="B803" s="39"/>
      <c r="C803" s="39"/>
      <c r="D803" s="39"/>
      <c r="E803" s="39"/>
      <c r="F803" s="39"/>
      <c r="G803" s="39"/>
      <c r="H803" s="39"/>
      <c r="I803" s="39"/>
      <c r="J803" s="39"/>
      <c r="K803" s="39"/>
      <c r="L803" s="39"/>
      <c r="N803" s="216"/>
      <c r="O803" s="216"/>
      <c r="P803" s="39"/>
      <c r="Q803" s="39"/>
      <c r="R803" s="39"/>
    </row>
    <row r="804" spans="1:18" ht="15.75" customHeight="1">
      <c r="A804" s="39"/>
      <c r="B804" s="39"/>
      <c r="C804" s="39"/>
      <c r="D804" s="39"/>
      <c r="E804" s="39"/>
      <c r="F804" s="39"/>
      <c r="G804" s="39"/>
      <c r="H804" s="39"/>
      <c r="I804" s="39"/>
      <c r="J804" s="39"/>
      <c r="K804" s="39"/>
      <c r="L804" s="39"/>
      <c r="N804" s="216"/>
      <c r="O804" s="216"/>
      <c r="P804" s="39"/>
      <c r="Q804" s="39"/>
      <c r="R804" s="39"/>
    </row>
    <row r="805" spans="1:18" ht="15.75" customHeight="1">
      <c r="A805" s="39"/>
      <c r="B805" s="39"/>
      <c r="C805" s="39"/>
      <c r="D805" s="39"/>
      <c r="E805" s="39"/>
      <c r="F805" s="39"/>
      <c r="G805" s="39"/>
      <c r="H805" s="39"/>
      <c r="I805" s="39"/>
      <c r="J805" s="39"/>
      <c r="K805" s="39"/>
      <c r="L805" s="39"/>
      <c r="N805" s="216"/>
      <c r="O805" s="216"/>
      <c r="P805" s="39"/>
      <c r="Q805" s="39"/>
      <c r="R805" s="39"/>
    </row>
    <row r="806" spans="1:18" ht="15.75" customHeight="1">
      <c r="A806" s="39"/>
      <c r="B806" s="39"/>
      <c r="C806" s="39"/>
      <c r="D806" s="39"/>
      <c r="E806" s="39"/>
      <c r="F806" s="39"/>
      <c r="G806" s="39"/>
      <c r="H806" s="39"/>
      <c r="I806" s="39"/>
      <c r="J806" s="39"/>
      <c r="K806" s="39"/>
      <c r="L806" s="39"/>
      <c r="N806" s="216"/>
      <c r="O806" s="216"/>
      <c r="P806" s="39"/>
      <c r="Q806" s="39"/>
      <c r="R806" s="39"/>
    </row>
    <row r="807" spans="1:18" ht="15.75" customHeight="1">
      <c r="A807" s="39"/>
      <c r="B807" s="39"/>
      <c r="C807" s="39"/>
      <c r="D807" s="39"/>
      <c r="E807" s="39"/>
      <c r="F807" s="39"/>
      <c r="G807" s="39"/>
      <c r="H807" s="39"/>
      <c r="I807" s="39"/>
      <c r="J807" s="39"/>
      <c r="K807" s="39"/>
      <c r="L807" s="39"/>
      <c r="N807" s="216"/>
      <c r="O807" s="216"/>
      <c r="P807" s="39"/>
      <c r="Q807" s="39"/>
      <c r="R807" s="39"/>
    </row>
    <row r="808" spans="1:18" ht="15.75" customHeight="1">
      <c r="A808" s="39"/>
      <c r="B808" s="39"/>
      <c r="C808" s="39"/>
      <c r="D808" s="39"/>
      <c r="E808" s="39"/>
      <c r="F808" s="39"/>
      <c r="G808" s="39"/>
      <c r="H808" s="39"/>
      <c r="I808" s="39"/>
      <c r="J808" s="39"/>
      <c r="K808" s="39"/>
      <c r="L808" s="39"/>
      <c r="N808" s="216"/>
      <c r="O808" s="216"/>
      <c r="P808" s="39"/>
      <c r="Q808" s="39"/>
      <c r="R808" s="39"/>
    </row>
    <row r="809" spans="1:18" ht="15.75" customHeight="1">
      <c r="A809" s="39"/>
      <c r="B809" s="39"/>
      <c r="C809" s="39"/>
      <c r="D809" s="39"/>
      <c r="E809" s="39"/>
      <c r="F809" s="39"/>
      <c r="G809" s="39"/>
      <c r="H809" s="39"/>
      <c r="I809" s="39"/>
      <c r="J809" s="39"/>
      <c r="K809" s="39"/>
      <c r="L809" s="39"/>
      <c r="N809" s="216"/>
      <c r="O809" s="216"/>
      <c r="P809" s="39"/>
      <c r="Q809" s="39"/>
      <c r="R809" s="39"/>
    </row>
    <row r="810" spans="1:18" ht="15.75" customHeight="1">
      <c r="A810" s="39"/>
      <c r="B810" s="39"/>
      <c r="C810" s="39"/>
      <c r="D810" s="39"/>
      <c r="E810" s="39"/>
      <c r="F810" s="39"/>
      <c r="G810" s="39"/>
      <c r="H810" s="39"/>
      <c r="I810" s="39"/>
      <c r="J810" s="39"/>
      <c r="K810" s="39"/>
      <c r="L810" s="39"/>
      <c r="N810" s="216"/>
      <c r="O810" s="216"/>
      <c r="P810" s="39"/>
      <c r="Q810" s="39"/>
      <c r="R810" s="39"/>
    </row>
    <row r="811" spans="1:18" ht="15.75" customHeight="1">
      <c r="A811" s="39"/>
      <c r="B811" s="39"/>
      <c r="C811" s="39"/>
      <c r="D811" s="39"/>
      <c r="E811" s="39"/>
      <c r="F811" s="39"/>
      <c r="G811" s="39"/>
      <c r="H811" s="39"/>
      <c r="I811" s="39"/>
      <c r="J811" s="39"/>
      <c r="K811" s="39"/>
      <c r="L811" s="39"/>
      <c r="N811" s="216"/>
      <c r="O811" s="216"/>
      <c r="P811" s="39"/>
      <c r="Q811" s="39"/>
      <c r="R811" s="39"/>
    </row>
    <row r="812" spans="1:18" ht="15.75" customHeight="1">
      <c r="A812" s="39"/>
      <c r="B812" s="39"/>
      <c r="C812" s="39"/>
      <c r="D812" s="39"/>
      <c r="E812" s="39"/>
      <c r="F812" s="39"/>
      <c r="G812" s="39"/>
      <c r="H812" s="39"/>
      <c r="I812" s="39"/>
      <c r="J812" s="39"/>
      <c r="K812" s="39"/>
      <c r="L812" s="39"/>
      <c r="N812" s="216"/>
      <c r="O812" s="216"/>
      <c r="P812" s="39"/>
      <c r="Q812" s="39"/>
      <c r="R812" s="39"/>
    </row>
    <row r="813" spans="1:18" ht="15.75" customHeight="1">
      <c r="A813" s="39"/>
      <c r="B813" s="39"/>
      <c r="C813" s="39"/>
      <c r="D813" s="39"/>
      <c r="E813" s="39"/>
      <c r="F813" s="39"/>
      <c r="G813" s="39"/>
      <c r="H813" s="39"/>
      <c r="I813" s="39"/>
      <c r="J813" s="39"/>
      <c r="K813" s="39"/>
      <c r="L813" s="39"/>
      <c r="N813" s="216"/>
      <c r="O813" s="216"/>
      <c r="P813" s="39"/>
      <c r="Q813" s="39"/>
      <c r="R813" s="39"/>
    </row>
    <row r="814" spans="1:18" ht="15.75" customHeight="1">
      <c r="A814" s="39"/>
      <c r="B814" s="39"/>
      <c r="C814" s="39"/>
      <c r="D814" s="39"/>
      <c r="E814" s="39"/>
      <c r="F814" s="39"/>
      <c r="G814" s="39"/>
      <c r="H814" s="39"/>
      <c r="I814" s="39"/>
      <c r="J814" s="39"/>
      <c r="K814" s="39"/>
      <c r="L814" s="39"/>
      <c r="N814" s="216"/>
      <c r="O814" s="216"/>
      <c r="P814" s="39"/>
      <c r="Q814" s="39"/>
      <c r="R814" s="39"/>
    </row>
    <row r="815" spans="1:18" ht="15.75" customHeight="1">
      <c r="A815" s="39"/>
      <c r="B815" s="39"/>
      <c r="C815" s="39"/>
      <c r="D815" s="39"/>
      <c r="E815" s="39"/>
      <c r="F815" s="39"/>
      <c r="G815" s="39"/>
      <c r="H815" s="39"/>
      <c r="I815" s="39"/>
      <c r="J815" s="39"/>
      <c r="K815" s="39"/>
      <c r="L815" s="39"/>
      <c r="N815" s="216"/>
      <c r="O815" s="216"/>
      <c r="P815" s="39"/>
      <c r="Q815" s="39"/>
      <c r="R815" s="39"/>
    </row>
    <row r="816" spans="1:18" ht="15.75" customHeight="1">
      <c r="A816" s="39"/>
      <c r="B816" s="39"/>
      <c r="C816" s="39"/>
      <c r="D816" s="39"/>
      <c r="E816" s="39"/>
      <c r="F816" s="39"/>
      <c r="G816" s="39"/>
      <c r="H816" s="39"/>
      <c r="I816" s="39"/>
      <c r="J816" s="39"/>
      <c r="K816" s="39"/>
      <c r="L816" s="39"/>
      <c r="N816" s="216"/>
      <c r="O816" s="216"/>
      <c r="P816" s="39"/>
      <c r="Q816" s="39"/>
      <c r="R816" s="39"/>
    </row>
    <row r="817" spans="1:18" ht="15.75" customHeight="1">
      <c r="A817" s="39"/>
      <c r="B817" s="39"/>
      <c r="C817" s="39"/>
      <c r="D817" s="39"/>
      <c r="E817" s="39"/>
      <c r="F817" s="39"/>
      <c r="G817" s="39"/>
      <c r="H817" s="39"/>
      <c r="I817" s="39"/>
      <c r="J817" s="39"/>
      <c r="K817" s="39"/>
      <c r="L817" s="39"/>
      <c r="N817" s="216"/>
      <c r="O817" s="216"/>
      <c r="P817" s="39"/>
      <c r="Q817" s="39"/>
      <c r="R817" s="39"/>
    </row>
    <row r="818" spans="1:18" ht="15.75" customHeight="1">
      <c r="A818" s="39"/>
      <c r="B818" s="39"/>
      <c r="C818" s="39"/>
      <c r="D818" s="39"/>
      <c r="E818" s="39"/>
      <c r="F818" s="39"/>
      <c r="G818" s="39"/>
      <c r="H818" s="39"/>
      <c r="I818" s="39"/>
      <c r="J818" s="39"/>
      <c r="K818" s="39"/>
      <c r="L818" s="39"/>
      <c r="N818" s="216"/>
      <c r="O818" s="216"/>
      <c r="P818" s="39"/>
      <c r="Q818" s="39"/>
      <c r="R818" s="39"/>
    </row>
    <row r="819" spans="1:18" ht="15.75" customHeight="1">
      <c r="A819" s="39"/>
      <c r="B819" s="39"/>
      <c r="C819" s="39"/>
      <c r="D819" s="39"/>
      <c r="E819" s="39"/>
      <c r="F819" s="39"/>
      <c r="G819" s="39"/>
      <c r="H819" s="39"/>
      <c r="I819" s="39"/>
      <c r="J819" s="39"/>
      <c r="K819" s="39"/>
      <c r="L819" s="39"/>
      <c r="N819" s="216"/>
      <c r="O819" s="216"/>
      <c r="P819" s="39"/>
      <c r="Q819" s="39"/>
      <c r="R819" s="39"/>
    </row>
    <row r="820" spans="1:18" ht="15.75" customHeight="1">
      <c r="A820" s="39"/>
      <c r="B820" s="39"/>
      <c r="C820" s="39"/>
      <c r="D820" s="39"/>
      <c r="E820" s="39"/>
      <c r="F820" s="39"/>
      <c r="G820" s="39"/>
      <c r="H820" s="39"/>
      <c r="I820" s="39"/>
      <c r="J820" s="39"/>
      <c r="K820" s="39"/>
      <c r="L820" s="39"/>
      <c r="N820" s="216"/>
      <c r="O820" s="216"/>
      <c r="P820" s="39"/>
      <c r="Q820" s="39"/>
      <c r="R820" s="39"/>
    </row>
    <row r="821" spans="1:18" ht="15.75" customHeight="1">
      <c r="A821" s="39"/>
      <c r="B821" s="39"/>
      <c r="C821" s="39"/>
      <c r="D821" s="39"/>
      <c r="E821" s="39"/>
      <c r="F821" s="39"/>
      <c r="G821" s="39"/>
      <c r="H821" s="39"/>
      <c r="I821" s="39"/>
      <c r="J821" s="39"/>
      <c r="K821" s="39"/>
      <c r="L821" s="39"/>
      <c r="N821" s="216"/>
      <c r="O821" s="216"/>
      <c r="P821" s="39"/>
      <c r="Q821" s="39"/>
      <c r="R821" s="39"/>
    </row>
    <row r="822" spans="1:18" ht="15.75" customHeight="1">
      <c r="A822" s="39"/>
      <c r="B822" s="39"/>
      <c r="C822" s="39"/>
      <c r="D822" s="39"/>
      <c r="E822" s="39"/>
      <c r="F822" s="39"/>
      <c r="G822" s="39"/>
      <c r="H822" s="39"/>
      <c r="I822" s="39"/>
      <c r="J822" s="39"/>
      <c r="K822" s="39"/>
      <c r="L822" s="39"/>
      <c r="N822" s="216"/>
      <c r="O822" s="216"/>
      <c r="P822" s="39"/>
      <c r="Q822" s="39"/>
      <c r="R822" s="39"/>
    </row>
    <row r="823" spans="1:18" ht="15.75" customHeight="1">
      <c r="A823" s="39"/>
      <c r="B823" s="39"/>
      <c r="C823" s="39"/>
      <c r="D823" s="39"/>
      <c r="E823" s="39"/>
      <c r="F823" s="39"/>
      <c r="G823" s="39"/>
      <c r="H823" s="39"/>
      <c r="I823" s="39"/>
      <c r="J823" s="39"/>
      <c r="K823" s="39"/>
      <c r="L823" s="39"/>
      <c r="N823" s="216"/>
      <c r="O823" s="216"/>
      <c r="P823" s="39"/>
      <c r="Q823" s="39"/>
      <c r="R823" s="39"/>
    </row>
    <row r="824" spans="1:18" ht="15.75" customHeight="1">
      <c r="A824" s="39"/>
      <c r="B824" s="39"/>
      <c r="C824" s="39"/>
      <c r="D824" s="39"/>
      <c r="E824" s="39"/>
      <c r="F824" s="39"/>
      <c r="G824" s="39"/>
      <c r="H824" s="39"/>
      <c r="I824" s="39"/>
      <c r="J824" s="39"/>
      <c r="K824" s="39"/>
      <c r="L824" s="39"/>
      <c r="N824" s="216"/>
      <c r="O824" s="216"/>
      <c r="P824" s="39"/>
      <c r="Q824" s="39"/>
      <c r="R824" s="39"/>
    </row>
    <row r="825" spans="1:18" ht="15.75" customHeight="1">
      <c r="A825" s="39"/>
      <c r="B825" s="39"/>
      <c r="C825" s="39"/>
      <c r="D825" s="39"/>
      <c r="E825" s="39"/>
      <c r="F825" s="39"/>
      <c r="G825" s="39"/>
      <c r="H825" s="39"/>
      <c r="I825" s="39"/>
      <c r="J825" s="39"/>
      <c r="K825" s="39"/>
      <c r="L825" s="39"/>
      <c r="N825" s="216"/>
      <c r="O825" s="216"/>
      <c r="P825" s="39"/>
      <c r="Q825" s="39"/>
      <c r="R825" s="39"/>
    </row>
    <row r="826" spans="1:18" ht="15.75" customHeight="1">
      <c r="A826" s="39"/>
      <c r="B826" s="39"/>
      <c r="C826" s="39"/>
      <c r="D826" s="39"/>
      <c r="E826" s="39"/>
      <c r="F826" s="39"/>
      <c r="G826" s="39"/>
      <c r="H826" s="39"/>
      <c r="I826" s="39"/>
      <c r="J826" s="39"/>
      <c r="K826" s="39"/>
      <c r="L826" s="39"/>
      <c r="N826" s="216"/>
      <c r="O826" s="216"/>
      <c r="P826" s="39"/>
      <c r="Q826" s="39"/>
      <c r="R826" s="39"/>
    </row>
    <row r="827" spans="1:18" ht="15.75" customHeight="1">
      <c r="A827" s="39"/>
      <c r="B827" s="39"/>
      <c r="C827" s="39"/>
      <c r="D827" s="39"/>
      <c r="E827" s="39"/>
      <c r="F827" s="39"/>
      <c r="G827" s="39"/>
      <c r="H827" s="39"/>
      <c r="I827" s="39"/>
      <c r="J827" s="39"/>
      <c r="K827" s="39"/>
      <c r="L827" s="39"/>
      <c r="N827" s="216"/>
      <c r="O827" s="216"/>
      <c r="P827" s="39"/>
      <c r="Q827" s="39"/>
      <c r="R827" s="39"/>
    </row>
    <row r="828" spans="1:18" ht="15.75" customHeight="1">
      <c r="A828" s="39"/>
      <c r="B828" s="39"/>
      <c r="C828" s="39"/>
      <c r="D828" s="39"/>
      <c r="E828" s="39"/>
      <c r="F828" s="39"/>
      <c r="G828" s="39"/>
      <c r="H828" s="39"/>
      <c r="I828" s="39"/>
      <c r="J828" s="39"/>
      <c r="K828" s="39"/>
      <c r="L828" s="39"/>
      <c r="N828" s="216"/>
      <c r="O828" s="216"/>
      <c r="P828" s="39"/>
      <c r="Q828" s="39"/>
      <c r="R828" s="39"/>
    </row>
    <row r="829" spans="1:18" ht="15.75" customHeight="1">
      <c r="A829" s="39"/>
      <c r="B829" s="39"/>
      <c r="C829" s="39"/>
      <c r="D829" s="39"/>
      <c r="E829" s="39"/>
      <c r="F829" s="39"/>
      <c r="G829" s="39"/>
      <c r="H829" s="39"/>
      <c r="I829" s="39"/>
      <c r="J829" s="39"/>
      <c r="K829" s="39"/>
      <c r="L829" s="39"/>
      <c r="N829" s="216"/>
      <c r="O829" s="216"/>
      <c r="P829" s="39"/>
      <c r="Q829" s="39"/>
      <c r="R829" s="39"/>
    </row>
    <row r="830" spans="1:18" ht="15.75" customHeight="1">
      <c r="A830" s="39"/>
      <c r="B830" s="39"/>
      <c r="C830" s="39"/>
      <c r="D830" s="39"/>
      <c r="E830" s="39"/>
      <c r="F830" s="39"/>
      <c r="G830" s="39"/>
      <c r="H830" s="39"/>
      <c r="I830" s="39"/>
      <c r="J830" s="39"/>
      <c r="K830" s="39"/>
      <c r="L830" s="39"/>
      <c r="N830" s="216"/>
      <c r="O830" s="216"/>
      <c r="P830" s="39"/>
      <c r="Q830" s="39"/>
      <c r="R830" s="39"/>
    </row>
    <row r="831" spans="1:18" ht="15.75" customHeight="1">
      <c r="A831" s="39"/>
      <c r="B831" s="39"/>
      <c r="C831" s="39"/>
      <c r="D831" s="39"/>
      <c r="E831" s="39"/>
      <c r="F831" s="39"/>
      <c r="G831" s="39"/>
      <c r="H831" s="39"/>
      <c r="I831" s="39"/>
      <c r="J831" s="39"/>
      <c r="K831" s="39"/>
      <c r="L831" s="39"/>
      <c r="N831" s="216"/>
      <c r="O831" s="216"/>
      <c r="P831" s="39"/>
      <c r="Q831" s="39"/>
      <c r="R831" s="39"/>
    </row>
    <row r="832" spans="1:18" ht="15.75" customHeight="1">
      <c r="A832" s="39"/>
      <c r="B832" s="39"/>
      <c r="C832" s="39"/>
      <c r="D832" s="39"/>
      <c r="E832" s="39"/>
      <c r="F832" s="39"/>
      <c r="G832" s="39"/>
      <c r="H832" s="39"/>
      <c r="I832" s="39"/>
      <c r="J832" s="39"/>
      <c r="K832" s="39"/>
      <c r="L832" s="39"/>
      <c r="N832" s="216"/>
      <c r="O832" s="216"/>
      <c r="P832" s="39"/>
      <c r="Q832" s="39"/>
      <c r="R832" s="39"/>
    </row>
    <row r="833" spans="1:18" ht="15.75" customHeight="1">
      <c r="A833" s="39"/>
      <c r="B833" s="39"/>
      <c r="C833" s="39"/>
      <c r="D833" s="39"/>
      <c r="E833" s="39"/>
      <c r="F833" s="39"/>
      <c r="G833" s="39"/>
      <c r="H833" s="39"/>
      <c r="I833" s="39"/>
      <c r="J833" s="39"/>
      <c r="K833" s="39"/>
      <c r="L833" s="39"/>
      <c r="N833" s="216"/>
      <c r="O833" s="216"/>
      <c r="P833" s="39"/>
      <c r="Q833" s="39"/>
      <c r="R833" s="39"/>
    </row>
    <row r="834" spans="1:18" ht="15.75" customHeight="1">
      <c r="A834" s="39"/>
      <c r="B834" s="39"/>
      <c r="C834" s="39"/>
      <c r="D834" s="39"/>
      <c r="E834" s="39"/>
      <c r="F834" s="39"/>
      <c r="G834" s="39"/>
      <c r="H834" s="39"/>
      <c r="I834" s="39"/>
      <c r="J834" s="39"/>
      <c r="K834" s="39"/>
      <c r="L834" s="39"/>
      <c r="N834" s="216"/>
      <c r="O834" s="216"/>
      <c r="P834" s="39"/>
      <c r="Q834" s="39"/>
      <c r="R834" s="39"/>
    </row>
    <row r="835" spans="1:18" ht="15.75" customHeight="1">
      <c r="A835" s="39"/>
      <c r="B835" s="39"/>
      <c r="C835" s="39"/>
      <c r="D835" s="39"/>
      <c r="E835" s="39"/>
      <c r="F835" s="39"/>
      <c r="G835" s="39"/>
      <c r="H835" s="39"/>
      <c r="I835" s="39"/>
      <c r="J835" s="39"/>
      <c r="K835" s="39"/>
      <c r="L835" s="39"/>
      <c r="N835" s="216"/>
      <c r="O835" s="216"/>
      <c r="P835" s="39"/>
      <c r="Q835" s="39"/>
      <c r="R835" s="39"/>
    </row>
    <row r="836" spans="1:18" ht="15.75" customHeight="1">
      <c r="A836" s="39"/>
      <c r="B836" s="39"/>
      <c r="C836" s="39"/>
      <c r="D836" s="39"/>
      <c r="E836" s="39"/>
      <c r="F836" s="39"/>
      <c r="G836" s="39"/>
      <c r="H836" s="39"/>
      <c r="I836" s="39"/>
      <c r="J836" s="39"/>
      <c r="K836" s="39"/>
      <c r="L836" s="39"/>
      <c r="N836" s="216"/>
      <c r="O836" s="216"/>
      <c r="P836" s="39"/>
      <c r="Q836" s="39"/>
      <c r="R836" s="39"/>
    </row>
    <row r="837" spans="1:18" ht="15.75" customHeight="1">
      <c r="A837" s="39"/>
      <c r="B837" s="39"/>
      <c r="C837" s="39"/>
      <c r="D837" s="39"/>
      <c r="E837" s="39"/>
      <c r="F837" s="39"/>
      <c r="G837" s="39"/>
      <c r="H837" s="39"/>
      <c r="I837" s="39"/>
      <c r="J837" s="39"/>
      <c r="K837" s="39"/>
      <c r="L837" s="39"/>
      <c r="N837" s="216"/>
      <c r="O837" s="216"/>
      <c r="P837" s="39"/>
      <c r="Q837" s="39"/>
      <c r="R837" s="39"/>
    </row>
    <row r="838" spans="1:18" ht="15.75" customHeight="1">
      <c r="A838" s="39"/>
      <c r="B838" s="39"/>
      <c r="C838" s="39"/>
      <c r="D838" s="39"/>
      <c r="E838" s="39"/>
      <c r="F838" s="39"/>
      <c r="G838" s="39"/>
      <c r="H838" s="39"/>
      <c r="I838" s="39"/>
      <c r="J838" s="39"/>
      <c r="K838" s="39"/>
      <c r="L838" s="39"/>
      <c r="N838" s="216"/>
      <c r="O838" s="216"/>
      <c r="P838" s="39"/>
      <c r="Q838" s="39"/>
      <c r="R838" s="39"/>
    </row>
    <row r="839" spans="1:18" ht="15.75" customHeight="1">
      <c r="A839" s="39"/>
      <c r="B839" s="39"/>
      <c r="C839" s="39"/>
      <c r="D839" s="39"/>
      <c r="E839" s="39"/>
      <c r="F839" s="39"/>
      <c r="G839" s="39"/>
      <c r="H839" s="39"/>
      <c r="I839" s="39"/>
      <c r="J839" s="39"/>
      <c r="K839" s="39"/>
      <c r="L839" s="39"/>
      <c r="N839" s="216"/>
      <c r="O839" s="216"/>
      <c r="P839" s="39"/>
      <c r="Q839" s="39"/>
      <c r="R839" s="39"/>
    </row>
    <row r="840" spans="1:18" ht="15.75" customHeight="1">
      <c r="A840" s="39"/>
      <c r="B840" s="39"/>
      <c r="C840" s="39"/>
      <c r="D840" s="39"/>
      <c r="E840" s="39"/>
      <c r="F840" s="39"/>
      <c r="G840" s="39"/>
      <c r="H840" s="39"/>
      <c r="I840" s="39"/>
      <c r="J840" s="39"/>
      <c r="K840" s="39"/>
      <c r="L840" s="39"/>
      <c r="N840" s="216"/>
      <c r="O840" s="216"/>
      <c r="P840" s="39"/>
      <c r="Q840" s="39"/>
      <c r="R840" s="39"/>
    </row>
    <row r="841" spans="1:18" ht="15.75" customHeight="1">
      <c r="A841" s="39"/>
      <c r="B841" s="39"/>
      <c r="C841" s="39"/>
      <c r="D841" s="39"/>
      <c r="E841" s="39"/>
      <c r="F841" s="39"/>
      <c r="G841" s="39"/>
      <c r="H841" s="39"/>
      <c r="I841" s="39"/>
      <c r="J841" s="39"/>
      <c r="K841" s="39"/>
      <c r="L841" s="39"/>
      <c r="N841" s="216"/>
      <c r="O841" s="216"/>
      <c r="P841" s="39"/>
      <c r="Q841" s="39"/>
      <c r="R841" s="39"/>
    </row>
    <row r="842" spans="1:18" ht="15.75" customHeight="1">
      <c r="A842" s="39"/>
      <c r="B842" s="39"/>
      <c r="C842" s="39"/>
      <c r="D842" s="39"/>
      <c r="E842" s="39"/>
      <c r="F842" s="39"/>
      <c r="G842" s="39"/>
      <c r="H842" s="39"/>
      <c r="I842" s="39"/>
      <c r="J842" s="39"/>
      <c r="K842" s="39"/>
      <c r="L842" s="39"/>
      <c r="N842" s="216"/>
      <c r="O842" s="216"/>
      <c r="P842" s="39"/>
      <c r="Q842" s="39"/>
      <c r="R842" s="39"/>
    </row>
    <row r="843" spans="1:18" ht="15.75" customHeight="1">
      <c r="A843" s="39"/>
      <c r="B843" s="39"/>
      <c r="C843" s="39"/>
      <c r="D843" s="39"/>
      <c r="E843" s="39"/>
      <c r="F843" s="39"/>
      <c r="G843" s="39"/>
      <c r="H843" s="39"/>
      <c r="I843" s="39"/>
      <c r="J843" s="39"/>
      <c r="K843" s="39"/>
      <c r="L843" s="39"/>
      <c r="N843" s="216"/>
      <c r="O843" s="216"/>
      <c r="P843" s="39"/>
      <c r="Q843" s="39"/>
      <c r="R843" s="39"/>
    </row>
    <row r="844" spans="1:18" ht="15.75" customHeight="1">
      <c r="A844" s="39"/>
      <c r="B844" s="39"/>
      <c r="C844" s="39"/>
      <c r="D844" s="39"/>
      <c r="E844" s="39"/>
      <c r="F844" s="39"/>
      <c r="G844" s="39"/>
      <c r="H844" s="39"/>
      <c r="I844" s="39"/>
      <c r="J844" s="39"/>
      <c r="K844" s="39"/>
      <c r="L844" s="39"/>
      <c r="N844" s="216"/>
      <c r="O844" s="216"/>
      <c r="P844" s="39"/>
      <c r="Q844" s="39"/>
      <c r="R844" s="39"/>
    </row>
    <row r="845" spans="1:18" ht="15.75" customHeight="1">
      <c r="A845" s="39"/>
      <c r="B845" s="39"/>
      <c r="C845" s="39"/>
      <c r="D845" s="39"/>
      <c r="E845" s="39"/>
      <c r="F845" s="39"/>
      <c r="G845" s="39"/>
      <c r="H845" s="39"/>
      <c r="I845" s="39"/>
      <c r="J845" s="39"/>
      <c r="K845" s="39"/>
      <c r="L845" s="39"/>
      <c r="N845" s="216"/>
      <c r="O845" s="216"/>
      <c r="P845" s="39"/>
      <c r="Q845" s="39"/>
      <c r="R845" s="39"/>
    </row>
    <row r="846" spans="1:18" ht="15.75" customHeight="1">
      <c r="A846" s="39"/>
      <c r="B846" s="39"/>
      <c r="C846" s="39"/>
      <c r="D846" s="39"/>
      <c r="E846" s="39"/>
      <c r="F846" s="39"/>
      <c r="G846" s="39"/>
      <c r="H846" s="39"/>
      <c r="I846" s="39"/>
      <c r="J846" s="39"/>
      <c r="K846" s="39"/>
      <c r="L846" s="39"/>
      <c r="N846" s="216"/>
      <c r="O846" s="216"/>
      <c r="P846" s="39"/>
      <c r="Q846" s="39"/>
      <c r="R846" s="39"/>
    </row>
    <row r="847" spans="1:18" ht="15.75" customHeight="1">
      <c r="A847" s="39"/>
      <c r="B847" s="39"/>
      <c r="C847" s="39"/>
      <c r="D847" s="39"/>
      <c r="E847" s="39"/>
      <c r="F847" s="39"/>
      <c r="G847" s="39"/>
      <c r="H847" s="39"/>
      <c r="I847" s="39"/>
      <c r="J847" s="39"/>
      <c r="K847" s="39"/>
      <c r="L847" s="39"/>
      <c r="N847" s="216"/>
      <c r="O847" s="216"/>
      <c r="P847" s="39"/>
      <c r="Q847" s="39"/>
      <c r="R847" s="39"/>
    </row>
    <row r="848" spans="1:18" ht="15.75" customHeight="1">
      <c r="A848" s="39"/>
      <c r="B848" s="39"/>
      <c r="C848" s="39"/>
      <c r="D848" s="39"/>
      <c r="E848" s="39"/>
      <c r="F848" s="39"/>
      <c r="G848" s="39"/>
      <c r="H848" s="39"/>
      <c r="I848" s="39"/>
      <c r="J848" s="39"/>
      <c r="K848" s="39"/>
      <c r="L848" s="39"/>
      <c r="N848" s="216"/>
      <c r="O848" s="216"/>
      <c r="P848" s="39"/>
      <c r="Q848" s="39"/>
      <c r="R848" s="39"/>
    </row>
    <row r="849" spans="1:18" ht="15.75" customHeight="1">
      <c r="A849" s="39"/>
      <c r="B849" s="39"/>
      <c r="C849" s="39"/>
      <c r="D849" s="39"/>
      <c r="E849" s="39"/>
      <c r="F849" s="39"/>
      <c r="G849" s="39"/>
      <c r="H849" s="39"/>
      <c r="I849" s="39"/>
      <c r="J849" s="39"/>
      <c r="K849" s="39"/>
      <c r="L849" s="39"/>
      <c r="N849" s="216"/>
      <c r="O849" s="216"/>
      <c r="P849" s="39"/>
      <c r="Q849" s="39"/>
      <c r="R849" s="39"/>
    </row>
    <row r="850" spans="1:18" ht="15.75" customHeight="1">
      <c r="A850" s="39"/>
      <c r="B850" s="39"/>
      <c r="C850" s="39"/>
      <c r="D850" s="39"/>
      <c r="E850" s="39"/>
      <c r="F850" s="39"/>
      <c r="G850" s="39"/>
      <c r="H850" s="39"/>
      <c r="I850" s="39"/>
      <c r="J850" s="39"/>
      <c r="K850" s="39"/>
      <c r="L850" s="39"/>
      <c r="N850" s="216"/>
      <c r="O850" s="216"/>
      <c r="P850" s="39"/>
      <c r="Q850" s="39"/>
      <c r="R850" s="39"/>
    </row>
    <row r="851" spans="1:18" ht="15.75" customHeight="1">
      <c r="A851" s="39"/>
      <c r="B851" s="39"/>
      <c r="C851" s="39"/>
      <c r="D851" s="39"/>
      <c r="E851" s="39"/>
      <c r="F851" s="39"/>
      <c r="G851" s="39"/>
      <c r="H851" s="39"/>
      <c r="I851" s="39"/>
      <c r="J851" s="39"/>
      <c r="K851" s="39"/>
      <c r="L851" s="39"/>
      <c r="N851" s="216"/>
      <c r="O851" s="216"/>
      <c r="P851" s="39"/>
      <c r="Q851" s="39"/>
      <c r="R851" s="39"/>
    </row>
    <row r="852" spans="1:18" ht="15.75" customHeight="1">
      <c r="A852" s="39"/>
      <c r="B852" s="39"/>
      <c r="C852" s="39"/>
      <c r="D852" s="39"/>
      <c r="E852" s="39"/>
      <c r="F852" s="39"/>
      <c r="G852" s="39"/>
      <c r="H852" s="39"/>
      <c r="I852" s="39"/>
      <c r="J852" s="39"/>
      <c r="K852" s="39"/>
      <c r="L852" s="39"/>
      <c r="N852" s="216"/>
      <c r="O852" s="216"/>
      <c r="P852" s="39"/>
      <c r="Q852" s="39"/>
      <c r="R852" s="39"/>
    </row>
    <row r="853" spans="1:18" ht="15.75" customHeight="1">
      <c r="A853" s="39"/>
      <c r="B853" s="39"/>
      <c r="C853" s="39"/>
      <c r="D853" s="39"/>
      <c r="E853" s="39"/>
      <c r="F853" s="39"/>
      <c r="G853" s="39"/>
      <c r="H853" s="39"/>
      <c r="I853" s="39"/>
      <c r="J853" s="39"/>
      <c r="K853" s="39"/>
      <c r="L853" s="39"/>
      <c r="N853" s="216"/>
      <c r="O853" s="216"/>
      <c r="P853" s="39"/>
      <c r="Q853" s="39"/>
      <c r="R853" s="39"/>
    </row>
    <row r="854" spans="1:18" ht="15.75" customHeight="1">
      <c r="A854" s="39"/>
      <c r="B854" s="39"/>
      <c r="C854" s="39"/>
      <c r="D854" s="39"/>
      <c r="E854" s="39"/>
      <c r="F854" s="39"/>
      <c r="G854" s="39"/>
      <c r="H854" s="39"/>
      <c r="I854" s="39"/>
      <c r="J854" s="39"/>
      <c r="K854" s="39"/>
      <c r="L854" s="39"/>
      <c r="N854" s="216"/>
      <c r="O854" s="216"/>
      <c r="P854" s="39"/>
      <c r="Q854" s="39"/>
      <c r="R854" s="39"/>
    </row>
    <row r="855" spans="1:18" ht="15.75" customHeight="1">
      <c r="A855" s="39"/>
      <c r="B855" s="39"/>
      <c r="C855" s="39"/>
      <c r="D855" s="39"/>
      <c r="E855" s="39"/>
      <c r="F855" s="39"/>
      <c r="G855" s="39"/>
      <c r="H855" s="39"/>
      <c r="I855" s="39"/>
      <c r="J855" s="39"/>
      <c r="K855" s="39"/>
      <c r="L855" s="39"/>
      <c r="N855" s="216"/>
      <c r="O855" s="216"/>
      <c r="P855" s="39"/>
      <c r="Q855" s="39"/>
      <c r="R855" s="39"/>
    </row>
    <row r="856" spans="1:18" ht="15.75" customHeight="1">
      <c r="A856" s="39"/>
      <c r="B856" s="39"/>
      <c r="C856" s="39"/>
      <c r="D856" s="39"/>
      <c r="E856" s="39"/>
      <c r="F856" s="39"/>
      <c r="G856" s="39"/>
      <c r="H856" s="39"/>
      <c r="I856" s="39"/>
      <c r="J856" s="39"/>
      <c r="K856" s="39"/>
      <c r="L856" s="39"/>
      <c r="N856" s="216"/>
      <c r="O856" s="216"/>
      <c r="P856" s="39"/>
      <c r="Q856" s="39"/>
      <c r="R856" s="39"/>
    </row>
    <row r="857" spans="1:18" ht="15.75" customHeight="1">
      <c r="A857" s="39"/>
      <c r="B857" s="39"/>
      <c r="C857" s="39"/>
      <c r="D857" s="39"/>
      <c r="E857" s="39"/>
      <c r="F857" s="39"/>
      <c r="G857" s="39"/>
      <c r="H857" s="39"/>
      <c r="I857" s="39"/>
      <c r="J857" s="39"/>
      <c r="K857" s="39"/>
      <c r="L857" s="39"/>
      <c r="N857" s="216"/>
      <c r="O857" s="216"/>
      <c r="P857" s="39"/>
      <c r="Q857" s="39"/>
      <c r="R857" s="39"/>
    </row>
    <row r="858" spans="1:18" ht="15.75" customHeight="1">
      <c r="A858" s="39"/>
      <c r="B858" s="39"/>
      <c r="C858" s="39"/>
      <c r="D858" s="39"/>
      <c r="E858" s="39"/>
      <c r="F858" s="39"/>
      <c r="G858" s="39"/>
      <c r="H858" s="39"/>
      <c r="I858" s="39"/>
      <c r="J858" s="39"/>
      <c r="K858" s="39"/>
      <c r="L858" s="39"/>
      <c r="N858" s="216"/>
      <c r="O858" s="216"/>
      <c r="P858" s="39"/>
      <c r="Q858" s="39"/>
      <c r="R858" s="39"/>
    </row>
    <row r="859" spans="1:18" ht="15.75" customHeight="1">
      <c r="A859" s="39"/>
      <c r="B859" s="39"/>
      <c r="C859" s="39"/>
      <c r="D859" s="39"/>
      <c r="E859" s="39"/>
      <c r="F859" s="39"/>
      <c r="G859" s="39"/>
      <c r="H859" s="39"/>
      <c r="I859" s="39"/>
      <c r="J859" s="39"/>
      <c r="K859" s="39"/>
      <c r="L859" s="39"/>
      <c r="N859" s="216"/>
      <c r="O859" s="216"/>
      <c r="P859" s="39"/>
      <c r="Q859" s="39"/>
      <c r="R859" s="39"/>
    </row>
    <row r="860" spans="1:18" ht="15.75" customHeight="1">
      <c r="A860" s="39"/>
      <c r="B860" s="39"/>
      <c r="C860" s="39"/>
      <c r="D860" s="39"/>
      <c r="E860" s="39"/>
      <c r="F860" s="39"/>
      <c r="G860" s="39"/>
      <c r="H860" s="39"/>
      <c r="I860" s="39"/>
      <c r="J860" s="39"/>
      <c r="K860" s="39"/>
      <c r="L860" s="39"/>
      <c r="N860" s="216"/>
      <c r="O860" s="216"/>
      <c r="P860" s="39"/>
      <c r="Q860" s="39"/>
      <c r="R860" s="39"/>
    </row>
    <row r="861" spans="1:18" ht="15.75" customHeight="1">
      <c r="A861" s="39"/>
      <c r="B861" s="39"/>
      <c r="C861" s="39"/>
      <c r="D861" s="39"/>
      <c r="E861" s="39"/>
      <c r="F861" s="39"/>
      <c r="G861" s="39"/>
      <c r="H861" s="39"/>
      <c r="I861" s="39"/>
      <c r="J861" s="39"/>
      <c r="K861" s="39"/>
      <c r="L861" s="39"/>
      <c r="N861" s="216"/>
      <c r="O861" s="216"/>
      <c r="P861" s="39"/>
      <c r="Q861" s="39"/>
      <c r="R861" s="39"/>
    </row>
    <row r="862" spans="1:18" ht="15.75" customHeight="1">
      <c r="A862" s="39"/>
      <c r="B862" s="39"/>
      <c r="C862" s="39"/>
      <c r="D862" s="39"/>
      <c r="E862" s="39"/>
      <c r="F862" s="39"/>
      <c r="G862" s="39"/>
      <c r="H862" s="39"/>
      <c r="I862" s="39"/>
      <c r="J862" s="39"/>
      <c r="K862" s="39"/>
      <c r="L862" s="39"/>
      <c r="N862" s="216"/>
      <c r="O862" s="216"/>
      <c r="P862" s="39"/>
      <c r="Q862" s="39"/>
      <c r="R862" s="39"/>
    </row>
    <row r="863" spans="1:18" ht="15.75" customHeight="1">
      <c r="A863" s="39"/>
      <c r="B863" s="39"/>
      <c r="C863" s="39"/>
      <c r="D863" s="39"/>
      <c r="E863" s="39"/>
      <c r="F863" s="39"/>
      <c r="G863" s="39"/>
      <c r="H863" s="39"/>
      <c r="I863" s="39"/>
      <c r="J863" s="39"/>
      <c r="K863" s="39"/>
      <c r="L863" s="39"/>
      <c r="N863" s="216"/>
      <c r="O863" s="216"/>
      <c r="P863" s="39"/>
      <c r="Q863" s="39"/>
      <c r="R863" s="39"/>
    </row>
    <row r="864" spans="1:18" ht="15.75" customHeight="1">
      <c r="A864" s="39"/>
      <c r="B864" s="39"/>
      <c r="C864" s="39"/>
      <c r="D864" s="39"/>
      <c r="E864" s="39"/>
      <c r="F864" s="39"/>
      <c r="G864" s="39"/>
      <c r="H864" s="39"/>
      <c r="I864" s="39"/>
      <c r="J864" s="39"/>
      <c r="K864" s="39"/>
      <c r="L864" s="39"/>
      <c r="N864" s="216"/>
      <c r="O864" s="216"/>
      <c r="P864" s="39"/>
      <c r="Q864" s="39"/>
      <c r="R864" s="39"/>
    </row>
    <row r="865" spans="1:18" ht="15.75" customHeight="1">
      <c r="A865" s="39"/>
      <c r="B865" s="39"/>
      <c r="C865" s="39"/>
      <c r="D865" s="39"/>
      <c r="E865" s="39"/>
      <c r="F865" s="39"/>
      <c r="G865" s="39"/>
      <c r="H865" s="39"/>
      <c r="I865" s="39"/>
      <c r="J865" s="39"/>
      <c r="K865" s="39"/>
      <c r="L865" s="39"/>
      <c r="N865" s="216"/>
      <c r="O865" s="216"/>
      <c r="P865" s="39"/>
      <c r="Q865" s="39"/>
      <c r="R865" s="39"/>
    </row>
    <row r="866" spans="1:18" ht="15.75" customHeight="1">
      <c r="A866" s="39"/>
      <c r="B866" s="39"/>
      <c r="C866" s="39"/>
      <c r="D866" s="39"/>
      <c r="E866" s="39"/>
      <c r="F866" s="39"/>
      <c r="G866" s="39"/>
      <c r="H866" s="39"/>
      <c r="I866" s="39"/>
      <c r="J866" s="39"/>
      <c r="K866" s="39"/>
      <c r="L866" s="39"/>
      <c r="N866" s="216"/>
      <c r="O866" s="216"/>
      <c r="P866" s="39"/>
      <c r="Q866" s="39"/>
      <c r="R866" s="39"/>
    </row>
    <row r="867" spans="1:18" ht="15.75" customHeight="1">
      <c r="A867" s="39"/>
      <c r="B867" s="39"/>
      <c r="C867" s="39"/>
      <c r="D867" s="39"/>
      <c r="E867" s="39"/>
      <c r="F867" s="39"/>
      <c r="G867" s="39"/>
      <c r="H867" s="39"/>
      <c r="I867" s="39"/>
      <c r="J867" s="39"/>
      <c r="K867" s="39"/>
      <c r="L867" s="39"/>
      <c r="N867" s="216"/>
      <c r="O867" s="216"/>
      <c r="P867" s="39"/>
      <c r="Q867" s="39"/>
      <c r="R867" s="39"/>
    </row>
    <row r="868" spans="1:18" ht="15.75" customHeight="1">
      <c r="A868" s="39"/>
      <c r="B868" s="39"/>
      <c r="C868" s="39"/>
      <c r="D868" s="39"/>
      <c r="E868" s="39"/>
      <c r="F868" s="39"/>
      <c r="G868" s="39"/>
      <c r="H868" s="39"/>
      <c r="I868" s="39"/>
      <c r="J868" s="39"/>
      <c r="K868" s="39"/>
      <c r="L868" s="39"/>
      <c r="N868" s="216"/>
      <c r="O868" s="216"/>
      <c r="P868" s="39"/>
      <c r="Q868" s="39"/>
      <c r="R868" s="39"/>
    </row>
    <row r="869" spans="1:18" ht="15.75" customHeight="1">
      <c r="A869" s="39"/>
      <c r="B869" s="39"/>
      <c r="C869" s="39"/>
      <c r="D869" s="39"/>
      <c r="E869" s="39"/>
      <c r="F869" s="39"/>
      <c r="G869" s="39"/>
      <c r="H869" s="39"/>
      <c r="I869" s="39"/>
      <c r="J869" s="39"/>
      <c r="K869" s="39"/>
      <c r="L869" s="39"/>
      <c r="N869" s="216"/>
      <c r="O869" s="216"/>
      <c r="P869" s="39"/>
      <c r="Q869" s="39"/>
      <c r="R869" s="39"/>
    </row>
    <row r="870" spans="1:18" ht="15.75" customHeight="1">
      <c r="A870" s="39"/>
      <c r="B870" s="39"/>
      <c r="C870" s="39"/>
      <c r="D870" s="39"/>
      <c r="E870" s="39"/>
      <c r="F870" s="39"/>
      <c r="G870" s="39"/>
      <c r="H870" s="39"/>
      <c r="I870" s="39"/>
      <c r="J870" s="39"/>
      <c r="K870" s="39"/>
      <c r="L870" s="39"/>
      <c r="N870" s="216"/>
      <c r="O870" s="216"/>
      <c r="P870" s="39"/>
      <c r="Q870" s="39"/>
      <c r="R870" s="39"/>
    </row>
    <row r="871" spans="1:18" ht="15.75" customHeight="1">
      <c r="A871" s="39"/>
      <c r="B871" s="39"/>
      <c r="C871" s="39"/>
      <c r="D871" s="39"/>
      <c r="E871" s="39"/>
      <c r="F871" s="39"/>
      <c r="G871" s="39"/>
      <c r="H871" s="39"/>
      <c r="I871" s="39"/>
      <c r="J871" s="39"/>
      <c r="K871" s="39"/>
      <c r="L871" s="39"/>
      <c r="N871" s="216"/>
      <c r="O871" s="216"/>
      <c r="P871" s="39"/>
      <c r="Q871" s="39"/>
      <c r="R871" s="39"/>
    </row>
    <row r="872" spans="1:18" ht="15.75" customHeight="1">
      <c r="A872" s="39"/>
      <c r="B872" s="39"/>
      <c r="C872" s="39"/>
      <c r="D872" s="39"/>
      <c r="E872" s="39"/>
      <c r="F872" s="39"/>
      <c r="G872" s="39"/>
      <c r="H872" s="39"/>
      <c r="I872" s="39"/>
      <c r="J872" s="39"/>
      <c r="K872" s="39"/>
      <c r="L872" s="39"/>
      <c r="N872" s="216"/>
      <c r="O872" s="216"/>
      <c r="P872" s="39"/>
      <c r="Q872" s="39"/>
      <c r="R872" s="39"/>
    </row>
    <row r="873" spans="1:18" ht="15.75" customHeight="1">
      <c r="A873" s="39"/>
      <c r="B873" s="39"/>
      <c r="C873" s="39"/>
      <c r="D873" s="39"/>
      <c r="E873" s="39"/>
      <c r="F873" s="39"/>
      <c r="G873" s="39"/>
      <c r="H873" s="39"/>
      <c r="I873" s="39"/>
      <c r="J873" s="39"/>
      <c r="K873" s="39"/>
      <c r="L873" s="39"/>
      <c r="N873" s="216"/>
      <c r="O873" s="216"/>
      <c r="P873" s="39"/>
      <c r="Q873" s="39"/>
      <c r="R873" s="39"/>
    </row>
    <row r="874" spans="1:18" ht="15.75" customHeight="1">
      <c r="A874" s="39"/>
      <c r="B874" s="39"/>
      <c r="C874" s="39"/>
      <c r="D874" s="39"/>
      <c r="E874" s="39"/>
      <c r="F874" s="39"/>
      <c r="G874" s="39"/>
      <c r="H874" s="39"/>
      <c r="I874" s="39"/>
      <c r="J874" s="39"/>
      <c r="K874" s="39"/>
      <c r="L874" s="39"/>
      <c r="N874" s="216"/>
      <c r="O874" s="216"/>
      <c r="P874" s="39"/>
      <c r="Q874" s="39"/>
      <c r="R874" s="39"/>
    </row>
    <row r="875" spans="1:18" ht="15.75" customHeight="1">
      <c r="A875" s="39"/>
      <c r="B875" s="39"/>
      <c r="C875" s="39"/>
      <c r="D875" s="39"/>
      <c r="E875" s="39"/>
      <c r="F875" s="39"/>
      <c r="G875" s="39"/>
      <c r="H875" s="39"/>
      <c r="I875" s="39"/>
      <c r="J875" s="39"/>
      <c r="K875" s="39"/>
      <c r="L875" s="39"/>
      <c r="N875" s="216"/>
      <c r="O875" s="216"/>
      <c r="P875" s="39"/>
      <c r="Q875" s="39"/>
      <c r="R875" s="39"/>
    </row>
    <row r="876" spans="1:18" ht="15.75" customHeight="1">
      <c r="A876" s="39"/>
      <c r="B876" s="39"/>
      <c r="C876" s="39"/>
      <c r="D876" s="39"/>
      <c r="E876" s="39"/>
      <c r="F876" s="39"/>
      <c r="G876" s="39"/>
      <c r="H876" s="39"/>
      <c r="I876" s="39"/>
      <c r="J876" s="39"/>
      <c r="K876" s="39"/>
      <c r="L876" s="39"/>
      <c r="N876" s="216"/>
      <c r="O876" s="216"/>
      <c r="P876" s="39"/>
      <c r="Q876" s="39"/>
      <c r="R876" s="39"/>
    </row>
    <row r="877" spans="1:18" ht="15.75" customHeight="1">
      <c r="A877" s="39"/>
      <c r="B877" s="39"/>
      <c r="C877" s="39"/>
      <c r="D877" s="39"/>
      <c r="E877" s="39"/>
      <c r="F877" s="39"/>
      <c r="G877" s="39"/>
      <c r="H877" s="39"/>
      <c r="I877" s="39"/>
      <c r="J877" s="39"/>
      <c r="K877" s="39"/>
      <c r="L877" s="39"/>
      <c r="N877" s="216"/>
      <c r="O877" s="216"/>
      <c r="P877" s="39"/>
      <c r="Q877" s="39"/>
      <c r="R877" s="39"/>
    </row>
    <row r="878" spans="1:18" ht="15.75" customHeight="1">
      <c r="A878" s="39"/>
      <c r="B878" s="39"/>
      <c r="C878" s="39"/>
      <c r="D878" s="39"/>
      <c r="E878" s="39"/>
      <c r="F878" s="39"/>
      <c r="G878" s="39"/>
      <c r="H878" s="39"/>
      <c r="I878" s="39"/>
      <c r="J878" s="39"/>
      <c r="K878" s="39"/>
      <c r="L878" s="39"/>
      <c r="N878" s="216"/>
      <c r="O878" s="216"/>
      <c r="P878" s="39"/>
      <c r="Q878" s="39"/>
      <c r="R878" s="39"/>
    </row>
    <row r="879" spans="1:18" ht="15.75" customHeight="1">
      <c r="A879" s="39"/>
      <c r="B879" s="39"/>
      <c r="C879" s="39"/>
      <c r="D879" s="39"/>
      <c r="E879" s="39"/>
      <c r="F879" s="39"/>
      <c r="G879" s="39"/>
      <c r="H879" s="39"/>
      <c r="I879" s="39"/>
      <c r="J879" s="39"/>
      <c r="K879" s="39"/>
      <c r="L879" s="39"/>
      <c r="N879" s="216"/>
      <c r="O879" s="216"/>
      <c r="P879" s="39"/>
      <c r="Q879" s="39"/>
      <c r="R879" s="39"/>
    </row>
    <row r="880" spans="1:18" ht="15.75" customHeight="1">
      <c r="A880" s="39"/>
      <c r="B880" s="39"/>
      <c r="C880" s="39"/>
      <c r="D880" s="39"/>
      <c r="E880" s="39"/>
      <c r="F880" s="39"/>
      <c r="G880" s="39"/>
      <c r="H880" s="39"/>
      <c r="I880" s="39"/>
      <c r="J880" s="39"/>
      <c r="K880" s="39"/>
      <c r="L880" s="39"/>
      <c r="N880" s="216"/>
      <c r="O880" s="216"/>
      <c r="P880" s="39"/>
      <c r="Q880" s="39"/>
      <c r="R880" s="39"/>
    </row>
    <row r="881" spans="1:18" ht="15.75" customHeight="1">
      <c r="A881" s="39"/>
      <c r="B881" s="39"/>
      <c r="C881" s="39"/>
      <c r="D881" s="39"/>
      <c r="E881" s="39"/>
      <c r="F881" s="39"/>
      <c r="G881" s="39"/>
      <c r="H881" s="39"/>
      <c r="I881" s="39"/>
      <c r="J881" s="39"/>
      <c r="K881" s="39"/>
      <c r="L881" s="39"/>
      <c r="N881" s="216"/>
      <c r="O881" s="216"/>
      <c r="P881" s="39"/>
      <c r="Q881" s="39"/>
      <c r="R881" s="39"/>
    </row>
    <row r="882" spans="1:18" ht="15.75" customHeight="1">
      <c r="A882" s="39"/>
      <c r="B882" s="39"/>
      <c r="C882" s="39"/>
      <c r="D882" s="39"/>
      <c r="E882" s="39"/>
      <c r="F882" s="39"/>
      <c r="G882" s="39"/>
      <c r="H882" s="39"/>
      <c r="I882" s="39"/>
      <c r="J882" s="39"/>
      <c r="K882" s="39"/>
      <c r="L882" s="39"/>
      <c r="N882" s="216"/>
      <c r="O882" s="216"/>
      <c r="P882" s="39"/>
      <c r="Q882" s="39"/>
      <c r="R882" s="39"/>
    </row>
    <row r="883" spans="1:18" ht="15.75" customHeight="1">
      <c r="A883" s="39"/>
      <c r="B883" s="39"/>
      <c r="C883" s="39"/>
      <c r="D883" s="39"/>
      <c r="E883" s="39"/>
      <c r="F883" s="39"/>
      <c r="G883" s="39"/>
      <c r="H883" s="39"/>
      <c r="I883" s="39"/>
      <c r="J883" s="39"/>
      <c r="K883" s="39"/>
      <c r="L883" s="39"/>
      <c r="N883" s="216"/>
      <c r="O883" s="216"/>
      <c r="P883" s="39"/>
      <c r="Q883" s="39"/>
      <c r="R883" s="39"/>
    </row>
    <row r="884" spans="1:18" ht="15.75" customHeight="1">
      <c r="A884" s="39"/>
      <c r="B884" s="39"/>
      <c r="C884" s="39"/>
      <c r="D884" s="39"/>
      <c r="E884" s="39"/>
      <c r="F884" s="39"/>
      <c r="G884" s="39"/>
      <c r="H884" s="39"/>
      <c r="I884" s="39"/>
      <c r="J884" s="39"/>
      <c r="K884" s="39"/>
      <c r="L884" s="39"/>
      <c r="N884" s="216"/>
      <c r="O884" s="216"/>
      <c r="P884" s="39"/>
      <c r="Q884" s="39"/>
      <c r="R884" s="39"/>
    </row>
    <row r="885" spans="1:18" ht="15.75" customHeight="1">
      <c r="A885" s="39"/>
      <c r="B885" s="39"/>
      <c r="C885" s="39"/>
      <c r="D885" s="39"/>
      <c r="E885" s="39"/>
      <c r="F885" s="39"/>
      <c r="G885" s="39"/>
      <c r="H885" s="39"/>
      <c r="I885" s="39"/>
      <c r="J885" s="39"/>
      <c r="K885" s="39"/>
      <c r="L885" s="39"/>
      <c r="N885" s="216"/>
      <c r="O885" s="216"/>
      <c r="P885" s="39"/>
      <c r="Q885" s="39"/>
      <c r="R885" s="39"/>
    </row>
    <row r="886" spans="1:18" ht="15.75" customHeight="1">
      <c r="A886" s="39"/>
      <c r="B886" s="39"/>
      <c r="C886" s="39"/>
      <c r="D886" s="39"/>
      <c r="E886" s="39"/>
      <c r="F886" s="39"/>
      <c r="G886" s="39"/>
      <c r="H886" s="39"/>
      <c r="I886" s="39"/>
      <c r="J886" s="39"/>
      <c r="K886" s="39"/>
      <c r="L886" s="39"/>
      <c r="N886" s="216"/>
      <c r="O886" s="216"/>
      <c r="P886" s="39"/>
      <c r="Q886" s="39"/>
      <c r="R886" s="39"/>
    </row>
    <row r="887" spans="1:18" ht="15.75" customHeight="1">
      <c r="A887" s="39"/>
      <c r="B887" s="39"/>
      <c r="C887" s="39"/>
      <c r="D887" s="39"/>
      <c r="E887" s="39"/>
      <c r="F887" s="39"/>
      <c r="G887" s="39"/>
      <c r="H887" s="39"/>
      <c r="I887" s="39"/>
      <c r="J887" s="39"/>
      <c r="K887" s="39"/>
      <c r="L887" s="39"/>
      <c r="N887" s="216"/>
      <c r="O887" s="216"/>
      <c r="P887" s="39"/>
      <c r="Q887" s="39"/>
      <c r="R887" s="39"/>
    </row>
    <row r="888" spans="1:18" ht="15.75" customHeight="1">
      <c r="A888" s="39"/>
      <c r="B888" s="39"/>
      <c r="C888" s="39"/>
      <c r="D888" s="39"/>
      <c r="E888" s="39"/>
      <c r="F888" s="39"/>
      <c r="G888" s="39"/>
      <c r="H888" s="39"/>
      <c r="I888" s="39"/>
      <c r="J888" s="39"/>
      <c r="K888" s="39"/>
      <c r="L888" s="39"/>
      <c r="N888" s="216"/>
      <c r="O888" s="216"/>
      <c r="P888" s="39"/>
      <c r="Q888" s="39"/>
      <c r="R888" s="39"/>
    </row>
    <row r="889" spans="1:18" ht="15.75" customHeight="1">
      <c r="A889" s="39"/>
      <c r="B889" s="39"/>
      <c r="C889" s="39"/>
      <c r="D889" s="39"/>
      <c r="E889" s="39"/>
      <c r="F889" s="39"/>
      <c r="G889" s="39"/>
      <c r="H889" s="39"/>
      <c r="I889" s="39"/>
      <c r="J889" s="39"/>
      <c r="K889" s="39"/>
      <c r="L889" s="39"/>
      <c r="N889" s="216"/>
      <c r="O889" s="216"/>
      <c r="P889" s="39"/>
      <c r="Q889" s="39"/>
      <c r="R889" s="39"/>
    </row>
    <row r="890" spans="1:18" ht="15.75" customHeight="1">
      <c r="A890" s="39"/>
      <c r="B890" s="39"/>
      <c r="C890" s="39"/>
      <c r="D890" s="39"/>
      <c r="E890" s="39"/>
      <c r="F890" s="39"/>
      <c r="G890" s="39"/>
      <c r="H890" s="39"/>
      <c r="I890" s="39"/>
      <c r="J890" s="39"/>
      <c r="K890" s="39"/>
      <c r="L890" s="39"/>
      <c r="N890" s="216"/>
      <c r="O890" s="216"/>
      <c r="P890" s="39"/>
      <c r="Q890" s="39"/>
      <c r="R890" s="39"/>
    </row>
    <row r="891" spans="1:18" ht="15.75" customHeight="1">
      <c r="A891" s="39"/>
      <c r="B891" s="39"/>
      <c r="C891" s="39"/>
      <c r="D891" s="39"/>
      <c r="E891" s="39"/>
      <c r="F891" s="39"/>
      <c r="G891" s="39"/>
      <c r="H891" s="39"/>
      <c r="I891" s="39"/>
      <c r="J891" s="39"/>
      <c r="K891" s="39"/>
      <c r="L891" s="39"/>
      <c r="N891" s="216"/>
      <c r="O891" s="216"/>
      <c r="P891" s="39"/>
      <c r="Q891" s="39"/>
      <c r="R891" s="39"/>
    </row>
    <row r="892" spans="1:18" ht="15.75" customHeight="1">
      <c r="A892" s="39"/>
      <c r="B892" s="39"/>
      <c r="C892" s="39"/>
      <c r="D892" s="39"/>
      <c r="E892" s="39"/>
      <c r="F892" s="39"/>
      <c r="G892" s="39"/>
      <c r="H892" s="39"/>
      <c r="I892" s="39"/>
      <c r="J892" s="39"/>
      <c r="K892" s="39"/>
      <c r="L892" s="39"/>
      <c r="N892" s="216"/>
      <c r="O892" s="216"/>
      <c r="P892" s="39"/>
      <c r="Q892" s="39"/>
      <c r="R892" s="39"/>
    </row>
    <row r="893" spans="1:18" ht="15.75" customHeight="1">
      <c r="A893" s="39"/>
      <c r="B893" s="39"/>
      <c r="C893" s="39"/>
      <c r="D893" s="39"/>
      <c r="E893" s="39"/>
      <c r="F893" s="39"/>
      <c r="G893" s="39"/>
      <c r="H893" s="39"/>
      <c r="I893" s="39"/>
      <c r="J893" s="39"/>
      <c r="K893" s="39"/>
      <c r="L893" s="39"/>
      <c r="N893" s="216"/>
      <c r="O893" s="216"/>
      <c r="P893" s="39"/>
      <c r="Q893" s="39"/>
      <c r="R893" s="39"/>
    </row>
    <row r="894" spans="1:18" ht="15.75" customHeight="1">
      <c r="A894" s="39"/>
      <c r="B894" s="39"/>
      <c r="C894" s="39"/>
      <c r="D894" s="39"/>
      <c r="E894" s="39"/>
      <c r="F894" s="39"/>
      <c r="G894" s="39"/>
      <c r="H894" s="39"/>
      <c r="I894" s="39"/>
      <c r="J894" s="39"/>
      <c r="K894" s="39"/>
      <c r="L894" s="39"/>
      <c r="N894" s="216"/>
      <c r="O894" s="216"/>
      <c r="P894" s="39"/>
      <c r="Q894" s="39"/>
      <c r="R894" s="39"/>
    </row>
    <row r="895" spans="1:18" ht="15.75" customHeight="1">
      <c r="A895" s="39"/>
      <c r="B895" s="39"/>
      <c r="C895" s="39"/>
      <c r="D895" s="39"/>
      <c r="E895" s="39"/>
      <c r="F895" s="39"/>
      <c r="G895" s="39"/>
      <c r="H895" s="39"/>
      <c r="I895" s="39"/>
      <c r="J895" s="39"/>
      <c r="K895" s="39"/>
      <c r="L895" s="39"/>
      <c r="N895" s="216"/>
      <c r="O895" s="216"/>
      <c r="P895" s="39"/>
      <c r="Q895" s="39"/>
      <c r="R895" s="39"/>
    </row>
    <row r="896" spans="1:18" ht="15.75" customHeight="1">
      <c r="A896" s="39"/>
      <c r="B896" s="39"/>
      <c r="C896" s="39"/>
      <c r="D896" s="39"/>
      <c r="E896" s="39"/>
      <c r="F896" s="39"/>
      <c r="G896" s="39"/>
      <c r="H896" s="39"/>
      <c r="I896" s="39"/>
      <c r="J896" s="39"/>
      <c r="K896" s="39"/>
      <c r="L896" s="39"/>
      <c r="N896" s="216"/>
      <c r="O896" s="216"/>
      <c r="P896" s="39"/>
      <c r="Q896" s="39"/>
      <c r="R896" s="39"/>
    </row>
    <row r="897" spans="1:18" ht="15.75" customHeight="1">
      <c r="A897" s="39"/>
      <c r="B897" s="39"/>
      <c r="C897" s="39"/>
      <c r="D897" s="39"/>
      <c r="E897" s="39"/>
      <c r="F897" s="39"/>
      <c r="G897" s="39"/>
      <c r="H897" s="39"/>
      <c r="I897" s="39"/>
      <c r="J897" s="39"/>
      <c r="K897" s="39"/>
      <c r="L897" s="39"/>
      <c r="N897" s="216"/>
      <c r="O897" s="216"/>
      <c r="P897" s="39"/>
      <c r="Q897" s="39"/>
      <c r="R897" s="39"/>
    </row>
    <row r="898" spans="1:18" ht="15.75" customHeight="1">
      <c r="A898" s="39"/>
      <c r="B898" s="39"/>
      <c r="C898" s="39"/>
      <c r="D898" s="39"/>
      <c r="E898" s="39"/>
      <c r="F898" s="39"/>
      <c r="G898" s="39"/>
      <c r="H898" s="39"/>
      <c r="I898" s="39"/>
      <c r="J898" s="39"/>
      <c r="K898" s="39"/>
      <c r="L898" s="39"/>
      <c r="N898" s="216"/>
      <c r="O898" s="216"/>
      <c r="P898" s="39"/>
      <c r="Q898" s="39"/>
      <c r="R898" s="39"/>
    </row>
    <row r="899" spans="1:18" ht="15.75" customHeight="1">
      <c r="A899" s="39"/>
      <c r="B899" s="39"/>
      <c r="C899" s="39"/>
      <c r="D899" s="39"/>
      <c r="E899" s="39"/>
      <c r="F899" s="39"/>
      <c r="G899" s="39"/>
      <c r="H899" s="39"/>
      <c r="I899" s="39"/>
      <c r="J899" s="39"/>
      <c r="K899" s="39"/>
      <c r="L899" s="39"/>
      <c r="N899" s="216"/>
      <c r="O899" s="216"/>
      <c r="P899" s="39"/>
      <c r="Q899" s="39"/>
      <c r="R899" s="39"/>
    </row>
    <row r="900" spans="1:18" ht="15.75" customHeight="1">
      <c r="A900" s="39"/>
      <c r="B900" s="39"/>
      <c r="C900" s="39"/>
      <c r="D900" s="39"/>
      <c r="E900" s="39"/>
      <c r="F900" s="39"/>
      <c r="G900" s="39"/>
      <c r="H900" s="39"/>
      <c r="I900" s="39"/>
      <c r="J900" s="39"/>
      <c r="K900" s="39"/>
      <c r="L900" s="39"/>
      <c r="N900" s="216"/>
      <c r="O900" s="216"/>
      <c r="P900" s="39"/>
      <c r="Q900" s="39"/>
      <c r="R900" s="39"/>
    </row>
    <row r="901" spans="1:18" ht="15.75" customHeight="1">
      <c r="A901" s="39"/>
      <c r="B901" s="39"/>
      <c r="C901" s="39"/>
      <c r="D901" s="39"/>
      <c r="E901" s="39"/>
      <c r="F901" s="39"/>
      <c r="G901" s="39"/>
      <c r="H901" s="39"/>
      <c r="I901" s="39"/>
      <c r="J901" s="39"/>
      <c r="K901" s="39"/>
      <c r="L901" s="39"/>
      <c r="N901" s="216"/>
      <c r="O901" s="216"/>
      <c r="P901" s="39"/>
      <c r="Q901" s="39"/>
      <c r="R901" s="39"/>
    </row>
    <row r="902" spans="1:18" ht="15.75" customHeight="1">
      <c r="A902" s="39"/>
      <c r="B902" s="39"/>
      <c r="C902" s="39"/>
      <c r="D902" s="39"/>
      <c r="E902" s="39"/>
      <c r="F902" s="39"/>
      <c r="G902" s="39"/>
      <c r="H902" s="39"/>
      <c r="I902" s="39"/>
      <c r="J902" s="39"/>
      <c r="K902" s="39"/>
      <c r="L902" s="39"/>
      <c r="N902" s="216"/>
      <c r="O902" s="216"/>
      <c r="P902" s="39"/>
      <c r="Q902" s="39"/>
      <c r="R902" s="39"/>
    </row>
    <row r="903" spans="1:18" ht="15.75" customHeight="1">
      <c r="A903" s="39"/>
      <c r="B903" s="39"/>
      <c r="C903" s="39"/>
      <c r="D903" s="39"/>
      <c r="E903" s="39"/>
      <c r="F903" s="39"/>
      <c r="G903" s="39"/>
      <c r="H903" s="39"/>
      <c r="I903" s="39"/>
      <c r="J903" s="39"/>
      <c r="K903" s="39"/>
      <c r="L903" s="39"/>
      <c r="N903" s="216"/>
      <c r="O903" s="216"/>
      <c r="P903" s="39"/>
      <c r="Q903" s="39"/>
      <c r="R903" s="39"/>
    </row>
    <row r="904" spans="1:18" ht="15.75" customHeight="1">
      <c r="A904" s="39"/>
      <c r="B904" s="39"/>
      <c r="C904" s="39"/>
      <c r="D904" s="39"/>
      <c r="E904" s="39"/>
      <c r="F904" s="39"/>
      <c r="G904" s="39"/>
      <c r="H904" s="39"/>
      <c r="I904" s="39"/>
      <c r="J904" s="39"/>
      <c r="K904" s="39"/>
      <c r="L904" s="39"/>
      <c r="N904" s="216"/>
      <c r="O904" s="216"/>
      <c r="P904" s="39"/>
      <c r="Q904" s="39"/>
      <c r="R904" s="39"/>
    </row>
    <row r="905" spans="1:18" ht="15.75" customHeight="1">
      <c r="A905" s="39"/>
      <c r="B905" s="39"/>
      <c r="C905" s="39"/>
      <c r="D905" s="39"/>
      <c r="E905" s="39"/>
      <c r="F905" s="39"/>
      <c r="G905" s="39"/>
      <c r="H905" s="39"/>
      <c r="I905" s="39"/>
      <c r="J905" s="39"/>
      <c r="K905" s="39"/>
      <c r="L905" s="39"/>
      <c r="N905" s="216"/>
      <c r="O905" s="216"/>
      <c r="P905" s="39"/>
      <c r="Q905" s="39"/>
      <c r="R905" s="39"/>
    </row>
    <row r="906" spans="1:18" ht="15.75" customHeight="1">
      <c r="A906" s="39"/>
      <c r="B906" s="39"/>
      <c r="C906" s="39"/>
      <c r="D906" s="39"/>
      <c r="E906" s="39"/>
      <c r="F906" s="39"/>
      <c r="G906" s="39"/>
      <c r="H906" s="39"/>
      <c r="I906" s="39"/>
      <c r="J906" s="39"/>
      <c r="K906" s="39"/>
      <c r="L906" s="39"/>
      <c r="N906" s="216"/>
      <c r="O906" s="216"/>
      <c r="P906" s="39"/>
      <c r="Q906" s="39"/>
      <c r="R906" s="39"/>
    </row>
    <row r="907" spans="1:18" ht="15.75" customHeight="1">
      <c r="A907" s="39"/>
      <c r="B907" s="39"/>
      <c r="C907" s="39"/>
      <c r="D907" s="39"/>
      <c r="E907" s="39"/>
      <c r="F907" s="39"/>
      <c r="G907" s="39"/>
      <c r="H907" s="39"/>
      <c r="I907" s="39"/>
      <c r="J907" s="39"/>
      <c r="K907" s="39"/>
      <c r="L907" s="39"/>
      <c r="N907" s="216"/>
      <c r="O907" s="216"/>
      <c r="P907" s="39"/>
      <c r="Q907" s="39"/>
      <c r="R907" s="39"/>
    </row>
    <row r="908" spans="1:18" ht="15.75" customHeight="1">
      <c r="A908" s="39"/>
      <c r="B908" s="39"/>
      <c r="C908" s="39"/>
      <c r="D908" s="39"/>
      <c r="E908" s="39"/>
      <c r="F908" s="39"/>
      <c r="G908" s="39"/>
      <c r="H908" s="39"/>
      <c r="I908" s="39"/>
      <c r="J908" s="39"/>
      <c r="K908" s="39"/>
      <c r="L908" s="39"/>
      <c r="N908" s="216"/>
      <c r="O908" s="216"/>
      <c r="P908" s="39"/>
      <c r="Q908" s="39"/>
      <c r="R908" s="39"/>
    </row>
    <row r="909" spans="1:18" ht="15.75" customHeight="1">
      <c r="A909" s="39"/>
      <c r="B909" s="39"/>
      <c r="C909" s="39"/>
      <c r="D909" s="39"/>
      <c r="E909" s="39"/>
      <c r="F909" s="39"/>
      <c r="G909" s="39"/>
      <c r="H909" s="39"/>
      <c r="I909" s="39"/>
      <c r="J909" s="39"/>
      <c r="K909" s="39"/>
      <c r="L909" s="39"/>
      <c r="N909" s="216"/>
      <c r="O909" s="216"/>
      <c r="P909" s="39"/>
      <c r="Q909" s="39"/>
      <c r="R909" s="39"/>
    </row>
    <row r="910" spans="1:18" ht="15.75" customHeight="1">
      <c r="A910" s="39"/>
      <c r="B910" s="39"/>
      <c r="C910" s="39"/>
      <c r="D910" s="39"/>
      <c r="E910" s="39"/>
      <c r="F910" s="39"/>
      <c r="G910" s="39"/>
      <c r="H910" s="39"/>
      <c r="I910" s="39"/>
      <c r="J910" s="39"/>
      <c r="K910" s="39"/>
      <c r="L910" s="39"/>
      <c r="N910" s="216"/>
      <c r="O910" s="216"/>
      <c r="P910" s="39"/>
      <c r="Q910" s="39"/>
      <c r="R910" s="39"/>
    </row>
    <row r="911" spans="1:18" ht="15.75" customHeight="1">
      <c r="A911" s="39"/>
      <c r="B911" s="39"/>
      <c r="C911" s="39"/>
      <c r="D911" s="39"/>
      <c r="E911" s="39"/>
      <c r="F911" s="39"/>
      <c r="G911" s="39"/>
      <c r="H911" s="39"/>
      <c r="I911" s="39"/>
      <c r="J911" s="39"/>
      <c r="K911" s="39"/>
      <c r="L911" s="39"/>
      <c r="N911" s="216"/>
      <c r="O911" s="216"/>
      <c r="P911" s="39"/>
      <c r="Q911" s="39"/>
      <c r="R911" s="39"/>
    </row>
    <row r="912" spans="1:18" ht="15.75" customHeight="1">
      <c r="A912" s="39"/>
      <c r="B912" s="39"/>
      <c r="C912" s="39"/>
      <c r="D912" s="39"/>
      <c r="E912" s="39"/>
      <c r="F912" s="39"/>
      <c r="G912" s="39"/>
      <c r="H912" s="39"/>
      <c r="I912" s="39"/>
      <c r="J912" s="39"/>
      <c r="K912" s="39"/>
      <c r="L912" s="39"/>
      <c r="N912" s="216"/>
      <c r="O912" s="216"/>
      <c r="P912" s="39"/>
      <c r="Q912" s="39"/>
      <c r="R912" s="39"/>
    </row>
    <row r="913" spans="1:18" ht="15.75" customHeight="1">
      <c r="A913" s="39"/>
      <c r="B913" s="39"/>
      <c r="C913" s="39"/>
      <c r="D913" s="39"/>
      <c r="E913" s="39"/>
      <c r="F913" s="39"/>
      <c r="G913" s="39"/>
      <c r="H913" s="39"/>
      <c r="I913" s="39"/>
      <c r="J913" s="39"/>
      <c r="K913" s="39"/>
      <c r="L913" s="39"/>
      <c r="N913" s="216"/>
      <c r="O913" s="216"/>
      <c r="P913" s="39"/>
      <c r="Q913" s="39"/>
      <c r="R913" s="39"/>
    </row>
    <row r="914" spans="1:18" ht="15.75" customHeight="1">
      <c r="A914" s="39"/>
      <c r="B914" s="39"/>
      <c r="C914" s="39"/>
      <c r="D914" s="39"/>
      <c r="E914" s="39"/>
      <c r="F914" s="39"/>
      <c r="G914" s="39"/>
      <c r="H914" s="39"/>
      <c r="I914" s="39"/>
      <c r="J914" s="39"/>
      <c r="K914" s="39"/>
      <c r="L914" s="39"/>
      <c r="N914" s="216"/>
      <c r="O914" s="216"/>
      <c r="P914" s="39"/>
      <c r="Q914" s="39"/>
      <c r="R914" s="39"/>
    </row>
    <row r="915" spans="1:18" ht="15.75" customHeight="1">
      <c r="A915" s="39"/>
      <c r="B915" s="39"/>
      <c r="C915" s="39"/>
      <c r="D915" s="39"/>
      <c r="E915" s="39"/>
      <c r="F915" s="39"/>
      <c r="G915" s="39"/>
      <c r="H915" s="39"/>
      <c r="I915" s="39"/>
      <c r="J915" s="39"/>
      <c r="K915" s="39"/>
      <c r="L915" s="39"/>
      <c r="N915" s="216"/>
      <c r="O915" s="216"/>
      <c r="P915" s="39"/>
      <c r="Q915" s="39"/>
      <c r="R915" s="39"/>
    </row>
    <row r="916" spans="1:18" ht="15.75" customHeight="1">
      <c r="A916" s="39"/>
      <c r="B916" s="39"/>
      <c r="C916" s="39"/>
      <c r="D916" s="39"/>
      <c r="E916" s="39"/>
      <c r="F916" s="39"/>
      <c r="G916" s="39"/>
      <c r="H916" s="39"/>
      <c r="I916" s="39"/>
      <c r="J916" s="39"/>
      <c r="K916" s="39"/>
      <c r="L916" s="39"/>
      <c r="N916" s="216"/>
      <c r="O916" s="216"/>
      <c r="P916" s="39"/>
      <c r="Q916" s="39"/>
      <c r="R916" s="39"/>
    </row>
    <row r="917" spans="1:18" ht="15.75" customHeight="1">
      <c r="A917" s="39"/>
      <c r="B917" s="39"/>
      <c r="C917" s="39"/>
      <c r="D917" s="39"/>
      <c r="E917" s="39"/>
      <c r="F917" s="39"/>
      <c r="G917" s="39"/>
      <c r="H917" s="39"/>
      <c r="I917" s="39"/>
      <c r="J917" s="39"/>
      <c r="K917" s="39"/>
      <c r="L917" s="39"/>
      <c r="N917" s="216"/>
      <c r="O917" s="216"/>
      <c r="P917" s="39"/>
      <c r="Q917" s="39"/>
      <c r="R917" s="39"/>
    </row>
    <row r="918" spans="1:18" ht="15.75" customHeight="1">
      <c r="A918" s="39"/>
      <c r="B918" s="39"/>
      <c r="C918" s="39"/>
      <c r="D918" s="39"/>
      <c r="E918" s="39"/>
      <c r="F918" s="39"/>
      <c r="G918" s="39"/>
      <c r="H918" s="39"/>
      <c r="I918" s="39"/>
      <c r="J918" s="39"/>
      <c r="K918" s="39"/>
      <c r="L918" s="39"/>
      <c r="N918" s="216"/>
      <c r="O918" s="216"/>
      <c r="P918" s="39"/>
      <c r="Q918" s="39"/>
      <c r="R918" s="39"/>
    </row>
    <row r="919" spans="1:18" ht="15.75" customHeight="1">
      <c r="A919" s="39"/>
      <c r="B919" s="39"/>
      <c r="C919" s="39"/>
      <c r="D919" s="39"/>
      <c r="E919" s="39"/>
      <c r="F919" s="39"/>
      <c r="G919" s="39"/>
      <c r="H919" s="39"/>
      <c r="I919" s="39"/>
      <c r="J919" s="39"/>
      <c r="K919" s="39"/>
      <c r="L919" s="39"/>
      <c r="N919" s="216"/>
      <c r="O919" s="216"/>
      <c r="P919" s="39"/>
      <c r="Q919" s="39"/>
      <c r="R919" s="39"/>
    </row>
    <row r="920" spans="1:18" ht="15.75" customHeight="1">
      <c r="A920" s="39"/>
      <c r="B920" s="39"/>
      <c r="C920" s="39"/>
      <c r="D920" s="39"/>
      <c r="E920" s="39"/>
      <c r="F920" s="39"/>
      <c r="G920" s="39"/>
      <c r="H920" s="39"/>
      <c r="I920" s="39"/>
      <c r="J920" s="39"/>
      <c r="K920" s="39"/>
      <c r="L920" s="39"/>
      <c r="N920" s="216"/>
      <c r="O920" s="216"/>
      <c r="P920" s="39"/>
      <c r="Q920" s="39"/>
      <c r="R920" s="39"/>
    </row>
    <row r="921" spans="1:18" ht="15.75" customHeight="1">
      <c r="A921" s="39"/>
      <c r="B921" s="39"/>
      <c r="C921" s="39"/>
      <c r="D921" s="39"/>
      <c r="E921" s="39"/>
      <c r="F921" s="39"/>
      <c r="G921" s="39"/>
      <c r="H921" s="39"/>
      <c r="I921" s="39"/>
      <c r="J921" s="39"/>
      <c r="K921" s="39"/>
      <c r="L921" s="39"/>
      <c r="N921" s="216"/>
      <c r="O921" s="216"/>
      <c r="P921" s="39"/>
      <c r="Q921" s="39"/>
      <c r="R921" s="39"/>
    </row>
    <row r="922" spans="1:18" ht="15.75" customHeight="1">
      <c r="A922" s="39"/>
      <c r="B922" s="39"/>
      <c r="C922" s="39"/>
      <c r="D922" s="39"/>
      <c r="E922" s="39"/>
      <c r="F922" s="39"/>
      <c r="G922" s="39"/>
      <c r="H922" s="39"/>
      <c r="I922" s="39"/>
      <c r="J922" s="39"/>
      <c r="K922" s="39"/>
      <c r="L922" s="39"/>
      <c r="N922" s="216"/>
      <c r="O922" s="216"/>
      <c r="P922" s="39"/>
      <c r="Q922" s="39"/>
      <c r="R922" s="39"/>
    </row>
    <row r="923" spans="1:18" ht="15.75" customHeight="1">
      <c r="A923" s="39"/>
      <c r="B923" s="39"/>
      <c r="C923" s="39"/>
      <c r="D923" s="39"/>
      <c r="E923" s="39"/>
      <c r="F923" s="39"/>
      <c r="G923" s="39"/>
      <c r="H923" s="39"/>
      <c r="I923" s="39"/>
      <c r="J923" s="39"/>
      <c r="K923" s="39"/>
      <c r="L923" s="39"/>
      <c r="N923" s="216"/>
      <c r="O923" s="216"/>
      <c r="P923" s="39"/>
      <c r="Q923" s="39"/>
      <c r="R923" s="39"/>
    </row>
    <row r="924" spans="1:18" ht="15.75" customHeight="1">
      <c r="A924" s="39"/>
      <c r="B924" s="39"/>
      <c r="C924" s="39"/>
      <c r="D924" s="39"/>
      <c r="E924" s="39"/>
      <c r="F924" s="39"/>
      <c r="G924" s="39"/>
      <c r="H924" s="39"/>
      <c r="I924" s="39"/>
      <c r="J924" s="39"/>
      <c r="K924" s="39"/>
      <c r="L924" s="39"/>
      <c r="N924" s="216"/>
      <c r="O924" s="216"/>
      <c r="P924" s="39"/>
      <c r="Q924" s="39"/>
      <c r="R924" s="39"/>
    </row>
    <row r="925" spans="1:18" ht="15.75" customHeight="1">
      <c r="A925" s="39"/>
      <c r="B925" s="39"/>
      <c r="C925" s="39"/>
      <c r="D925" s="39"/>
      <c r="E925" s="39"/>
      <c r="F925" s="39"/>
      <c r="G925" s="39"/>
      <c r="H925" s="39"/>
      <c r="I925" s="39"/>
      <c r="J925" s="39"/>
      <c r="K925" s="39"/>
      <c r="L925" s="39"/>
      <c r="N925" s="216"/>
      <c r="O925" s="216"/>
      <c r="P925" s="39"/>
      <c r="Q925" s="39"/>
      <c r="R925" s="39"/>
    </row>
    <row r="926" spans="1:18" ht="15.75" customHeight="1">
      <c r="A926" s="39"/>
      <c r="B926" s="39"/>
      <c r="C926" s="39"/>
      <c r="D926" s="39"/>
      <c r="E926" s="39"/>
      <c r="F926" s="39"/>
      <c r="G926" s="39"/>
      <c r="H926" s="39"/>
      <c r="I926" s="39"/>
      <c r="J926" s="39"/>
      <c r="K926" s="39"/>
      <c r="L926" s="39"/>
      <c r="N926" s="216"/>
      <c r="O926" s="216"/>
      <c r="P926" s="39"/>
      <c r="Q926" s="39"/>
      <c r="R926" s="39"/>
    </row>
    <row r="927" spans="1:18" ht="15.75" customHeight="1">
      <c r="A927" s="39"/>
      <c r="B927" s="39"/>
      <c r="C927" s="39"/>
      <c r="D927" s="39"/>
      <c r="E927" s="39"/>
      <c r="F927" s="39"/>
      <c r="G927" s="39"/>
      <c r="H927" s="39"/>
      <c r="I927" s="39"/>
      <c r="J927" s="39"/>
      <c r="K927" s="39"/>
      <c r="L927" s="39"/>
      <c r="N927" s="216"/>
      <c r="O927" s="216"/>
      <c r="P927" s="39"/>
      <c r="Q927" s="39"/>
      <c r="R927" s="39"/>
    </row>
    <row r="928" spans="1:18" ht="15.75" customHeight="1">
      <c r="A928" s="39"/>
      <c r="B928" s="39"/>
      <c r="C928" s="39"/>
      <c r="D928" s="39"/>
      <c r="E928" s="39"/>
      <c r="F928" s="39"/>
      <c r="G928" s="39"/>
      <c r="H928" s="39"/>
      <c r="I928" s="39"/>
      <c r="J928" s="39"/>
      <c r="K928" s="39"/>
      <c r="L928" s="39"/>
      <c r="N928" s="216"/>
      <c r="O928" s="216"/>
      <c r="P928" s="39"/>
      <c r="Q928" s="39"/>
      <c r="R928" s="39"/>
    </row>
    <row r="929" spans="1:18" ht="15.75" customHeight="1">
      <c r="A929" s="39"/>
      <c r="B929" s="39"/>
      <c r="C929" s="39"/>
      <c r="D929" s="39"/>
      <c r="E929" s="39"/>
      <c r="F929" s="39"/>
      <c r="G929" s="39"/>
      <c r="H929" s="39"/>
      <c r="I929" s="39"/>
      <c r="J929" s="39"/>
      <c r="K929" s="39"/>
      <c r="L929" s="39"/>
      <c r="N929" s="216"/>
      <c r="O929" s="216"/>
      <c r="P929" s="39"/>
      <c r="Q929" s="39"/>
      <c r="R929" s="39"/>
    </row>
    <row r="930" spans="1:18" ht="15.75" customHeight="1">
      <c r="A930" s="39"/>
      <c r="B930" s="39"/>
      <c r="C930" s="39"/>
      <c r="D930" s="39"/>
      <c r="E930" s="39"/>
      <c r="F930" s="39"/>
      <c r="G930" s="39"/>
      <c r="H930" s="39"/>
      <c r="I930" s="39"/>
      <c r="J930" s="39"/>
      <c r="K930" s="39"/>
      <c r="L930" s="39"/>
      <c r="N930" s="216"/>
      <c r="O930" s="216"/>
      <c r="P930" s="39"/>
      <c r="Q930" s="39"/>
      <c r="R930" s="39"/>
    </row>
    <row r="931" spans="1:18" ht="15.75" customHeight="1">
      <c r="A931" s="39"/>
      <c r="B931" s="39"/>
      <c r="C931" s="39"/>
      <c r="D931" s="39"/>
      <c r="E931" s="39"/>
      <c r="F931" s="39"/>
      <c r="G931" s="39"/>
      <c r="H931" s="39"/>
      <c r="I931" s="39"/>
      <c r="J931" s="39"/>
      <c r="K931" s="39"/>
      <c r="L931" s="39"/>
      <c r="N931" s="216"/>
      <c r="O931" s="216"/>
      <c r="P931" s="39"/>
      <c r="Q931" s="39"/>
      <c r="R931" s="39"/>
    </row>
    <row r="932" spans="1:18" ht="15.75" customHeight="1">
      <c r="A932" s="39"/>
      <c r="B932" s="39"/>
      <c r="C932" s="39"/>
      <c r="D932" s="39"/>
      <c r="E932" s="39"/>
      <c r="F932" s="39"/>
      <c r="G932" s="39"/>
      <c r="H932" s="39"/>
      <c r="I932" s="39"/>
      <c r="J932" s="39"/>
      <c r="K932" s="39"/>
      <c r="L932" s="39"/>
      <c r="N932" s="216"/>
      <c r="O932" s="216"/>
      <c r="P932" s="39"/>
      <c r="Q932" s="39"/>
      <c r="R932" s="39"/>
    </row>
    <row r="933" spans="1:18" ht="15.75" customHeight="1">
      <c r="A933" s="39"/>
      <c r="B933" s="39"/>
      <c r="C933" s="39"/>
      <c r="D933" s="39"/>
      <c r="E933" s="39"/>
      <c r="F933" s="39"/>
      <c r="G933" s="39"/>
      <c r="H933" s="39"/>
      <c r="I933" s="39"/>
      <c r="J933" s="39"/>
      <c r="K933" s="39"/>
      <c r="L933" s="39"/>
      <c r="N933" s="216"/>
      <c r="O933" s="216"/>
      <c r="P933" s="39"/>
      <c r="Q933" s="39"/>
      <c r="R933" s="39"/>
    </row>
    <row r="934" spans="1:18" ht="15.75" customHeight="1">
      <c r="A934" s="39"/>
      <c r="B934" s="39"/>
      <c r="C934" s="39"/>
      <c r="D934" s="39"/>
      <c r="E934" s="39"/>
      <c r="F934" s="39"/>
      <c r="G934" s="39"/>
      <c r="H934" s="39"/>
      <c r="I934" s="39"/>
      <c r="J934" s="39"/>
      <c r="K934" s="39"/>
      <c r="L934" s="39"/>
      <c r="N934" s="216"/>
      <c r="O934" s="216"/>
      <c r="P934" s="39"/>
      <c r="Q934" s="39"/>
      <c r="R934" s="39"/>
    </row>
    <row r="935" spans="1:18" ht="15.75" customHeight="1">
      <c r="A935" s="39"/>
      <c r="B935" s="39"/>
      <c r="C935" s="39"/>
      <c r="D935" s="39"/>
      <c r="E935" s="39"/>
      <c r="F935" s="39"/>
      <c r="G935" s="39"/>
      <c r="H935" s="39"/>
      <c r="I935" s="39"/>
      <c r="J935" s="39"/>
      <c r="K935" s="39"/>
      <c r="L935" s="39"/>
      <c r="N935" s="216"/>
      <c r="O935" s="216"/>
      <c r="P935" s="39"/>
      <c r="Q935" s="39"/>
      <c r="R935" s="39"/>
    </row>
    <row r="936" spans="1:18" ht="15.75" customHeight="1">
      <c r="A936" s="39"/>
      <c r="B936" s="39"/>
      <c r="C936" s="39"/>
      <c r="D936" s="39"/>
      <c r="E936" s="39"/>
      <c r="F936" s="39"/>
      <c r="G936" s="39"/>
      <c r="H936" s="39"/>
      <c r="I936" s="39"/>
      <c r="J936" s="39"/>
      <c r="K936" s="39"/>
      <c r="L936" s="39"/>
      <c r="N936" s="216"/>
      <c r="O936" s="216"/>
      <c r="P936" s="39"/>
      <c r="Q936" s="39"/>
      <c r="R936" s="39"/>
    </row>
    <row r="937" spans="1:18" ht="15.75" customHeight="1">
      <c r="A937" s="39"/>
      <c r="B937" s="39"/>
      <c r="C937" s="39"/>
      <c r="D937" s="39"/>
      <c r="E937" s="39"/>
      <c r="F937" s="39"/>
      <c r="G937" s="39"/>
      <c r="H937" s="39"/>
      <c r="I937" s="39"/>
      <c r="J937" s="39"/>
      <c r="K937" s="39"/>
      <c r="L937" s="39"/>
      <c r="N937" s="216"/>
      <c r="O937" s="216"/>
      <c r="P937" s="39"/>
      <c r="Q937" s="39"/>
      <c r="R937" s="39"/>
    </row>
    <row r="938" spans="1:18" ht="15.75" customHeight="1">
      <c r="A938" s="39"/>
      <c r="B938" s="39"/>
      <c r="C938" s="39"/>
      <c r="D938" s="39"/>
      <c r="E938" s="39"/>
      <c r="F938" s="39"/>
      <c r="G938" s="39"/>
      <c r="H938" s="39"/>
      <c r="I938" s="39"/>
      <c r="J938" s="39"/>
      <c r="K938" s="39"/>
      <c r="L938" s="39"/>
      <c r="N938" s="216"/>
      <c r="O938" s="216"/>
      <c r="P938" s="39"/>
      <c r="Q938" s="39"/>
      <c r="R938" s="39"/>
    </row>
    <row r="939" spans="1:18" ht="15.75" customHeight="1">
      <c r="A939" s="39"/>
      <c r="B939" s="39"/>
      <c r="C939" s="39"/>
      <c r="D939" s="39"/>
      <c r="E939" s="39"/>
      <c r="F939" s="39"/>
      <c r="G939" s="39"/>
      <c r="H939" s="39"/>
      <c r="I939" s="39"/>
      <c r="J939" s="39"/>
      <c r="K939" s="39"/>
      <c r="L939" s="39"/>
      <c r="N939" s="216"/>
      <c r="O939" s="216"/>
      <c r="P939" s="39"/>
      <c r="Q939" s="39"/>
      <c r="R939" s="39"/>
    </row>
    <row r="940" spans="1:18" ht="15.75" customHeight="1">
      <c r="A940" s="39"/>
      <c r="B940" s="39"/>
      <c r="C940" s="39"/>
      <c r="D940" s="39"/>
      <c r="E940" s="39"/>
      <c r="F940" s="39"/>
      <c r="G940" s="39"/>
      <c r="H940" s="39"/>
      <c r="I940" s="39"/>
      <c r="J940" s="39"/>
      <c r="K940" s="39"/>
      <c r="L940" s="39"/>
      <c r="N940" s="216"/>
      <c r="O940" s="216"/>
      <c r="P940" s="39"/>
      <c r="Q940" s="39"/>
      <c r="R940" s="39"/>
    </row>
    <row r="941" spans="1:18" ht="15.75" customHeight="1">
      <c r="A941" s="39"/>
      <c r="B941" s="39"/>
      <c r="C941" s="39"/>
      <c r="D941" s="39"/>
      <c r="E941" s="39"/>
      <c r="F941" s="39"/>
      <c r="G941" s="39"/>
      <c r="H941" s="39"/>
      <c r="I941" s="39"/>
      <c r="J941" s="39"/>
      <c r="K941" s="39"/>
      <c r="L941" s="39"/>
      <c r="N941" s="216"/>
      <c r="O941" s="216"/>
      <c r="P941" s="39"/>
      <c r="Q941" s="39"/>
      <c r="R941" s="39"/>
    </row>
    <row r="942" spans="1:18" ht="15.75" customHeight="1">
      <c r="A942" s="39"/>
      <c r="B942" s="39"/>
      <c r="C942" s="39"/>
      <c r="D942" s="39"/>
      <c r="E942" s="39"/>
      <c r="F942" s="39"/>
      <c r="G942" s="39"/>
      <c r="H942" s="39"/>
      <c r="I942" s="39"/>
      <c r="J942" s="39"/>
      <c r="K942" s="39"/>
      <c r="L942" s="39"/>
      <c r="N942" s="216"/>
      <c r="O942" s="216"/>
      <c r="P942" s="39"/>
      <c r="Q942" s="39"/>
      <c r="R942" s="39"/>
    </row>
    <row r="943" spans="1:18" ht="15.75" customHeight="1">
      <c r="A943" s="39"/>
      <c r="B943" s="39"/>
      <c r="C943" s="39"/>
      <c r="D943" s="39"/>
      <c r="E943" s="39"/>
      <c r="F943" s="39"/>
      <c r="G943" s="39"/>
      <c r="H943" s="39"/>
      <c r="I943" s="39"/>
      <c r="J943" s="39"/>
      <c r="K943" s="39"/>
      <c r="L943" s="39"/>
      <c r="N943" s="216"/>
      <c r="O943" s="216"/>
      <c r="P943" s="39"/>
      <c r="Q943" s="39"/>
      <c r="R943" s="39"/>
    </row>
    <row r="944" spans="1:18" ht="15.75" customHeight="1">
      <c r="A944" s="39"/>
      <c r="B944" s="39"/>
      <c r="C944" s="39"/>
      <c r="D944" s="39"/>
      <c r="E944" s="39"/>
      <c r="F944" s="39"/>
      <c r="G944" s="39"/>
      <c r="H944" s="39"/>
      <c r="I944" s="39"/>
      <c r="J944" s="39"/>
      <c r="K944" s="39"/>
      <c r="L944" s="39"/>
      <c r="N944" s="216"/>
      <c r="O944" s="216"/>
      <c r="P944" s="39"/>
      <c r="Q944" s="39"/>
      <c r="R944" s="39"/>
    </row>
    <row r="945" spans="1:18" ht="15.75" customHeight="1">
      <c r="A945" s="39"/>
      <c r="B945" s="39"/>
      <c r="C945" s="39"/>
      <c r="D945" s="39"/>
      <c r="E945" s="39"/>
      <c r="F945" s="39"/>
      <c r="G945" s="39"/>
      <c r="H945" s="39"/>
      <c r="I945" s="39"/>
      <c r="J945" s="39"/>
      <c r="K945" s="39"/>
      <c r="L945" s="39"/>
      <c r="N945" s="216"/>
      <c r="O945" s="216"/>
      <c r="P945" s="39"/>
      <c r="Q945" s="39"/>
      <c r="R945" s="39"/>
    </row>
    <row r="946" spans="1:18" ht="15.75" customHeight="1">
      <c r="A946" s="39"/>
      <c r="B946" s="39"/>
      <c r="C946" s="39"/>
      <c r="D946" s="39"/>
      <c r="E946" s="39"/>
      <c r="F946" s="39"/>
      <c r="G946" s="39"/>
      <c r="H946" s="39"/>
      <c r="I946" s="39"/>
      <c r="J946" s="39"/>
      <c r="K946" s="39"/>
      <c r="L946" s="39"/>
      <c r="N946" s="216"/>
      <c r="O946" s="216"/>
      <c r="P946" s="39"/>
      <c r="Q946" s="39"/>
      <c r="R946" s="39"/>
    </row>
    <row r="947" spans="1:18" ht="15.75" customHeight="1">
      <c r="A947" s="39"/>
      <c r="B947" s="39"/>
      <c r="C947" s="39"/>
      <c r="D947" s="39"/>
      <c r="E947" s="39"/>
      <c r="F947" s="39"/>
      <c r="G947" s="39"/>
      <c r="H947" s="39"/>
      <c r="I947" s="39"/>
      <c r="J947" s="39"/>
      <c r="K947" s="39"/>
      <c r="L947" s="39"/>
      <c r="N947" s="216"/>
      <c r="O947" s="216"/>
      <c r="P947" s="39"/>
      <c r="Q947" s="39"/>
      <c r="R947" s="39"/>
    </row>
    <row r="948" spans="1:18" ht="15.75" customHeight="1">
      <c r="A948" s="39"/>
      <c r="B948" s="39"/>
      <c r="C948" s="39"/>
      <c r="D948" s="39"/>
      <c r="E948" s="39"/>
      <c r="F948" s="39"/>
      <c r="G948" s="39"/>
      <c r="H948" s="39"/>
      <c r="I948" s="39"/>
      <c r="J948" s="39"/>
      <c r="K948" s="39"/>
      <c r="L948" s="39"/>
      <c r="N948" s="216"/>
      <c r="O948" s="216"/>
      <c r="P948" s="39"/>
      <c r="Q948" s="39"/>
      <c r="R948" s="39"/>
    </row>
    <row r="949" spans="1:18" ht="15.75" customHeight="1">
      <c r="A949" s="39"/>
      <c r="B949" s="39"/>
      <c r="C949" s="39"/>
      <c r="D949" s="39"/>
      <c r="E949" s="39"/>
      <c r="F949" s="39"/>
      <c r="G949" s="39"/>
      <c r="H949" s="39"/>
      <c r="I949" s="39"/>
      <c r="J949" s="39"/>
      <c r="K949" s="39"/>
      <c r="L949" s="39"/>
      <c r="N949" s="216"/>
      <c r="O949" s="216"/>
      <c r="P949" s="39"/>
      <c r="Q949" s="39"/>
      <c r="R949" s="39"/>
    </row>
    <row r="950" spans="1:18" ht="15.75" customHeight="1">
      <c r="A950" s="39"/>
      <c r="B950" s="39"/>
      <c r="C950" s="39"/>
      <c r="D950" s="39"/>
      <c r="E950" s="39"/>
      <c r="F950" s="39"/>
      <c r="G950" s="39"/>
      <c r="H950" s="39"/>
      <c r="I950" s="39"/>
      <c r="J950" s="39"/>
      <c r="K950" s="39"/>
      <c r="L950" s="39"/>
      <c r="N950" s="216"/>
      <c r="O950" s="216"/>
      <c r="P950" s="39"/>
      <c r="Q950" s="39"/>
      <c r="R950" s="39"/>
    </row>
    <row r="951" spans="1:18" ht="15.75" customHeight="1">
      <c r="A951" s="39"/>
      <c r="B951" s="39"/>
      <c r="C951" s="39"/>
      <c r="D951" s="39"/>
      <c r="E951" s="39"/>
      <c r="F951" s="39"/>
      <c r="G951" s="39"/>
      <c r="H951" s="39"/>
      <c r="I951" s="39"/>
      <c r="J951" s="39"/>
      <c r="K951" s="39"/>
      <c r="L951" s="39"/>
      <c r="N951" s="216"/>
      <c r="O951" s="216"/>
      <c r="P951" s="39"/>
      <c r="Q951" s="39"/>
      <c r="R951" s="39"/>
    </row>
    <row r="952" spans="1:18" ht="15.75" customHeight="1">
      <c r="A952" s="39"/>
      <c r="B952" s="39"/>
      <c r="C952" s="39"/>
      <c r="D952" s="39"/>
      <c r="E952" s="39"/>
      <c r="F952" s="39"/>
      <c r="G952" s="39"/>
      <c r="H952" s="39"/>
      <c r="I952" s="39"/>
      <c r="J952" s="39"/>
      <c r="K952" s="39"/>
      <c r="L952" s="39"/>
      <c r="N952" s="216"/>
      <c r="O952" s="216"/>
      <c r="P952" s="39"/>
      <c r="Q952" s="39"/>
      <c r="R952" s="39"/>
    </row>
    <row r="953" spans="1:18" ht="15.75" customHeight="1">
      <c r="A953" s="39"/>
      <c r="B953" s="39"/>
      <c r="C953" s="39"/>
      <c r="D953" s="39"/>
      <c r="E953" s="39"/>
      <c r="F953" s="39"/>
      <c r="G953" s="39"/>
      <c r="H953" s="39"/>
      <c r="I953" s="39"/>
      <c r="J953" s="39"/>
      <c r="K953" s="39"/>
      <c r="L953" s="39"/>
      <c r="N953" s="216"/>
      <c r="O953" s="216"/>
      <c r="P953" s="39"/>
      <c r="Q953" s="39"/>
      <c r="R953" s="39"/>
    </row>
    <row r="954" spans="1:18" ht="15.75" customHeight="1">
      <c r="A954" s="39"/>
      <c r="B954" s="39"/>
      <c r="C954" s="39"/>
      <c r="D954" s="39"/>
      <c r="E954" s="39"/>
      <c r="F954" s="39"/>
      <c r="G954" s="39"/>
      <c r="H954" s="39"/>
      <c r="I954" s="39"/>
      <c r="J954" s="39"/>
      <c r="K954" s="39"/>
      <c r="L954" s="39"/>
      <c r="N954" s="216"/>
      <c r="O954" s="216"/>
      <c r="P954" s="39"/>
      <c r="Q954" s="39"/>
      <c r="R954" s="39"/>
    </row>
    <row r="955" spans="1:18" ht="15.75" customHeight="1">
      <c r="A955" s="39"/>
      <c r="B955" s="39"/>
      <c r="C955" s="39"/>
      <c r="D955" s="39"/>
      <c r="E955" s="39"/>
      <c r="F955" s="39"/>
      <c r="G955" s="39"/>
      <c r="H955" s="39"/>
      <c r="I955" s="39"/>
      <c r="J955" s="39"/>
      <c r="K955" s="39"/>
      <c r="L955" s="39"/>
      <c r="N955" s="216"/>
      <c r="O955" s="216"/>
      <c r="P955" s="39"/>
      <c r="Q955" s="39"/>
      <c r="R955" s="39"/>
    </row>
    <row r="956" spans="1:18" ht="15.75" customHeight="1">
      <c r="A956" s="39"/>
      <c r="B956" s="39"/>
      <c r="C956" s="39"/>
      <c r="D956" s="39"/>
      <c r="E956" s="39"/>
      <c r="F956" s="39"/>
      <c r="G956" s="39"/>
      <c r="H956" s="39"/>
      <c r="I956" s="39"/>
      <c r="J956" s="39"/>
      <c r="K956" s="39"/>
      <c r="L956" s="39"/>
      <c r="N956" s="216"/>
      <c r="O956" s="216"/>
      <c r="P956" s="39"/>
      <c r="Q956" s="39"/>
      <c r="R956" s="39"/>
    </row>
    <row r="957" spans="1:18" ht="15.75" customHeight="1">
      <c r="A957" s="39"/>
      <c r="B957" s="39"/>
      <c r="C957" s="39"/>
      <c r="D957" s="39"/>
      <c r="E957" s="39"/>
      <c r="F957" s="39"/>
      <c r="G957" s="39"/>
      <c r="H957" s="39"/>
      <c r="I957" s="39"/>
      <c r="J957" s="39"/>
      <c r="K957" s="39"/>
      <c r="L957" s="39"/>
      <c r="N957" s="216"/>
      <c r="O957" s="216"/>
      <c r="P957" s="39"/>
      <c r="Q957" s="39"/>
      <c r="R957" s="39"/>
    </row>
    <row r="958" spans="1:18" ht="15.75" customHeight="1">
      <c r="A958" s="39"/>
      <c r="B958" s="39"/>
      <c r="C958" s="39"/>
      <c r="D958" s="39"/>
      <c r="E958" s="39"/>
      <c r="F958" s="39"/>
      <c r="G958" s="39"/>
      <c r="H958" s="39"/>
      <c r="I958" s="39"/>
      <c r="J958" s="39"/>
      <c r="K958" s="39"/>
      <c r="L958" s="39"/>
      <c r="N958" s="216"/>
      <c r="O958" s="216"/>
      <c r="P958" s="39"/>
      <c r="Q958" s="39"/>
      <c r="R958" s="39"/>
    </row>
    <row r="959" spans="1:18" ht="15.75" customHeight="1">
      <c r="A959" s="39"/>
      <c r="B959" s="39"/>
      <c r="C959" s="39"/>
      <c r="D959" s="39"/>
      <c r="E959" s="39"/>
      <c r="F959" s="39"/>
      <c r="G959" s="39"/>
      <c r="H959" s="39"/>
      <c r="I959" s="39"/>
      <c r="J959" s="39"/>
      <c r="K959" s="39"/>
      <c r="L959" s="39"/>
      <c r="N959" s="216"/>
      <c r="O959" s="216"/>
      <c r="P959" s="39"/>
      <c r="Q959" s="39"/>
      <c r="R959" s="39"/>
    </row>
    <row r="960" spans="1:18" ht="15.75" customHeight="1">
      <c r="A960" s="39"/>
      <c r="B960" s="39"/>
      <c r="C960" s="39"/>
      <c r="D960" s="39"/>
      <c r="E960" s="39"/>
      <c r="F960" s="39"/>
      <c r="G960" s="39"/>
      <c r="H960" s="39"/>
      <c r="I960" s="39"/>
      <c r="J960" s="39"/>
      <c r="K960" s="39"/>
      <c r="L960" s="39"/>
      <c r="N960" s="216"/>
      <c r="O960" s="216"/>
      <c r="P960" s="39"/>
      <c r="Q960" s="39"/>
      <c r="R960" s="39"/>
    </row>
    <row r="961" spans="1:18" ht="15.75" customHeight="1">
      <c r="A961" s="39"/>
      <c r="B961" s="39"/>
      <c r="C961" s="39"/>
      <c r="D961" s="39"/>
      <c r="E961" s="39"/>
      <c r="F961" s="39"/>
      <c r="G961" s="39"/>
      <c r="H961" s="39"/>
      <c r="I961" s="39"/>
      <c r="J961" s="39"/>
      <c r="K961" s="39"/>
      <c r="L961" s="39"/>
      <c r="N961" s="216"/>
      <c r="O961" s="216"/>
      <c r="P961" s="39"/>
      <c r="Q961" s="39"/>
      <c r="R961" s="39"/>
    </row>
    <row r="962" spans="1:18" ht="15.75" customHeight="1">
      <c r="A962" s="39"/>
      <c r="B962" s="39"/>
      <c r="C962" s="39"/>
      <c r="D962" s="39"/>
      <c r="E962" s="39"/>
      <c r="F962" s="39"/>
      <c r="G962" s="39"/>
      <c r="H962" s="39"/>
      <c r="I962" s="39"/>
      <c r="J962" s="39"/>
      <c r="K962" s="39"/>
      <c r="L962" s="39"/>
      <c r="N962" s="216"/>
      <c r="O962" s="216"/>
      <c r="P962" s="39"/>
      <c r="Q962" s="39"/>
      <c r="R962" s="39"/>
    </row>
    <row r="963" spans="1:18" ht="15.75" customHeight="1">
      <c r="A963" s="39"/>
      <c r="B963" s="39"/>
      <c r="C963" s="39"/>
      <c r="D963" s="39"/>
      <c r="E963" s="39"/>
      <c r="F963" s="39"/>
      <c r="G963" s="39"/>
      <c r="H963" s="39"/>
      <c r="I963" s="39"/>
      <c r="J963" s="39"/>
      <c r="K963" s="39"/>
      <c r="L963" s="39"/>
      <c r="N963" s="216"/>
      <c r="O963" s="216"/>
      <c r="P963" s="39"/>
      <c r="Q963" s="39"/>
      <c r="R963" s="39"/>
    </row>
    <row r="964" spans="1:18" ht="15.75" customHeight="1">
      <c r="A964" s="39"/>
      <c r="B964" s="39"/>
      <c r="C964" s="39"/>
      <c r="D964" s="39"/>
      <c r="E964" s="39"/>
      <c r="F964" s="39"/>
      <c r="G964" s="39"/>
      <c r="H964" s="39"/>
      <c r="I964" s="39"/>
      <c r="J964" s="39"/>
      <c r="K964" s="39"/>
      <c r="L964" s="39"/>
      <c r="N964" s="216"/>
      <c r="O964" s="216"/>
      <c r="P964" s="39"/>
      <c r="Q964" s="39"/>
      <c r="R964" s="39"/>
    </row>
    <row r="965" spans="1:18" ht="15.75" customHeight="1">
      <c r="A965" s="39"/>
      <c r="B965" s="39"/>
      <c r="C965" s="39"/>
      <c r="D965" s="39"/>
      <c r="E965" s="39"/>
      <c r="F965" s="39"/>
      <c r="G965" s="39"/>
      <c r="H965" s="39"/>
      <c r="I965" s="39"/>
      <c r="J965" s="39"/>
      <c r="K965" s="39"/>
      <c r="L965" s="39"/>
      <c r="N965" s="216"/>
      <c r="O965" s="216"/>
      <c r="P965" s="39"/>
      <c r="Q965" s="39"/>
      <c r="R965" s="39"/>
    </row>
    <row r="966" spans="1:18" ht="15.75" customHeight="1">
      <c r="A966" s="39"/>
      <c r="B966" s="39"/>
      <c r="C966" s="39"/>
      <c r="D966" s="39"/>
      <c r="E966" s="39"/>
      <c r="F966" s="39"/>
      <c r="G966" s="39"/>
      <c r="H966" s="39"/>
      <c r="I966" s="39"/>
      <c r="J966" s="39"/>
      <c r="K966" s="39"/>
      <c r="L966" s="39"/>
      <c r="N966" s="216"/>
      <c r="O966" s="216"/>
      <c r="P966" s="39"/>
      <c r="Q966" s="39"/>
      <c r="R966" s="39"/>
    </row>
    <row r="967" spans="1:18" ht="15.75" customHeight="1">
      <c r="A967" s="39"/>
      <c r="B967" s="39"/>
      <c r="C967" s="39"/>
      <c r="D967" s="39"/>
      <c r="E967" s="39"/>
      <c r="F967" s="39"/>
      <c r="G967" s="39"/>
      <c r="H967" s="39"/>
      <c r="I967" s="39"/>
      <c r="J967" s="39"/>
      <c r="K967" s="39"/>
      <c r="L967" s="39"/>
      <c r="N967" s="216"/>
      <c r="O967" s="216"/>
      <c r="P967" s="39"/>
      <c r="Q967" s="39"/>
      <c r="R967" s="39"/>
    </row>
    <row r="968" spans="1:18" ht="15.75" customHeight="1">
      <c r="A968" s="39"/>
      <c r="B968" s="39"/>
      <c r="C968" s="39"/>
      <c r="D968" s="39"/>
      <c r="E968" s="39"/>
      <c r="F968" s="39"/>
      <c r="G968" s="39"/>
      <c r="H968" s="39"/>
      <c r="I968" s="39"/>
      <c r="J968" s="39"/>
      <c r="K968" s="39"/>
      <c r="L968" s="39"/>
      <c r="N968" s="216"/>
      <c r="O968" s="216"/>
      <c r="P968" s="39"/>
      <c r="Q968" s="39"/>
      <c r="R968" s="39"/>
    </row>
    <row r="969" spans="1:18" ht="15.75" customHeight="1">
      <c r="A969" s="39"/>
      <c r="B969" s="39"/>
      <c r="C969" s="39"/>
      <c r="D969" s="39"/>
      <c r="E969" s="39"/>
      <c r="F969" s="39"/>
      <c r="G969" s="39"/>
      <c r="H969" s="39"/>
      <c r="I969" s="39"/>
      <c r="J969" s="39"/>
      <c r="K969" s="39"/>
      <c r="L969" s="39"/>
      <c r="N969" s="216"/>
      <c r="O969" s="216"/>
      <c r="P969" s="39"/>
      <c r="Q969" s="39"/>
      <c r="R969" s="39"/>
    </row>
    <row r="970" spans="1:18" ht="15.75" customHeight="1">
      <c r="A970" s="39"/>
      <c r="B970" s="39"/>
      <c r="C970" s="39"/>
      <c r="D970" s="39"/>
      <c r="E970" s="39"/>
      <c r="F970" s="39"/>
      <c r="G970" s="39"/>
      <c r="H970" s="39"/>
      <c r="I970" s="39"/>
      <c r="J970" s="39"/>
      <c r="K970" s="39"/>
      <c r="L970" s="39"/>
      <c r="N970" s="216"/>
      <c r="O970" s="216"/>
      <c r="P970" s="39"/>
      <c r="Q970" s="39"/>
      <c r="R970" s="39"/>
    </row>
    <row r="971" spans="1:18" ht="15.75" customHeight="1">
      <c r="A971" s="39"/>
      <c r="B971" s="39"/>
      <c r="C971" s="39"/>
      <c r="D971" s="39"/>
      <c r="E971" s="39"/>
      <c r="F971" s="39"/>
      <c r="G971" s="39"/>
      <c r="H971" s="39"/>
      <c r="I971" s="39"/>
      <c r="J971" s="39"/>
      <c r="K971" s="39"/>
      <c r="L971" s="39"/>
      <c r="N971" s="216"/>
      <c r="O971" s="216"/>
      <c r="P971" s="39"/>
      <c r="Q971" s="39"/>
      <c r="R971" s="39"/>
    </row>
    <row r="972" spans="1:18" ht="15.75" customHeight="1">
      <c r="A972" s="39"/>
      <c r="B972" s="39"/>
      <c r="C972" s="39"/>
      <c r="D972" s="39"/>
      <c r="E972" s="39"/>
      <c r="F972" s="39"/>
      <c r="G972" s="39"/>
      <c r="H972" s="39"/>
      <c r="I972" s="39"/>
      <c r="J972" s="39"/>
      <c r="K972" s="39"/>
      <c r="L972" s="39"/>
      <c r="N972" s="216"/>
      <c r="O972" s="216"/>
      <c r="P972" s="39"/>
      <c r="Q972" s="39"/>
      <c r="R972" s="39"/>
    </row>
    <row r="973" spans="1:18" ht="15.75" customHeight="1">
      <c r="A973" s="39"/>
      <c r="B973" s="39"/>
      <c r="C973" s="39"/>
      <c r="D973" s="39"/>
      <c r="E973" s="39"/>
      <c r="F973" s="39"/>
      <c r="G973" s="39"/>
      <c r="H973" s="39"/>
      <c r="I973" s="39"/>
      <c r="J973" s="39"/>
      <c r="K973" s="39"/>
      <c r="L973" s="39"/>
      <c r="N973" s="216"/>
      <c r="O973" s="216"/>
      <c r="P973" s="39"/>
      <c r="Q973" s="39"/>
      <c r="R973" s="39"/>
    </row>
    <row r="974" spans="1:18" ht="15.75" customHeight="1">
      <c r="A974" s="39"/>
      <c r="B974" s="39"/>
      <c r="C974" s="39"/>
      <c r="D974" s="39"/>
      <c r="E974" s="39"/>
      <c r="F974" s="39"/>
      <c r="G974" s="39"/>
      <c r="H974" s="39"/>
      <c r="I974" s="39"/>
      <c r="J974" s="39"/>
      <c r="K974" s="39"/>
      <c r="L974" s="39"/>
      <c r="N974" s="216"/>
      <c r="O974" s="216"/>
      <c r="P974" s="39"/>
      <c r="Q974" s="39"/>
      <c r="R974" s="39"/>
    </row>
    <row r="975" spans="1:18" ht="15.75" customHeight="1">
      <c r="A975" s="39"/>
      <c r="B975" s="39"/>
      <c r="C975" s="39"/>
      <c r="D975" s="39"/>
      <c r="E975" s="39"/>
      <c r="F975" s="39"/>
      <c r="G975" s="39"/>
      <c r="H975" s="39"/>
      <c r="I975" s="39"/>
      <c r="J975" s="39"/>
      <c r="K975" s="39"/>
      <c r="L975" s="39"/>
      <c r="N975" s="216"/>
      <c r="O975" s="216"/>
      <c r="P975" s="39"/>
      <c r="Q975" s="39"/>
      <c r="R975" s="39"/>
    </row>
    <row r="976" spans="1:18" ht="15.75" customHeight="1">
      <c r="A976" s="39"/>
      <c r="B976" s="39"/>
      <c r="C976" s="39"/>
      <c r="D976" s="39"/>
      <c r="E976" s="39"/>
      <c r="F976" s="39"/>
      <c r="G976" s="39"/>
      <c r="H976" s="39"/>
      <c r="I976" s="39"/>
      <c r="J976" s="39"/>
      <c r="K976" s="39"/>
      <c r="L976" s="39"/>
      <c r="N976" s="216"/>
      <c r="O976" s="216"/>
      <c r="P976" s="39"/>
      <c r="Q976" s="39"/>
      <c r="R976" s="39"/>
    </row>
    <row r="977" spans="1:18" ht="15.75" customHeight="1">
      <c r="A977" s="39"/>
      <c r="B977" s="39"/>
      <c r="C977" s="39"/>
      <c r="D977" s="39"/>
      <c r="E977" s="39"/>
      <c r="F977" s="39"/>
      <c r="G977" s="39"/>
      <c r="H977" s="39"/>
      <c r="I977" s="39"/>
      <c r="J977" s="39"/>
      <c r="K977" s="39"/>
      <c r="L977" s="39"/>
      <c r="N977" s="216"/>
      <c r="O977" s="216"/>
      <c r="P977" s="39"/>
      <c r="Q977" s="39"/>
      <c r="R977" s="39"/>
    </row>
    <row r="978" spans="1:18" ht="15.75" customHeight="1">
      <c r="A978" s="39"/>
      <c r="B978" s="39"/>
      <c r="C978" s="39"/>
      <c r="D978" s="39"/>
      <c r="E978" s="39"/>
      <c r="F978" s="39"/>
      <c r="G978" s="39"/>
      <c r="H978" s="39"/>
      <c r="I978" s="39"/>
      <c r="J978" s="39"/>
      <c r="K978" s="39"/>
      <c r="L978" s="39"/>
      <c r="N978" s="216"/>
      <c r="O978" s="216"/>
      <c r="P978" s="39"/>
      <c r="Q978" s="39"/>
      <c r="R978" s="39"/>
    </row>
    <row r="979" spans="1:18" ht="15.75" customHeight="1">
      <c r="A979" s="39"/>
      <c r="B979" s="39"/>
      <c r="C979" s="39"/>
      <c r="D979" s="39"/>
      <c r="E979" s="39"/>
      <c r="F979" s="39"/>
      <c r="G979" s="39"/>
      <c r="H979" s="39"/>
      <c r="I979" s="39"/>
      <c r="J979" s="39"/>
      <c r="K979" s="39"/>
      <c r="L979" s="39"/>
      <c r="N979" s="216"/>
      <c r="O979" s="216"/>
      <c r="P979" s="39"/>
      <c r="Q979" s="39"/>
      <c r="R979" s="39"/>
    </row>
    <row r="980" spans="1:18" ht="15.75" customHeight="1">
      <c r="A980" s="39"/>
      <c r="B980" s="39"/>
      <c r="C980" s="39"/>
      <c r="D980" s="39"/>
      <c r="E980" s="39"/>
      <c r="F980" s="39"/>
      <c r="G980" s="39"/>
      <c r="H980" s="39"/>
      <c r="I980" s="39"/>
      <c r="J980" s="39"/>
      <c r="K980" s="39"/>
      <c r="L980" s="39"/>
      <c r="N980" s="216"/>
      <c r="O980" s="216"/>
      <c r="P980" s="39"/>
      <c r="Q980" s="39"/>
      <c r="R980" s="39"/>
    </row>
    <row r="981" spans="1:18" ht="15.75" customHeight="1">
      <c r="A981" s="39"/>
      <c r="B981" s="39"/>
      <c r="C981" s="39"/>
      <c r="D981" s="39"/>
      <c r="E981" s="39"/>
      <c r="F981" s="39"/>
      <c r="G981" s="39"/>
      <c r="H981" s="39"/>
      <c r="I981" s="39"/>
      <c r="J981" s="39"/>
      <c r="K981" s="39"/>
      <c r="L981" s="39"/>
      <c r="N981" s="216"/>
      <c r="O981" s="216"/>
      <c r="P981" s="39"/>
      <c r="Q981" s="39"/>
      <c r="R981" s="39"/>
    </row>
    <row r="982" spans="1:18" ht="15.75" customHeight="1">
      <c r="A982" s="39"/>
      <c r="B982" s="39"/>
      <c r="C982" s="39"/>
      <c r="D982" s="39"/>
      <c r="E982" s="39"/>
      <c r="F982" s="39"/>
      <c r="G982" s="39"/>
      <c r="H982" s="39"/>
      <c r="I982" s="39"/>
      <c r="J982" s="39"/>
      <c r="K982" s="39"/>
      <c r="L982" s="39"/>
      <c r="N982" s="216"/>
      <c r="O982" s="216"/>
      <c r="P982" s="39"/>
      <c r="Q982" s="39"/>
      <c r="R982" s="39"/>
    </row>
    <row r="983" spans="1:18" ht="15.75" customHeight="1">
      <c r="A983" s="39"/>
      <c r="B983" s="39"/>
      <c r="C983" s="39"/>
      <c r="D983" s="39"/>
      <c r="E983" s="39"/>
      <c r="F983" s="39"/>
      <c r="G983" s="39"/>
      <c r="H983" s="39"/>
      <c r="I983" s="39"/>
      <c r="J983" s="39"/>
      <c r="K983" s="39"/>
      <c r="L983" s="39"/>
      <c r="N983" s="216"/>
      <c r="O983" s="216"/>
      <c r="P983" s="39"/>
      <c r="Q983" s="39"/>
      <c r="R983" s="39"/>
    </row>
    <row r="984" spans="1:18" ht="15.75" customHeight="1">
      <c r="A984" s="39"/>
      <c r="B984" s="39"/>
      <c r="C984" s="39"/>
      <c r="D984" s="39"/>
      <c r="E984" s="39"/>
      <c r="F984" s="39"/>
      <c r="G984" s="39"/>
      <c r="H984" s="39"/>
      <c r="I984" s="39"/>
      <c r="J984" s="39"/>
      <c r="K984" s="39"/>
      <c r="L984" s="39"/>
      <c r="N984" s="216"/>
      <c r="O984" s="216"/>
      <c r="P984" s="39"/>
      <c r="Q984" s="39"/>
      <c r="R984" s="39"/>
    </row>
    <row r="985" spans="1:18" ht="15.75" customHeight="1">
      <c r="A985" s="39"/>
      <c r="B985" s="39"/>
      <c r="C985" s="39"/>
      <c r="D985" s="39"/>
      <c r="E985" s="39"/>
      <c r="F985" s="39"/>
      <c r="G985" s="39"/>
      <c r="H985" s="39"/>
      <c r="I985" s="39"/>
      <c r="J985" s="39"/>
      <c r="K985" s="39"/>
      <c r="L985" s="39"/>
      <c r="N985" s="216"/>
      <c r="O985" s="216"/>
      <c r="P985" s="39"/>
      <c r="Q985" s="39"/>
      <c r="R985" s="39"/>
    </row>
    <row r="986" spans="1:18" ht="15.75" customHeight="1">
      <c r="A986" s="39"/>
      <c r="B986" s="39"/>
      <c r="C986" s="39"/>
      <c r="D986" s="39"/>
      <c r="E986" s="39"/>
      <c r="F986" s="39"/>
      <c r="G986" s="39"/>
      <c r="H986" s="39"/>
      <c r="I986" s="39"/>
      <c r="J986" s="39"/>
      <c r="K986" s="39"/>
      <c r="L986" s="39"/>
      <c r="N986" s="216"/>
      <c r="O986" s="216"/>
      <c r="P986" s="39"/>
      <c r="Q986" s="39"/>
      <c r="R986" s="39"/>
    </row>
    <row r="987" spans="1:18" ht="15.75" customHeight="1">
      <c r="A987" s="39"/>
      <c r="B987" s="39"/>
      <c r="C987" s="39"/>
      <c r="D987" s="39"/>
      <c r="E987" s="39"/>
      <c r="F987" s="39"/>
      <c r="G987" s="39"/>
      <c r="H987" s="39"/>
      <c r="I987" s="39"/>
      <c r="J987" s="39"/>
      <c r="K987" s="39"/>
      <c r="L987" s="39"/>
      <c r="N987" s="216"/>
      <c r="O987" s="216"/>
      <c r="P987" s="39"/>
      <c r="Q987" s="39"/>
      <c r="R987" s="39"/>
    </row>
    <row r="988" spans="1:18" ht="15.75" customHeight="1">
      <c r="A988" s="39"/>
      <c r="B988" s="39"/>
      <c r="C988" s="39"/>
      <c r="D988" s="39"/>
      <c r="E988" s="39"/>
      <c r="F988" s="39"/>
      <c r="G988" s="39"/>
      <c r="H988" s="39"/>
      <c r="I988" s="39"/>
      <c r="J988" s="39"/>
      <c r="K988" s="39"/>
      <c r="L988" s="39"/>
      <c r="N988" s="216"/>
      <c r="O988" s="216"/>
      <c r="P988" s="39"/>
      <c r="Q988" s="39"/>
      <c r="R988" s="39"/>
    </row>
    <row r="989" spans="1:18" ht="15.75" customHeight="1">
      <c r="A989" s="39"/>
      <c r="B989" s="39"/>
      <c r="C989" s="39"/>
      <c r="D989" s="39"/>
      <c r="E989" s="39"/>
      <c r="F989" s="39"/>
      <c r="G989" s="39"/>
      <c r="H989" s="39"/>
      <c r="I989" s="39"/>
      <c r="J989" s="39"/>
      <c r="K989" s="39"/>
      <c r="L989" s="39"/>
      <c r="N989" s="216"/>
      <c r="O989" s="216"/>
      <c r="P989" s="39"/>
      <c r="Q989" s="39"/>
      <c r="R989" s="39"/>
    </row>
    <row r="990" spans="1:18" ht="15.75" customHeight="1">
      <c r="A990" s="39"/>
      <c r="B990" s="39"/>
      <c r="C990" s="39"/>
      <c r="D990" s="39"/>
      <c r="E990" s="39"/>
      <c r="F990" s="39"/>
      <c r="G990" s="39"/>
      <c r="H990" s="39"/>
      <c r="I990" s="39"/>
      <c r="J990" s="39"/>
      <c r="K990" s="39"/>
      <c r="L990" s="39"/>
      <c r="N990" s="216"/>
      <c r="O990" s="216"/>
      <c r="P990" s="39"/>
      <c r="Q990" s="39"/>
      <c r="R990" s="39"/>
    </row>
    <row r="991" spans="1:18" ht="15.75" customHeight="1">
      <c r="A991" s="39"/>
      <c r="B991" s="39"/>
      <c r="C991" s="39"/>
      <c r="D991" s="39"/>
      <c r="E991" s="39"/>
      <c r="F991" s="39"/>
      <c r="G991" s="39"/>
      <c r="H991" s="39"/>
      <c r="I991" s="39"/>
      <c r="J991" s="39"/>
      <c r="K991" s="39"/>
      <c r="L991" s="39"/>
      <c r="N991" s="216"/>
      <c r="O991" s="216"/>
      <c r="P991" s="39"/>
      <c r="Q991" s="39"/>
      <c r="R991" s="39"/>
    </row>
    <row r="992" spans="1:18" ht="15.75" customHeight="1">
      <c r="A992" s="39"/>
      <c r="B992" s="39"/>
      <c r="C992" s="39"/>
      <c r="D992" s="39"/>
      <c r="E992" s="39"/>
      <c r="F992" s="39"/>
      <c r="G992" s="39"/>
      <c r="H992" s="39"/>
      <c r="I992" s="39"/>
      <c r="J992" s="39"/>
      <c r="K992" s="39"/>
      <c r="L992" s="39"/>
      <c r="N992" s="216"/>
      <c r="O992" s="216"/>
      <c r="P992" s="39"/>
      <c r="Q992" s="39"/>
      <c r="R992" s="39"/>
    </row>
    <row r="993" spans="1:18" ht="15.75" customHeight="1">
      <c r="A993" s="39"/>
      <c r="B993" s="39"/>
      <c r="C993" s="39"/>
      <c r="D993" s="39"/>
      <c r="E993" s="39"/>
      <c r="F993" s="39"/>
      <c r="G993" s="39"/>
      <c r="H993" s="39"/>
      <c r="I993" s="39"/>
      <c r="J993" s="39"/>
      <c r="K993" s="39"/>
      <c r="L993" s="39"/>
      <c r="N993" s="216"/>
      <c r="O993" s="216"/>
      <c r="P993" s="39"/>
      <c r="Q993" s="39"/>
      <c r="R993" s="39"/>
    </row>
    <row r="994" spans="1:18" ht="15.75" customHeight="1">
      <c r="A994" s="39"/>
      <c r="B994" s="39"/>
      <c r="C994" s="39"/>
      <c r="D994" s="39"/>
      <c r="E994" s="39"/>
      <c r="F994" s="39"/>
      <c r="G994" s="39"/>
      <c r="H994" s="39"/>
      <c r="I994" s="39"/>
      <c r="J994" s="39"/>
      <c r="K994" s="39"/>
      <c r="L994" s="39"/>
      <c r="N994" s="216"/>
      <c r="O994" s="216"/>
      <c r="P994" s="39"/>
      <c r="Q994" s="39"/>
      <c r="R994" s="39"/>
    </row>
    <row r="995" spans="1:18" ht="15.75" customHeight="1">
      <c r="A995" s="39"/>
      <c r="B995" s="39"/>
      <c r="C995" s="39"/>
      <c r="D995" s="39"/>
      <c r="E995" s="39"/>
      <c r="F995" s="39"/>
      <c r="G995" s="39"/>
      <c r="H995" s="39"/>
      <c r="I995" s="39"/>
      <c r="J995" s="39"/>
      <c r="K995" s="39"/>
      <c r="L995" s="39"/>
      <c r="N995" s="216"/>
      <c r="O995" s="216"/>
      <c r="P995" s="39"/>
      <c r="Q995" s="39"/>
      <c r="R995" s="39"/>
    </row>
    <row r="996" spans="1:18" ht="15.75" customHeight="1">
      <c r="A996" s="39"/>
      <c r="B996" s="39"/>
      <c r="C996" s="39"/>
      <c r="D996" s="39"/>
      <c r="E996" s="39"/>
      <c r="F996" s="39"/>
      <c r="G996" s="39"/>
      <c r="H996" s="39"/>
      <c r="I996" s="39"/>
      <c r="J996" s="39"/>
      <c r="K996" s="39"/>
      <c r="L996" s="39"/>
      <c r="N996" s="216"/>
      <c r="O996" s="216"/>
      <c r="P996" s="39"/>
      <c r="Q996" s="39"/>
      <c r="R996" s="39"/>
    </row>
    <row r="997" spans="1:18" ht="15.75" customHeight="1">
      <c r="A997" s="39"/>
      <c r="B997" s="39"/>
      <c r="C997" s="39"/>
      <c r="D997" s="39"/>
      <c r="E997" s="39"/>
      <c r="F997" s="39"/>
      <c r="G997" s="39"/>
      <c r="H997" s="39"/>
      <c r="I997" s="39"/>
      <c r="J997" s="39"/>
      <c r="K997" s="39"/>
      <c r="L997" s="39"/>
      <c r="N997" s="216"/>
      <c r="O997" s="216"/>
      <c r="P997" s="39"/>
      <c r="Q997" s="39"/>
      <c r="R997" s="39"/>
    </row>
    <row r="998" spans="1:18" ht="15.75" customHeight="1">
      <c r="A998" s="39"/>
      <c r="B998" s="39"/>
      <c r="C998" s="39"/>
      <c r="D998" s="39"/>
      <c r="E998" s="39"/>
      <c r="F998" s="39"/>
      <c r="G998" s="39"/>
      <c r="H998" s="39"/>
      <c r="I998" s="39"/>
      <c r="J998" s="39"/>
      <c r="K998" s="39"/>
      <c r="L998" s="39"/>
      <c r="N998" s="216"/>
      <c r="O998" s="216"/>
      <c r="P998" s="39"/>
      <c r="Q998" s="39"/>
      <c r="R998" s="39"/>
    </row>
    <row r="999" spans="1:18" ht="15.75" customHeight="1">
      <c r="A999" s="39"/>
      <c r="B999" s="39"/>
      <c r="C999" s="39"/>
      <c r="D999" s="39"/>
      <c r="E999" s="39"/>
      <c r="F999" s="39"/>
      <c r="G999" s="39"/>
      <c r="H999" s="39"/>
      <c r="I999" s="39"/>
      <c r="J999" s="39"/>
      <c r="K999" s="39"/>
      <c r="L999" s="39"/>
      <c r="N999" s="216"/>
      <c r="O999" s="216"/>
      <c r="P999" s="39"/>
      <c r="Q999" s="39"/>
      <c r="R999" s="39"/>
    </row>
    <row r="1000" spans="1:18" ht="15.75" customHeight="1">
      <c r="A1000" s="39"/>
      <c r="B1000" s="39"/>
      <c r="C1000" s="39"/>
      <c r="D1000" s="39"/>
      <c r="E1000" s="39"/>
      <c r="F1000" s="39"/>
      <c r="G1000" s="39"/>
      <c r="H1000" s="39"/>
      <c r="I1000" s="39"/>
      <c r="J1000" s="39"/>
      <c r="K1000" s="39"/>
      <c r="L1000" s="39"/>
      <c r="N1000" s="216"/>
      <c r="O1000" s="216"/>
      <c r="P1000" s="39"/>
      <c r="Q1000" s="39"/>
      <c r="R1000" s="39"/>
    </row>
    <row r="1001" spans="1:18" ht="15.75" customHeight="1">
      <c r="A1001" s="39"/>
      <c r="B1001" s="39"/>
      <c r="C1001" s="39"/>
      <c r="D1001" s="39"/>
      <c r="E1001" s="39"/>
      <c r="F1001" s="39"/>
      <c r="G1001" s="39"/>
      <c r="H1001" s="39"/>
      <c r="I1001" s="39"/>
      <c r="J1001" s="39"/>
      <c r="K1001" s="39"/>
      <c r="L1001" s="39"/>
      <c r="N1001" s="216"/>
      <c r="O1001" s="216"/>
      <c r="P1001" s="39"/>
      <c r="Q1001" s="39"/>
      <c r="R1001" s="39"/>
    </row>
  </sheetData>
  <mergeCells count="17">
    <mergeCell ref="D8:D9"/>
    <mergeCell ref="E8:E9"/>
    <mergeCell ref="F8:F9"/>
    <mergeCell ref="G8:G9"/>
    <mergeCell ref="B8:B9"/>
    <mergeCell ref="C8:C9"/>
    <mergeCell ref="B1:N1"/>
    <mergeCell ref="B2:N2"/>
    <mergeCell ref="B3:N3"/>
    <mergeCell ref="B5:P5"/>
    <mergeCell ref="B7:H7"/>
    <mergeCell ref="I7:P7"/>
    <mergeCell ref="H8:H9"/>
    <mergeCell ref="K8:L8"/>
    <mergeCell ref="N8:N9"/>
    <mergeCell ref="O8:O9"/>
    <mergeCell ref="P8:P9"/>
  </mergeCells>
  <dataValidations count="2">
    <dataValidation type="list" allowBlank="1" showErrorMessage="1" sqref="E10:E21 J10:J21" xr:uid="{F07C056B-F7A2-4344-BE26-3D4A83A77139}">
      <formula1>#REF!</formula1>
    </dataValidation>
    <dataValidation type="list" allowBlank="1" showErrorMessage="1" sqref="E22:E58 J22:J58 B10:C58" xr:uid="{00000000-0002-0000-0300-000000000000}">
      <formula1>#REF!</formula1>
    </dataValidation>
  </dataValidations>
  <pageMargins left="0.7" right="0.7" top="0.75" bottom="0.75" header="0" footer="0"/>
  <pageSetup paperSize="5"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BCC53-0060-4A62-9EF7-653029015CE5}">
  <dimension ref="A2:G28"/>
  <sheetViews>
    <sheetView showGridLines="0" tabSelected="1" zoomScaleNormal="100" workbookViewId="0">
      <selection sqref="A1:B1"/>
    </sheetView>
  </sheetViews>
  <sheetFormatPr baseColWidth="10" defaultColWidth="11.453125" defaultRowHeight="12.5"/>
  <cols>
    <col min="1" max="1" width="27.81640625" style="345" bestFit="1" customWidth="1"/>
    <col min="2" max="2" width="27" style="345" customWidth="1"/>
    <col min="3" max="3" width="29.453125" style="345" customWidth="1"/>
    <col min="4" max="4" width="26" style="345" customWidth="1"/>
    <col min="5" max="6" width="22.26953125" style="345" customWidth="1"/>
    <col min="7" max="7" width="12.7265625" style="345" customWidth="1"/>
    <col min="8" max="16384" width="11.453125" style="345"/>
  </cols>
  <sheetData>
    <row r="2" spans="1:7" ht="13">
      <c r="A2" s="344" t="s">
        <v>740</v>
      </c>
      <c r="B2" s="344"/>
      <c r="C2" s="344"/>
      <c r="D2" s="344"/>
      <c r="E2" s="344"/>
      <c r="F2" s="344"/>
    </row>
    <row r="3" spans="1:7" ht="13">
      <c r="A3" s="344" t="s">
        <v>741</v>
      </c>
      <c r="B3" s="344"/>
      <c r="C3" s="344"/>
      <c r="D3" s="344"/>
      <c r="E3" s="344"/>
      <c r="F3" s="344"/>
    </row>
    <row r="4" spans="1:7" ht="13">
      <c r="A4" s="344" t="s">
        <v>742</v>
      </c>
      <c r="B4" s="344"/>
      <c r="C4" s="344"/>
      <c r="D4" s="344"/>
      <c r="E4" s="344"/>
      <c r="F4" s="344"/>
    </row>
    <row r="5" spans="1:7" ht="13">
      <c r="A5" s="344" t="s">
        <v>743</v>
      </c>
      <c r="B5" s="344"/>
      <c r="C5" s="344"/>
      <c r="D5" s="344"/>
      <c r="E5" s="344"/>
      <c r="F5" s="344"/>
    </row>
    <row r="7" spans="1:7" ht="15.5">
      <c r="A7" s="346" t="s">
        <v>744</v>
      </c>
      <c r="B7" s="346"/>
      <c r="C7" s="346"/>
      <c r="D7" s="346"/>
      <c r="E7" s="346"/>
      <c r="F7" s="346"/>
    </row>
    <row r="8" spans="1:7" ht="13" thickBot="1"/>
    <row r="9" spans="1:7" ht="31.5" customHeight="1" thickBot="1">
      <c r="A9" s="347" t="s">
        <v>745</v>
      </c>
      <c r="B9" s="348" t="s">
        <v>746</v>
      </c>
      <c r="C9" s="348" t="s">
        <v>747</v>
      </c>
      <c r="D9" s="348" t="s">
        <v>748</v>
      </c>
      <c r="E9" s="348" t="s">
        <v>749</v>
      </c>
      <c r="F9" s="349" t="s">
        <v>750</v>
      </c>
      <c r="G9" s="350"/>
    </row>
    <row r="10" spans="1:7" ht="18" customHeight="1">
      <c r="A10" s="351" t="s">
        <v>724</v>
      </c>
      <c r="B10" s="352">
        <f>'Formulario 5-Compromisos'!B10+'Formulario 5-Compromisos'!B25+'Formulario 5-Compromisos'!B40+'Formulario 5-Compromisos'!B55</f>
        <v>11786044168.699999</v>
      </c>
      <c r="C10" s="352">
        <f>'Formulario 5-Compromisos'!C10+'Formulario 5-Compromisos'!C25+'Formulario 5-Compromisos'!C40+'Formulario 5-Compromisos'!C55</f>
        <v>10200022832.699999</v>
      </c>
      <c r="D10" s="352">
        <f>'Formulario 5-Compromisos'!D10+'Formulario 5-Compromisos'!D25+'Formulario 5-Compromisos'!D40+'Formulario 5-Compromisos'!D55</f>
        <v>0</v>
      </c>
      <c r="E10" s="352">
        <f t="shared" ref="E10:E19" si="0">C10+D10</f>
        <v>10200022832.699999</v>
      </c>
      <c r="F10" s="352">
        <f t="shared" ref="F10:F19" si="1">B10-E10</f>
        <v>1586021336</v>
      </c>
    </row>
    <row r="11" spans="1:7" ht="18" customHeight="1">
      <c r="A11" s="353" t="s">
        <v>723</v>
      </c>
      <c r="B11" s="352">
        <f>'Formulario 5-Compromisos'!B11+'Formulario 5-Compromisos'!B26+'Formulario 5-Compromisos'!B41+'Formulario 5-Compromisos'!B56</f>
        <v>18453286019.129997</v>
      </c>
      <c r="C11" s="352">
        <f>'Formulario 5-Compromisos'!C11+'Formulario 5-Compromisos'!C26+'Formulario 5-Compromisos'!C41+'Formulario 5-Compromisos'!C56</f>
        <v>5716574494.5299997</v>
      </c>
      <c r="D11" s="352">
        <f>'Formulario 5-Compromisos'!D11+'Formulario 5-Compromisos'!D26+'Formulario 5-Compromisos'!D41+'Formulario 5-Compromisos'!D56</f>
        <v>6146627952.0100002</v>
      </c>
      <c r="E11" s="354">
        <f t="shared" si="0"/>
        <v>11863202446.540001</v>
      </c>
      <c r="F11" s="354">
        <f t="shared" si="1"/>
        <v>6590083572.5899963</v>
      </c>
    </row>
    <row r="12" spans="1:7" ht="18" customHeight="1">
      <c r="A12" s="353" t="s">
        <v>751</v>
      </c>
      <c r="B12" s="352">
        <f>'Formulario 5-Compromisos'!B12+'Formulario 5-Compromisos'!B27+'Formulario 5-Compromisos'!B42+'Formulario 5-Compromisos'!B57</f>
        <v>3046849926</v>
      </c>
      <c r="C12" s="352">
        <f>'Formulario 5-Compromisos'!C12+'Formulario 5-Compromisos'!C27+'Formulario 5-Compromisos'!C42+'Formulario 5-Compromisos'!C57</f>
        <v>820237317.6400001</v>
      </c>
      <c r="D12" s="352">
        <f>'Formulario 5-Compromisos'!D12+'Formulario 5-Compromisos'!D27+'Formulario 5-Compromisos'!D42+'Formulario 5-Compromisos'!D57</f>
        <v>749120145.91000009</v>
      </c>
      <c r="E12" s="354">
        <f t="shared" si="0"/>
        <v>1569357463.5500002</v>
      </c>
      <c r="F12" s="354">
        <f t="shared" si="1"/>
        <v>1477492462.4499998</v>
      </c>
    </row>
    <row r="13" spans="1:7" ht="18" customHeight="1">
      <c r="A13" s="353" t="s">
        <v>752</v>
      </c>
      <c r="B13" s="352">
        <f>'Formulario 5-Compromisos'!B13+'Formulario 5-Compromisos'!B28+'Formulario 5-Compromisos'!B43+'Formulario 5-Compromisos'!B58</f>
        <v>250195430.13999999</v>
      </c>
      <c r="C13" s="352">
        <f>'Formulario 5-Compromisos'!C13+'Formulario 5-Compromisos'!C28+'Formulario 5-Compromisos'!C43+'Formulario 5-Compromisos'!C58</f>
        <v>245826420.03999999</v>
      </c>
      <c r="D13" s="352">
        <f>'Formulario 5-Compromisos'!D13+'Formulario 5-Compromisos'!D28+'Formulario 5-Compromisos'!D43+'Formulario 5-Compromisos'!D58</f>
        <v>0</v>
      </c>
      <c r="E13" s="354">
        <f t="shared" si="0"/>
        <v>245826420.03999999</v>
      </c>
      <c r="F13" s="354">
        <f t="shared" si="1"/>
        <v>4369010.099999994</v>
      </c>
    </row>
    <row r="14" spans="1:7" ht="18" customHeight="1">
      <c r="A14" s="353" t="s">
        <v>753</v>
      </c>
      <c r="B14" s="352">
        <f>'Formulario 5-Compromisos'!B14+'Formulario 5-Compromisos'!B29+'Formulario 5-Compromisos'!B44+'Formulario 5-Compromisos'!B59</f>
        <v>0</v>
      </c>
      <c r="C14" s="352">
        <f>'Formulario 5-Compromisos'!C14+'Formulario 5-Compromisos'!C29+'Formulario 5-Compromisos'!C44+'Formulario 5-Compromisos'!C59</f>
        <v>0</v>
      </c>
      <c r="D14" s="352">
        <f>'Formulario 5-Compromisos'!D14+'Formulario 5-Compromisos'!D29+'Formulario 5-Compromisos'!D44+'Formulario 5-Compromisos'!D59</f>
        <v>0</v>
      </c>
      <c r="E14" s="354">
        <f t="shared" si="0"/>
        <v>0</v>
      </c>
      <c r="F14" s="354">
        <f t="shared" si="1"/>
        <v>0</v>
      </c>
    </row>
    <row r="15" spans="1:7" ht="18" customHeight="1">
      <c r="A15" s="353" t="s">
        <v>754</v>
      </c>
      <c r="B15" s="352">
        <f>'Formulario 5-Compromisos'!B15+'Formulario 5-Compromisos'!B30+'Formulario 5-Compromisos'!B45+'Formulario 5-Compromisos'!B60</f>
        <v>39179243996.780006</v>
      </c>
      <c r="C15" s="352">
        <f>'Formulario 5-Compromisos'!C15+'Formulario 5-Compromisos'!C30+'Formulario 5-Compromisos'!C45+'Formulario 5-Compromisos'!C60</f>
        <v>6675831732.2600002</v>
      </c>
      <c r="D15" s="352">
        <f>'Formulario 5-Compromisos'!D15+'Formulario 5-Compromisos'!D30+'Formulario 5-Compromisos'!D45+'Formulario 5-Compromisos'!D60</f>
        <v>6513141237.5100002</v>
      </c>
      <c r="E15" s="354">
        <f t="shared" si="0"/>
        <v>13188972969.77</v>
      </c>
      <c r="F15" s="354">
        <f t="shared" si="1"/>
        <v>25990271027.010006</v>
      </c>
    </row>
    <row r="16" spans="1:7" ht="18" customHeight="1">
      <c r="A16" s="353" t="s">
        <v>222</v>
      </c>
      <c r="B16" s="352">
        <f>'Formulario 5-Compromisos'!B16+'Formulario 5-Compromisos'!B31+'Formulario 5-Compromisos'!B46+'Formulario 5-Compromisos'!B61</f>
        <v>5820261530.8499994</v>
      </c>
      <c r="C16" s="352">
        <f>'Formulario 5-Compromisos'!C16+'Formulario 5-Compromisos'!C31+'Formulario 5-Compromisos'!C46+'Formulario 5-Compromisos'!C61</f>
        <v>3585980822.3899999</v>
      </c>
      <c r="D16" s="352">
        <f>'Formulario 5-Compromisos'!D16+'Formulario 5-Compromisos'!D31+'Formulario 5-Compromisos'!D46+'Formulario 5-Compromisos'!D61</f>
        <v>0</v>
      </c>
      <c r="E16" s="354">
        <f t="shared" si="0"/>
        <v>3585980822.3899999</v>
      </c>
      <c r="F16" s="354">
        <f t="shared" si="1"/>
        <v>2234280708.4599996</v>
      </c>
    </row>
    <row r="17" spans="1:6" ht="18" customHeight="1">
      <c r="A17" s="353" t="s">
        <v>712</v>
      </c>
      <c r="B17" s="352">
        <f>'Formulario 5-Compromisos'!B17+'Formulario 5-Compromisos'!B32+'Formulario 5-Compromisos'!B47+'Formulario 5-Compromisos'!B62</f>
        <v>335180042.5</v>
      </c>
      <c r="C17" s="352">
        <f>'Formulario 5-Compromisos'!C17+'Formulario 5-Compromisos'!C32+'Formulario 5-Compromisos'!C47+'Formulario 5-Compromisos'!C62</f>
        <v>235049102.5</v>
      </c>
      <c r="D17" s="352">
        <f>'Formulario 5-Compromisos'!D17+'Formulario 5-Compromisos'!D32+'Formulario 5-Compromisos'!D47+'Formulario 5-Compromisos'!D62</f>
        <v>0</v>
      </c>
      <c r="E17" s="354">
        <f t="shared" si="0"/>
        <v>235049102.5</v>
      </c>
      <c r="F17" s="354">
        <f t="shared" si="1"/>
        <v>100130940</v>
      </c>
    </row>
    <row r="18" spans="1:6" ht="18" customHeight="1">
      <c r="A18" s="353" t="s">
        <v>755</v>
      </c>
      <c r="B18" s="352">
        <f>'Formulario 5-Compromisos'!B18+'Formulario 5-Compromisos'!B33+'Formulario 5-Compromisos'!B48+'Formulario 5-Compromisos'!B63</f>
        <v>268572915.69999999</v>
      </c>
      <c r="C18" s="352">
        <f>'Formulario 5-Compromisos'!C18+'Formulario 5-Compromisos'!C33+'Formulario 5-Compromisos'!C48+'Formulario 5-Compromisos'!C63</f>
        <v>266392874.05000001</v>
      </c>
      <c r="D18" s="352">
        <f>'Formulario 5-Compromisos'!D18+'Formulario 5-Compromisos'!D33+'Formulario 5-Compromisos'!D48+'Formulario 5-Compromisos'!D63</f>
        <v>0</v>
      </c>
      <c r="E18" s="354">
        <f t="shared" si="0"/>
        <v>266392874.05000001</v>
      </c>
      <c r="F18" s="354">
        <f t="shared" si="1"/>
        <v>2180041.6499999762</v>
      </c>
    </row>
    <row r="19" spans="1:6" ht="18" customHeight="1">
      <c r="A19" s="355" t="s">
        <v>756</v>
      </c>
      <c r="B19" s="356">
        <f>'Formulario 5-Compromisos'!B19+'Formulario 5-Compromisos'!B34+'Formulario 5-Compromisos'!B49+'Formulario 5-Compromisos'!B64</f>
        <v>0</v>
      </c>
      <c r="C19" s="356">
        <f>'Formulario 5-Compromisos'!C19+'Formulario 5-Compromisos'!C34+'Formulario 5-Compromisos'!C49+'Formulario 5-Compromisos'!C64</f>
        <v>0</v>
      </c>
      <c r="D19" s="356">
        <f>'Formulario 5-Compromisos'!D19+'Formulario 5-Compromisos'!D34+'Formulario 5-Compromisos'!D49+'Formulario 5-Compromisos'!D64</f>
        <v>0</v>
      </c>
      <c r="E19" s="357">
        <f t="shared" si="0"/>
        <v>0</v>
      </c>
      <c r="F19" s="357">
        <f t="shared" si="1"/>
        <v>0</v>
      </c>
    </row>
    <row r="20" spans="1:6" ht="13">
      <c r="A20" s="358" t="s">
        <v>757</v>
      </c>
      <c r="B20" s="359">
        <f>SUM(B10:B19)</f>
        <v>79139634029.800003</v>
      </c>
      <c r="C20" s="359">
        <f>SUM(C10:C19)</f>
        <v>27745915596.109997</v>
      </c>
      <c r="D20" s="359">
        <f>SUM(D10:D19)</f>
        <v>13408889335.43</v>
      </c>
      <c r="E20" s="359">
        <f>SUM(E10:E19)</f>
        <v>41154804931.540001</v>
      </c>
      <c r="F20" s="359">
        <f>SUM(F10:F19)</f>
        <v>37984829098.260002</v>
      </c>
    </row>
    <row r="22" spans="1:6" ht="14">
      <c r="A22" s="360" t="s">
        <v>758</v>
      </c>
      <c r="B22" s="360"/>
      <c r="C22" s="361"/>
      <c r="D22" s="361"/>
      <c r="E22" s="361"/>
    </row>
    <row r="23" spans="1:6" ht="14">
      <c r="A23" s="362" t="s">
        <v>41</v>
      </c>
      <c r="B23" s="363"/>
      <c r="C23" s="361"/>
      <c r="D23" s="362" t="s">
        <v>24</v>
      </c>
      <c r="E23" s="363"/>
    </row>
    <row r="24" spans="1:6" ht="14">
      <c r="A24" s="361"/>
      <c r="B24" s="361"/>
      <c r="C24" s="361"/>
      <c r="D24" s="361"/>
      <c r="E24" s="361"/>
    </row>
    <row r="25" spans="1:6" ht="14">
      <c r="A25" s="361"/>
      <c r="B25" s="361"/>
      <c r="C25" s="361"/>
      <c r="D25" s="361"/>
      <c r="E25" s="361"/>
    </row>
    <row r="26" spans="1:6" ht="14">
      <c r="A26" s="364" t="s">
        <v>759</v>
      </c>
      <c r="B26" s="364"/>
      <c r="C26" s="361"/>
      <c r="D26" s="365">
        <v>44956</v>
      </c>
      <c r="E26" s="361"/>
    </row>
    <row r="27" spans="1:6" ht="14">
      <c r="A27" s="366" t="s">
        <v>42</v>
      </c>
      <c r="B27" s="361"/>
      <c r="C27" s="361"/>
      <c r="D27" s="362" t="s">
        <v>27</v>
      </c>
      <c r="E27" s="363"/>
    </row>
    <row r="28" spans="1:6" ht="14">
      <c r="A28" s="361"/>
      <c r="B28" s="361"/>
      <c r="C28" s="361"/>
      <c r="D28" s="361"/>
      <c r="E28" s="361"/>
    </row>
  </sheetData>
  <mergeCells count="5">
    <mergeCell ref="A2:F2"/>
    <mergeCell ref="A3:F3"/>
    <mergeCell ref="A4:F4"/>
    <mergeCell ref="A5:F5"/>
    <mergeCell ref="A7:F7"/>
  </mergeCells>
  <pageMargins left="0.70866141732283472" right="0.70866141732283472" top="0.74803149606299213" bottom="0.74803149606299213" header="0.31496062992125984" footer="0.31496062992125984"/>
  <pageSetup scale="75"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76D2-485F-448E-8E57-DFB844F9A11A}">
  <dimension ref="A2:G73"/>
  <sheetViews>
    <sheetView showGridLines="0" zoomScaleNormal="100" workbookViewId="0">
      <selection sqref="A1:B1"/>
    </sheetView>
  </sheetViews>
  <sheetFormatPr baseColWidth="10" defaultColWidth="11.453125" defaultRowHeight="12.5"/>
  <cols>
    <col min="1" max="1" width="27.81640625" style="367" bestFit="1" customWidth="1"/>
    <col min="2" max="2" width="21.81640625" style="367" customWidth="1"/>
    <col min="3" max="3" width="23.7265625" style="367" customWidth="1"/>
    <col min="4" max="4" width="21.54296875" style="367" customWidth="1"/>
    <col min="5" max="5" width="29.26953125" style="367" customWidth="1"/>
    <col min="6" max="6" width="27.26953125" style="367" customWidth="1"/>
    <col min="7" max="7" width="22.7265625" style="367" customWidth="1"/>
    <col min="8" max="16384" width="11.453125" style="367"/>
  </cols>
  <sheetData>
    <row r="2" spans="1:7" ht="13">
      <c r="A2" s="344" t="s">
        <v>760</v>
      </c>
      <c r="B2" s="344"/>
      <c r="C2" s="344"/>
      <c r="D2" s="344"/>
      <c r="E2" s="344"/>
      <c r="F2" s="344"/>
    </row>
    <row r="3" spans="1:7" ht="13">
      <c r="A3" s="344" t="str">
        <f>+'[6]LISTA DE HOJAS'!A1</f>
        <v>MUNICIPALIDAD DE ALAJUELA</v>
      </c>
      <c r="B3" s="344"/>
      <c r="C3" s="344"/>
      <c r="D3" s="344"/>
      <c r="E3" s="344"/>
      <c r="F3" s="344"/>
    </row>
    <row r="4" spans="1:7" ht="13">
      <c r="A4" s="344" t="s">
        <v>742</v>
      </c>
      <c r="B4" s="344"/>
      <c r="C4" s="344"/>
      <c r="D4" s="344"/>
      <c r="E4" s="344"/>
      <c r="F4" s="344"/>
    </row>
    <row r="5" spans="1:7" ht="13">
      <c r="A5" s="368" t="s">
        <v>743</v>
      </c>
      <c r="B5" s="368"/>
      <c r="C5" s="368"/>
      <c r="D5" s="368"/>
      <c r="E5" s="368"/>
      <c r="F5" s="368"/>
    </row>
    <row r="7" spans="1:7" ht="15.5">
      <c r="A7" s="346" t="s">
        <v>761</v>
      </c>
      <c r="B7" s="346"/>
      <c r="C7" s="346"/>
      <c r="D7" s="346"/>
      <c r="E7" s="346"/>
      <c r="F7" s="346"/>
    </row>
    <row r="8" spans="1:7" ht="13" thickBot="1"/>
    <row r="9" spans="1:7" ht="26.5" thickBot="1">
      <c r="A9" s="347" t="s">
        <v>745</v>
      </c>
      <c r="B9" s="348" t="s">
        <v>746</v>
      </c>
      <c r="C9" s="348" t="s">
        <v>747</v>
      </c>
      <c r="D9" s="348" t="s">
        <v>748</v>
      </c>
      <c r="E9" s="348" t="s">
        <v>749</v>
      </c>
      <c r="F9" s="349" t="s">
        <v>750</v>
      </c>
      <c r="G9" s="349" t="s">
        <v>762</v>
      </c>
    </row>
    <row r="10" spans="1:7" ht="14">
      <c r="A10" s="351" t="s">
        <v>724</v>
      </c>
      <c r="B10" s="369">
        <v>5412350001.3500004</v>
      </c>
      <c r="C10" s="369">
        <v>4948477567.8999996</v>
      </c>
      <c r="D10" s="370"/>
      <c r="E10" s="352">
        <f t="shared" ref="E10:E19" si="0">C10+D10</f>
        <v>4948477567.8999996</v>
      </c>
      <c r="F10" s="352">
        <f t="shared" ref="F10:F19" si="1">B10-E10</f>
        <v>463872433.45000076</v>
      </c>
      <c r="G10" s="371"/>
    </row>
    <row r="11" spans="1:7" ht="14">
      <c r="A11" s="353" t="s">
        <v>723</v>
      </c>
      <c r="B11" s="372">
        <v>2245144572.46</v>
      </c>
      <c r="C11" s="372">
        <v>1294022385.9400001</v>
      </c>
      <c r="D11" s="373">
        <v>562642273.59000003</v>
      </c>
      <c r="E11" s="354">
        <f t="shared" si="0"/>
        <v>1856664659.5300002</v>
      </c>
      <c r="F11" s="354">
        <f t="shared" si="1"/>
        <v>388479912.92999983</v>
      </c>
      <c r="G11" s="371"/>
    </row>
    <row r="12" spans="1:7" ht="14">
      <c r="A12" s="353" t="s">
        <v>751</v>
      </c>
      <c r="B12" s="372">
        <v>151865535.27000001</v>
      </c>
      <c r="C12" s="372">
        <v>39181095.049999997</v>
      </c>
      <c r="D12" s="373">
        <v>26594131.960000001</v>
      </c>
      <c r="E12" s="354">
        <f t="shared" si="0"/>
        <v>65775227.009999998</v>
      </c>
      <c r="F12" s="354">
        <f t="shared" si="1"/>
        <v>86090308.26000002</v>
      </c>
      <c r="G12" s="371"/>
    </row>
    <row r="13" spans="1:7">
      <c r="A13" s="353" t="s">
        <v>752</v>
      </c>
      <c r="B13" s="373"/>
      <c r="C13" s="374"/>
      <c r="D13" s="374"/>
      <c r="E13" s="354">
        <f t="shared" si="0"/>
        <v>0</v>
      </c>
      <c r="F13" s="354">
        <f t="shared" si="1"/>
        <v>0</v>
      </c>
      <c r="G13" s="371"/>
    </row>
    <row r="14" spans="1:7" ht="14">
      <c r="A14" s="353" t="s">
        <v>753</v>
      </c>
      <c r="B14" s="372"/>
      <c r="C14" s="374"/>
      <c r="D14" s="374"/>
      <c r="E14" s="354">
        <f t="shared" si="0"/>
        <v>0</v>
      </c>
      <c r="F14" s="354">
        <f t="shared" si="1"/>
        <v>0</v>
      </c>
      <c r="G14" s="371"/>
    </row>
    <row r="15" spans="1:7">
      <c r="A15" s="353" t="s">
        <v>754</v>
      </c>
      <c r="B15" s="373">
        <v>485325535.07999998</v>
      </c>
      <c r="C15" s="373">
        <v>176062692.16</v>
      </c>
      <c r="D15" s="373">
        <v>188561123.75</v>
      </c>
      <c r="E15" s="354">
        <f t="shared" si="0"/>
        <v>364623815.90999997</v>
      </c>
      <c r="F15" s="354">
        <f t="shared" si="1"/>
        <v>120701719.17000002</v>
      </c>
      <c r="G15" s="371"/>
    </row>
    <row r="16" spans="1:7" ht="14">
      <c r="A16" s="353" t="s">
        <v>222</v>
      </c>
      <c r="B16" s="372">
        <v>5116033205.3699999</v>
      </c>
      <c r="C16" s="373">
        <v>3066260906.25</v>
      </c>
      <c r="D16" s="374"/>
      <c r="E16" s="354">
        <f t="shared" si="0"/>
        <v>3066260906.25</v>
      </c>
      <c r="F16" s="354">
        <f t="shared" si="1"/>
        <v>2049772299.1199999</v>
      </c>
      <c r="G16" s="371"/>
    </row>
    <row r="17" spans="1:7" ht="14">
      <c r="A17" s="353" t="s">
        <v>712</v>
      </c>
      <c r="B17" s="372">
        <v>180042.5</v>
      </c>
      <c r="C17" s="373">
        <v>49102.5</v>
      </c>
      <c r="D17" s="374"/>
      <c r="E17" s="354">
        <f t="shared" si="0"/>
        <v>49102.5</v>
      </c>
      <c r="F17" s="354">
        <f t="shared" si="1"/>
        <v>130940</v>
      </c>
      <c r="G17" s="371"/>
    </row>
    <row r="18" spans="1:7">
      <c r="A18" s="353" t="s">
        <v>755</v>
      </c>
      <c r="B18" s="374"/>
      <c r="C18" s="374"/>
      <c r="D18" s="374"/>
      <c r="E18" s="354">
        <f t="shared" si="0"/>
        <v>0</v>
      </c>
      <c r="F18" s="354">
        <f t="shared" si="1"/>
        <v>0</v>
      </c>
      <c r="G18" s="371"/>
    </row>
    <row r="19" spans="1:7" ht="14">
      <c r="A19" s="353" t="s">
        <v>756</v>
      </c>
      <c r="B19" s="372"/>
      <c r="C19" s="374"/>
      <c r="D19" s="374"/>
      <c r="E19" s="354">
        <f t="shared" si="0"/>
        <v>0</v>
      </c>
      <c r="F19" s="354">
        <f t="shared" si="1"/>
        <v>0</v>
      </c>
      <c r="G19" s="371"/>
    </row>
    <row r="20" spans="1:7" ht="13">
      <c r="A20" s="358" t="s">
        <v>757</v>
      </c>
      <c r="B20" s="375">
        <f>SUM(B10:B19)</f>
        <v>13410898892.030001</v>
      </c>
      <c r="C20" s="375">
        <f>SUM(C10:C19)</f>
        <v>9524053749.7999992</v>
      </c>
      <c r="D20" s="375">
        <f>SUM(D10:D19)</f>
        <v>777797529.30000007</v>
      </c>
      <c r="E20" s="359">
        <f>SUM(E10:E19)</f>
        <v>10301851279.1</v>
      </c>
      <c r="F20" s="359">
        <f>SUM(F10:F19)</f>
        <v>3109047612.9300003</v>
      </c>
      <c r="G20" s="376" t="s">
        <v>11</v>
      </c>
    </row>
    <row r="21" spans="1:7">
      <c r="E21" s="377">
        <f>[6]EGRESOS!B9</f>
        <v>10301851279.1</v>
      </c>
      <c r="F21" s="378" t="s">
        <v>763</v>
      </c>
    </row>
    <row r="22" spans="1:7" ht="15.5">
      <c r="A22" s="346" t="s">
        <v>764</v>
      </c>
      <c r="B22" s="346"/>
      <c r="C22" s="346"/>
      <c r="D22" s="346"/>
      <c r="E22" s="346"/>
      <c r="F22" s="346"/>
    </row>
    <row r="23" spans="1:7" ht="13" thickBot="1"/>
    <row r="24" spans="1:7" ht="26.5" thickBot="1">
      <c r="A24" s="347" t="s">
        <v>745</v>
      </c>
      <c r="B24" s="348" t="s">
        <v>746</v>
      </c>
      <c r="C24" s="348" t="s">
        <v>747</v>
      </c>
      <c r="D24" s="348" t="s">
        <v>748</v>
      </c>
      <c r="E24" s="348" t="s">
        <v>749</v>
      </c>
      <c r="F24" s="349" t="s">
        <v>750</v>
      </c>
      <c r="G24" s="349" t="s">
        <v>762</v>
      </c>
    </row>
    <row r="25" spans="1:7">
      <c r="A25" s="351" t="s">
        <v>724</v>
      </c>
      <c r="B25" s="373">
        <v>4623324514.8800001</v>
      </c>
      <c r="C25" s="373">
        <v>3763566687.25</v>
      </c>
      <c r="D25" s="370"/>
      <c r="E25" s="352">
        <f t="shared" ref="E25:E34" si="2">C25+D25</f>
        <v>3763566687.25</v>
      </c>
      <c r="F25" s="352">
        <f t="shared" ref="F25:F34" si="3">B25-E25</f>
        <v>859757827.63000011</v>
      </c>
      <c r="G25" s="371"/>
    </row>
    <row r="26" spans="1:7">
      <c r="A26" s="353" t="s">
        <v>723</v>
      </c>
      <c r="B26" s="373">
        <v>11398697073.639999</v>
      </c>
      <c r="C26" s="373">
        <v>3611614195.6900001</v>
      </c>
      <c r="D26" s="373">
        <v>3920014087.0300002</v>
      </c>
      <c r="E26" s="354">
        <f t="shared" si="2"/>
        <v>7531628282.7200003</v>
      </c>
      <c r="F26" s="354">
        <f t="shared" si="3"/>
        <v>3867068790.9199991</v>
      </c>
      <c r="G26" s="371"/>
    </row>
    <row r="27" spans="1:7">
      <c r="A27" s="353" t="s">
        <v>751</v>
      </c>
      <c r="B27" s="373">
        <v>694870112.47000003</v>
      </c>
      <c r="C27" s="373">
        <v>171735377.77000001</v>
      </c>
      <c r="D27" s="373">
        <v>211665123.03999999</v>
      </c>
      <c r="E27" s="354">
        <f t="shared" si="2"/>
        <v>383400500.81</v>
      </c>
      <c r="F27" s="354">
        <f t="shared" si="3"/>
        <v>311469611.66000003</v>
      </c>
      <c r="G27" s="371"/>
    </row>
    <row r="28" spans="1:7">
      <c r="A28" s="353" t="s">
        <v>752</v>
      </c>
      <c r="B28" s="373">
        <v>250195430.13999999</v>
      </c>
      <c r="C28" s="373">
        <v>245826420.03999999</v>
      </c>
      <c r="D28" s="374"/>
      <c r="E28" s="354">
        <f t="shared" si="2"/>
        <v>245826420.03999999</v>
      </c>
      <c r="F28" s="354">
        <f t="shared" si="3"/>
        <v>4369010.099999994</v>
      </c>
      <c r="G28" s="371"/>
    </row>
    <row r="29" spans="1:7">
      <c r="A29" s="353" t="s">
        <v>753</v>
      </c>
      <c r="B29" s="374"/>
      <c r="C29" s="374"/>
      <c r="D29" s="374"/>
      <c r="E29" s="354">
        <f t="shared" si="2"/>
        <v>0</v>
      </c>
      <c r="F29" s="354">
        <f t="shared" si="3"/>
        <v>0</v>
      </c>
      <c r="G29" s="371"/>
    </row>
    <row r="30" spans="1:7">
      <c r="A30" s="353" t="s">
        <v>754</v>
      </c>
      <c r="B30" s="373">
        <v>2551377997.1500001</v>
      </c>
      <c r="C30" s="373">
        <v>1004989914.02</v>
      </c>
      <c r="D30" s="373">
        <v>359093631.45999998</v>
      </c>
      <c r="E30" s="354">
        <f t="shared" si="2"/>
        <v>1364083545.48</v>
      </c>
      <c r="F30" s="354">
        <f t="shared" si="3"/>
        <v>1187294451.6700001</v>
      </c>
      <c r="G30" s="371"/>
    </row>
    <row r="31" spans="1:7">
      <c r="A31" s="353" t="s">
        <v>222</v>
      </c>
      <c r="B31" s="373">
        <v>303409016.19</v>
      </c>
      <c r="C31" s="373">
        <v>171810134.59999999</v>
      </c>
      <c r="D31" s="374"/>
      <c r="E31" s="354">
        <f t="shared" si="2"/>
        <v>171810134.59999999</v>
      </c>
      <c r="F31" s="354">
        <f t="shared" si="3"/>
        <v>131598881.59</v>
      </c>
      <c r="G31" s="371"/>
    </row>
    <row r="32" spans="1:7">
      <c r="A32" s="353" t="s">
        <v>712</v>
      </c>
      <c r="B32" s="373"/>
      <c r="C32" s="373"/>
      <c r="D32" s="374"/>
      <c r="E32" s="354"/>
      <c r="F32" s="354"/>
      <c r="G32" s="371"/>
    </row>
    <row r="33" spans="1:7">
      <c r="A33" s="353" t="s">
        <v>755</v>
      </c>
      <c r="B33" s="373">
        <v>268572915.69999999</v>
      </c>
      <c r="C33" s="373">
        <v>266392874.05000001</v>
      </c>
      <c r="D33" s="374"/>
      <c r="E33" s="354">
        <f>C33+D33</f>
        <v>266392874.05000001</v>
      </c>
      <c r="F33" s="354">
        <f>B33-E33</f>
        <v>2180041.6499999762</v>
      </c>
      <c r="G33" s="371"/>
    </row>
    <row r="34" spans="1:7">
      <c r="A34" s="353" t="s">
        <v>756</v>
      </c>
      <c r="B34" s="373"/>
      <c r="C34" s="374"/>
      <c r="D34" s="374"/>
      <c r="E34" s="354">
        <f t="shared" si="2"/>
        <v>0</v>
      </c>
      <c r="F34" s="354">
        <f t="shared" si="3"/>
        <v>0</v>
      </c>
      <c r="G34" s="371"/>
    </row>
    <row r="35" spans="1:7" ht="13">
      <c r="A35" s="358" t="s">
        <v>757</v>
      </c>
      <c r="B35" s="375">
        <f>SUM(B25:B34)</f>
        <v>20090447060.169998</v>
      </c>
      <c r="C35" s="375">
        <f>SUM(C25:C34)</f>
        <v>9235935603.4200001</v>
      </c>
      <c r="D35" s="375">
        <f>SUM(D25:D34)</f>
        <v>4490772841.5299997</v>
      </c>
      <c r="E35" s="359">
        <f>SUM(E25:E34)</f>
        <v>13726708444.950001</v>
      </c>
      <c r="F35" s="359">
        <f>SUM(F25:F34)</f>
        <v>6363738615.2199993</v>
      </c>
      <c r="G35" s="376" t="s">
        <v>11</v>
      </c>
    </row>
    <row r="36" spans="1:7">
      <c r="E36" s="377">
        <f>[6]EGRESOS!B10</f>
        <v>13726708444.950001</v>
      </c>
      <c r="F36" s="378" t="s">
        <v>765</v>
      </c>
    </row>
    <row r="37" spans="1:7" ht="15.5">
      <c r="A37" s="346" t="s">
        <v>766</v>
      </c>
      <c r="B37" s="346"/>
      <c r="C37" s="346"/>
      <c r="D37" s="346"/>
      <c r="E37" s="346"/>
      <c r="F37" s="346"/>
    </row>
    <row r="38" spans="1:7" ht="13" thickBot="1"/>
    <row r="39" spans="1:7" ht="26.5" thickBot="1">
      <c r="A39" s="347" t="s">
        <v>745</v>
      </c>
      <c r="B39" s="348" t="s">
        <v>746</v>
      </c>
      <c r="C39" s="348" t="s">
        <v>747</v>
      </c>
      <c r="D39" s="348" t="s">
        <v>748</v>
      </c>
      <c r="E39" s="348" t="s">
        <v>749</v>
      </c>
      <c r="F39" s="349" t="s">
        <v>750</v>
      </c>
      <c r="G39" s="349" t="s">
        <v>762</v>
      </c>
    </row>
    <row r="40" spans="1:7">
      <c r="A40" s="351" t="s">
        <v>724</v>
      </c>
      <c r="B40" s="370">
        <v>1750369652.47</v>
      </c>
      <c r="C40" s="370">
        <v>1487978577.55</v>
      </c>
      <c r="D40" s="379"/>
      <c r="E40" s="380">
        <f t="shared" ref="E40:E49" si="4">C40+D40</f>
        <v>1487978577.55</v>
      </c>
      <c r="F40" s="352">
        <f t="shared" ref="F40:F49" si="5">B40-E40</f>
        <v>262391074.92000008</v>
      </c>
      <c r="G40" s="371"/>
    </row>
    <row r="41" spans="1:7">
      <c r="A41" s="353" t="s">
        <v>723</v>
      </c>
      <c r="B41" s="373">
        <v>4809444373.0299997</v>
      </c>
      <c r="C41" s="373">
        <v>810937912.89999998</v>
      </c>
      <c r="D41" s="373">
        <v>1663971591.3900001</v>
      </c>
      <c r="E41" s="381">
        <f t="shared" si="4"/>
        <v>2474909504.29</v>
      </c>
      <c r="F41" s="354">
        <f t="shared" si="5"/>
        <v>2334534868.7399998</v>
      </c>
      <c r="G41" s="371"/>
    </row>
    <row r="42" spans="1:7">
      <c r="A42" s="353" t="s">
        <v>751</v>
      </c>
      <c r="B42" s="373">
        <v>2200114278.2600002</v>
      </c>
      <c r="C42" s="373">
        <v>609320844.82000005</v>
      </c>
      <c r="D42" s="373">
        <v>510860890.91000003</v>
      </c>
      <c r="E42" s="381">
        <f t="shared" si="4"/>
        <v>1120181735.73</v>
      </c>
      <c r="F42" s="354">
        <f t="shared" si="5"/>
        <v>1079932542.5300002</v>
      </c>
      <c r="G42" s="371"/>
    </row>
    <row r="43" spans="1:7">
      <c r="A43" s="353" t="s">
        <v>752</v>
      </c>
      <c r="B43" s="374"/>
      <c r="C43" s="374"/>
      <c r="D43" s="374"/>
      <c r="E43" s="381">
        <f t="shared" si="4"/>
        <v>0</v>
      </c>
      <c r="F43" s="354">
        <f t="shared" si="5"/>
        <v>0</v>
      </c>
      <c r="G43" s="371"/>
    </row>
    <row r="44" spans="1:7">
      <c r="A44" s="353" t="s">
        <v>753</v>
      </c>
      <c r="B44" s="374"/>
      <c r="C44" s="374"/>
      <c r="D44" s="374"/>
      <c r="E44" s="381">
        <f t="shared" si="4"/>
        <v>0</v>
      </c>
      <c r="F44" s="354">
        <f t="shared" si="5"/>
        <v>0</v>
      </c>
      <c r="G44" s="371"/>
    </row>
    <row r="45" spans="1:7">
      <c r="A45" s="353" t="s">
        <v>754</v>
      </c>
      <c r="B45" s="373">
        <v>36142540464.550003</v>
      </c>
      <c r="C45" s="373">
        <v>5494779126.0799999</v>
      </c>
      <c r="D45" s="373">
        <v>5965486482.3000002</v>
      </c>
      <c r="E45" s="381">
        <f t="shared" si="4"/>
        <v>11460265608.380001</v>
      </c>
      <c r="F45" s="354">
        <f t="shared" si="5"/>
        <v>24682274856.170002</v>
      </c>
      <c r="G45" s="371"/>
    </row>
    <row r="46" spans="1:7">
      <c r="A46" s="353" t="s">
        <v>222</v>
      </c>
      <c r="B46" s="373">
        <v>400819309.29000002</v>
      </c>
      <c r="C46" s="373">
        <v>347909781.54000002</v>
      </c>
      <c r="D46" s="374"/>
      <c r="E46" s="381">
        <f t="shared" si="4"/>
        <v>347909781.54000002</v>
      </c>
      <c r="F46" s="354">
        <f t="shared" si="5"/>
        <v>52909527.75</v>
      </c>
      <c r="G46" s="371"/>
    </row>
    <row r="47" spans="1:7">
      <c r="A47" s="353" t="s">
        <v>712</v>
      </c>
      <c r="B47" s="373">
        <v>335000000</v>
      </c>
      <c r="C47" s="373">
        <v>235000000</v>
      </c>
      <c r="D47" s="374"/>
      <c r="E47" s="381">
        <f t="shared" si="4"/>
        <v>235000000</v>
      </c>
      <c r="F47" s="354">
        <f t="shared" si="5"/>
        <v>100000000</v>
      </c>
      <c r="G47" s="371"/>
    </row>
    <row r="48" spans="1:7">
      <c r="A48" s="353" t="s">
        <v>755</v>
      </c>
      <c r="B48" s="374"/>
      <c r="C48" s="374"/>
      <c r="D48" s="374"/>
      <c r="E48" s="381">
        <f t="shared" si="4"/>
        <v>0</v>
      </c>
      <c r="F48" s="354">
        <f t="shared" si="5"/>
        <v>0</v>
      </c>
      <c r="G48" s="371"/>
    </row>
    <row r="49" spans="1:7">
      <c r="A49" s="353" t="s">
        <v>756</v>
      </c>
      <c r="B49" s="373"/>
      <c r="C49" s="374"/>
      <c r="D49" s="374"/>
      <c r="E49" s="381">
        <f t="shared" si="4"/>
        <v>0</v>
      </c>
      <c r="F49" s="354">
        <f t="shared" si="5"/>
        <v>0</v>
      </c>
      <c r="G49" s="371"/>
    </row>
    <row r="50" spans="1:7" ht="13">
      <c r="A50" s="358" t="s">
        <v>757</v>
      </c>
      <c r="B50" s="375">
        <f>SUM(B40:B49)</f>
        <v>45638288077.600006</v>
      </c>
      <c r="C50" s="375">
        <f>SUM(C40:C49)</f>
        <v>8985926242.8900013</v>
      </c>
      <c r="D50" s="375">
        <f>SUM(D40:D49)</f>
        <v>8140318964.6000004</v>
      </c>
      <c r="E50" s="359">
        <f>SUM(E40:E49)</f>
        <v>17126245207.490002</v>
      </c>
      <c r="F50" s="359">
        <f>SUM(F40:F49)</f>
        <v>28512042870.110001</v>
      </c>
      <c r="G50" s="376" t="s">
        <v>11</v>
      </c>
    </row>
    <row r="51" spans="1:7">
      <c r="E51" s="377">
        <f>[6]EGRESOS!B11</f>
        <v>17126245207.49</v>
      </c>
      <c r="F51" s="378" t="s">
        <v>767</v>
      </c>
    </row>
    <row r="52" spans="1:7" ht="15.5">
      <c r="A52" s="346" t="s">
        <v>768</v>
      </c>
      <c r="B52" s="346"/>
      <c r="C52" s="346"/>
      <c r="D52" s="346"/>
      <c r="E52" s="346"/>
      <c r="F52" s="346"/>
    </row>
    <row r="53" spans="1:7" ht="13" thickBot="1"/>
    <row r="54" spans="1:7" ht="26.5" thickBot="1">
      <c r="A54" s="347" t="s">
        <v>745</v>
      </c>
      <c r="B54" s="348" t="s">
        <v>746</v>
      </c>
      <c r="C54" s="348" t="s">
        <v>747</v>
      </c>
      <c r="D54" s="348" t="s">
        <v>748</v>
      </c>
      <c r="E54" s="348" t="s">
        <v>749</v>
      </c>
      <c r="F54" s="349" t="s">
        <v>750</v>
      </c>
      <c r="G54" s="349" t="s">
        <v>762</v>
      </c>
    </row>
    <row r="55" spans="1:7">
      <c r="A55" s="351" t="s">
        <v>724</v>
      </c>
      <c r="B55" s="379"/>
      <c r="C55" s="379"/>
      <c r="D55" s="379"/>
      <c r="E55" s="352">
        <f t="shared" ref="E55:E64" si="6">C55+D55</f>
        <v>0</v>
      </c>
      <c r="F55" s="352">
        <f t="shared" ref="F55:F64" si="7">B55-E55</f>
        <v>0</v>
      </c>
      <c r="G55" s="371"/>
    </row>
    <row r="56" spans="1:7">
      <c r="A56" s="353" t="s">
        <v>723</v>
      </c>
      <c r="B56" s="382"/>
      <c r="C56" s="374"/>
      <c r="D56" s="382"/>
      <c r="E56" s="354">
        <f t="shared" si="6"/>
        <v>0</v>
      </c>
      <c r="F56" s="354">
        <f t="shared" si="7"/>
        <v>0</v>
      </c>
      <c r="G56" s="371"/>
    </row>
    <row r="57" spans="1:7">
      <c r="A57" s="353" t="s">
        <v>751</v>
      </c>
      <c r="B57" s="374"/>
      <c r="C57" s="374"/>
      <c r="D57" s="374"/>
      <c r="E57" s="354">
        <f t="shared" si="6"/>
        <v>0</v>
      </c>
      <c r="F57" s="354">
        <f t="shared" si="7"/>
        <v>0</v>
      </c>
      <c r="G57" s="371"/>
    </row>
    <row r="58" spans="1:7">
      <c r="A58" s="353" t="s">
        <v>752</v>
      </c>
      <c r="B58" s="374"/>
      <c r="C58" s="374"/>
      <c r="D58" s="374"/>
      <c r="E58" s="354">
        <f t="shared" si="6"/>
        <v>0</v>
      </c>
      <c r="F58" s="354">
        <f t="shared" si="7"/>
        <v>0</v>
      </c>
      <c r="G58" s="371"/>
    </row>
    <row r="59" spans="1:7">
      <c r="A59" s="353" t="s">
        <v>753</v>
      </c>
      <c r="B59" s="374"/>
      <c r="C59" s="374"/>
      <c r="D59" s="374"/>
      <c r="E59" s="354">
        <f t="shared" si="6"/>
        <v>0</v>
      </c>
      <c r="F59" s="354">
        <f t="shared" si="7"/>
        <v>0</v>
      </c>
      <c r="G59" s="371"/>
    </row>
    <row r="60" spans="1:7">
      <c r="A60" s="353" t="s">
        <v>754</v>
      </c>
      <c r="B60" s="373"/>
      <c r="C60" s="373"/>
      <c r="D60" s="373"/>
      <c r="E60" s="354">
        <f t="shared" si="6"/>
        <v>0</v>
      </c>
      <c r="F60" s="354">
        <f t="shared" si="7"/>
        <v>0</v>
      </c>
      <c r="G60" s="371"/>
    </row>
    <row r="61" spans="1:7">
      <c r="A61" s="353" t="s">
        <v>222</v>
      </c>
      <c r="B61" s="374"/>
      <c r="C61" s="374"/>
      <c r="D61" s="374"/>
      <c r="E61" s="354">
        <f t="shared" si="6"/>
        <v>0</v>
      </c>
      <c r="F61" s="354">
        <f t="shared" si="7"/>
        <v>0</v>
      </c>
      <c r="G61" s="371"/>
    </row>
    <row r="62" spans="1:7">
      <c r="A62" s="353" t="s">
        <v>712</v>
      </c>
      <c r="B62" s="374"/>
      <c r="C62" s="374"/>
      <c r="D62" s="374"/>
      <c r="E62" s="354">
        <f t="shared" si="6"/>
        <v>0</v>
      </c>
      <c r="F62" s="354">
        <f t="shared" si="7"/>
        <v>0</v>
      </c>
      <c r="G62" s="371"/>
    </row>
    <row r="63" spans="1:7">
      <c r="A63" s="353" t="s">
        <v>755</v>
      </c>
      <c r="B63" s="374"/>
      <c r="C63" s="374"/>
      <c r="D63" s="374"/>
      <c r="E63" s="354">
        <f t="shared" si="6"/>
        <v>0</v>
      </c>
      <c r="F63" s="354">
        <f t="shared" si="7"/>
        <v>0</v>
      </c>
      <c r="G63" s="371"/>
    </row>
    <row r="64" spans="1:7">
      <c r="A64" s="353" t="s">
        <v>756</v>
      </c>
      <c r="B64" s="374"/>
      <c r="C64" s="374"/>
      <c r="D64" s="374"/>
      <c r="E64" s="354">
        <f t="shared" si="6"/>
        <v>0</v>
      </c>
      <c r="F64" s="354">
        <f t="shared" si="7"/>
        <v>0</v>
      </c>
      <c r="G64" s="371"/>
    </row>
    <row r="65" spans="1:7" ht="13">
      <c r="A65" s="358" t="s">
        <v>757</v>
      </c>
      <c r="B65" s="375">
        <f>SUM(B55:B64)</f>
        <v>0</v>
      </c>
      <c r="C65" s="375">
        <f>SUM(C55:C64)</f>
        <v>0</v>
      </c>
      <c r="D65" s="375">
        <f>SUM(D55:D64)</f>
        <v>0</v>
      </c>
      <c r="E65" s="359">
        <f>SUM(E55:E64)</f>
        <v>0</v>
      </c>
      <c r="F65" s="359">
        <f>SUM(F55:F64)</f>
        <v>0</v>
      </c>
      <c r="G65" s="376" t="s">
        <v>11</v>
      </c>
    </row>
    <row r="66" spans="1:7">
      <c r="E66" s="377">
        <f>[6]EGRESOS!B12</f>
        <v>0</v>
      </c>
      <c r="F66" s="378" t="s">
        <v>769</v>
      </c>
    </row>
    <row r="67" spans="1:7" ht="14">
      <c r="A67" s="360" t="s">
        <v>758</v>
      </c>
      <c r="B67" s="360"/>
      <c r="C67" s="361"/>
      <c r="D67" s="361"/>
      <c r="E67" s="361"/>
    </row>
    <row r="68" spans="1:7" ht="14">
      <c r="A68" s="362" t="s">
        <v>41</v>
      </c>
      <c r="B68" s="363"/>
      <c r="C68" s="361"/>
      <c r="D68" s="362" t="s">
        <v>24</v>
      </c>
      <c r="E68" s="363"/>
    </row>
    <row r="69" spans="1:7" ht="14">
      <c r="A69" s="361"/>
      <c r="B69" s="361"/>
      <c r="C69" s="361"/>
      <c r="D69" s="361"/>
      <c r="E69" s="361"/>
    </row>
    <row r="70" spans="1:7" ht="14">
      <c r="A70" s="361"/>
      <c r="B70" s="361"/>
      <c r="C70" s="361"/>
      <c r="D70" s="361"/>
      <c r="E70" s="361"/>
    </row>
    <row r="71" spans="1:7" ht="14">
      <c r="A71" s="364" t="s">
        <v>759</v>
      </c>
      <c r="B71" s="364"/>
      <c r="C71" s="361"/>
      <c r="D71" s="365">
        <v>44956</v>
      </c>
      <c r="E71" s="361"/>
    </row>
    <row r="72" spans="1:7" ht="14">
      <c r="A72" s="366" t="s">
        <v>42</v>
      </c>
      <c r="B72" s="361"/>
      <c r="C72" s="361"/>
      <c r="D72" s="362" t="s">
        <v>27</v>
      </c>
      <c r="E72" s="363"/>
    </row>
    <row r="73" spans="1:7" ht="14">
      <c r="A73" s="360"/>
      <c r="B73" s="360"/>
      <c r="C73" s="360"/>
      <c r="D73" s="360"/>
      <c r="E73" s="360"/>
    </row>
  </sheetData>
  <mergeCells count="8">
    <mergeCell ref="A37:F37"/>
    <mergeCell ref="A52:F52"/>
    <mergeCell ref="A2:F2"/>
    <mergeCell ref="A3:F3"/>
    <mergeCell ref="A4:F4"/>
    <mergeCell ref="A5:F5"/>
    <mergeCell ref="A7:F7"/>
    <mergeCell ref="A22:F22"/>
  </mergeCells>
  <conditionalFormatting sqref="E20">
    <cfRule type="expression" dxfId="7" priority="7">
      <formula>$E$20&lt;&gt;$E$21</formula>
    </cfRule>
    <cfRule type="expression" dxfId="6" priority="8">
      <formula>$E$20=$E$21</formula>
    </cfRule>
  </conditionalFormatting>
  <conditionalFormatting sqref="E35">
    <cfRule type="expression" dxfId="5" priority="5">
      <formula>$E$35&lt;&gt;$E$36</formula>
    </cfRule>
    <cfRule type="expression" dxfId="4" priority="6">
      <formula>$E$35=$E$36</formula>
    </cfRule>
  </conditionalFormatting>
  <conditionalFormatting sqref="E50">
    <cfRule type="expression" dxfId="3" priority="3">
      <formula>$E$50&lt;&gt;$E$51</formula>
    </cfRule>
    <cfRule type="expression" dxfId="2" priority="4">
      <formula>$E$50=$E$51</formula>
    </cfRule>
  </conditionalFormatting>
  <conditionalFormatting sqref="E65">
    <cfRule type="expression" dxfId="1" priority="1">
      <formula>$E$65&lt;&gt;$E$66</formula>
    </cfRule>
    <cfRule type="expression" dxfId="0" priority="2">
      <formula>$E$65=$E$66</formula>
    </cfRule>
  </conditionalFormatting>
  <pageMargins left="0.70866141732283472" right="0.70866141732283472" top="0.74803149606299213" bottom="0.74803149606299213" header="0.31496062992125984" footer="0.31496062992125984"/>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16</vt:i4>
      </vt:variant>
    </vt:vector>
  </HeadingPairs>
  <TitlesOfParts>
    <vt:vector size="22" baseType="lpstr">
      <vt:lpstr>1_Liquidación</vt:lpstr>
      <vt:lpstr>2_Morosidad</vt:lpstr>
      <vt:lpstr>3_Detalle Origen y Aplicación</vt:lpstr>
      <vt:lpstr>4_OyA Transferencias Gob Cent</vt:lpstr>
      <vt:lpstr>Formulario 4-Compromisos</vt:lpstr>
      <vt:lpstr>Formulario 5-Compromisos</vt:lpstr>
      <vt:lpstr>'3_Detalle Origen y Aplicación'!_Hlt506202662</vt:lpstr>
      <vt:lpstr>'3_Detalle Origen y Aplicación'!_Hlt57099193</vt:lpstr>
      <vt:lpstr>'3_Detalle Origen y Aplicación'!_Hlt57099201</vt:lpstr>
      <vt:lpstr>'3_Detalle Origen y Aplicación'!_Hlt57099211</vt:lpstr>
      <vt:lpstr>'3_Detalle Origen y Aplicación'!_Hlt57100460</vt:lpstr>
      <vt:lpstr>'3_Detalle Origen y Aplicación'!_Hlt57100462</vt:lpstr>
      <vt:lpstr>'3_Detalle Origen y Aplicación'!_Hlt57100464</vt:lpstr>
      <vt:lpstr>'3_Detalle Origen y Aplicación'!_Hlt57100472</vt:lpstr>
      <vt:lpstr>'3_Detalle Origen y Aplicación'!_Hlt57100476</vt:lpstr>
      <vt:lpstr>'3_Detalle Origen y Aplicación'!_Hlt57100478</vt:lpstr>
      <vt:lpstr>'3_Detalle Origen y Aplicación'!_Hlt57100531</vt:lpstr>
      <vt:lpstr>'1_Liquidación'!Área_de_impresión</vt:lpstr>
      <vt:lpstr>'2_Morosidad'!Área_de_impresión</vt:lpstr>
      <vt:lpstr>'3_Detalle Origen y Aplicación'!Área_de_impresión</vt:lpstr>
      <vt:lpstr>'4_OyA Transferencias Gob Cent'!Área_de_impresión</vt:lpstr>
      <vt:lpstr>'3_Detalle Origen y Aplicación'!Títulos_a_imprimir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 GENERAL DE LA REPU</dc:creator>
  <cp:lastModifiedBy>Ana Maria Alvarado Garita</cp:lastModifiedBy>
  <cp:lastPrinted>2024-01-31T22:45:23Z</cp:lastPrinted>
  <dcterms:created xsi:type="dcterms:W3CDTF">1999-01-08T03:50:12Z</dcterms:created>
  <dcterms:modified xsi:type="dcterms:W3CDTF">2024-04-09T15:16:16Z</dcterms:modified>
</cp:coreProperties>
</file>